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kneifel\Desktop\PV2 Documents\"/>
    </mc:Choice>
  </mc:AlternateContent>
  <xr:revisionPtr revIDLastSave="0" documentId="13_ncr:1_{5E9C2BC3-88B2-4855-BD02-93F90049D67F}" xr6:coauthVersionLast="45" xr6:coauthVersionMax="45" xr10:uidLastSave="{00000000-0000-0000-0000-000000000000}"/>
  <bookViews>
    <workbookView xWindow="75" yWindow="90" windowWidth="17775" windowHeight="14085" tabRatio="859" activeTab="2" xr2:uid="{00000000-000D-0000-FFFF-FFFF00000000}"/>
  </bookViews>
  <sheets>
    <sheet name="User Inputs" sheetId="20" r:id="rId1"/>
    <sheet name="Simple Comparison" sheetId="17" r:id="rId2"/>
    <sheet name="Electricity Costs" sheetId="21" r:id="rId3"/>
    <sheet name="Cash Flow - Purchase Cash" sheetId="18" r:id="rId4"/>
    <sheet name="Cash Flow - Purchase Loan" sheetId="22" r:id="rId5"/>
    <sheet name="PV Degrad. &amp; SPV" sheetId="1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21" l="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5" i="21"/>
  <c r="S5" i="21"/>
  <c r="Q6" i="21"/>
  <c r="Q7" i="21"/>
  <c r="S7" i="21" s="1"/>
  <c r="Q8" i="21"/>
  <c r="Q9" i="21"/>
  <c r="Q10" i="21"/>
  <c r="S10" i="21" s="1"/>
  <c r="Q5" i="21"/>
  <c r="O7" i="21"/>
  <c r="O8" i="21"/>
  <c r="O9" i="21" s="1"/>
  <c r="O10" i="21" s="1"/>
  <c r="O6" i="21"/>
  <c r="D6" i="21"/>
  <c r="O5" i="21"/>
  <c r="S6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5" i="21"/>
  <c r="T6" i="21"/>
  <c r="T7" i="21"/>
  <c r="T8" i="21"/>
  <c r="T9" i="21"/>
  <c r="T10" i="21"/>
  <c r="T5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S30" i="21" l="1"/>
  <c r="S32" i="21" s="1"/>
  <c r="X30" i="21"/>
  <c r="K31" i="19"/>
  <c r="L28" i="19"/>
  <c r="H34" i="22"/>
  <c r="H33" i="22"/>
  <c r="H27" i="22"/>
  <c r="H25" i="22"/>
  <c r="H24" i="22"/>
  <c r="H22" i="22"/>
  <c r="H19" i="22"/>
  <c r="H17" i="22"/>
  <c r="H16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H14" i="22"/>
  <c r="H11" i="22"/>
  <c r="H9" i="22"/>
  <c r="N8" i="22"/>
  <c r="H8" i="22"/>
  <c r="N7" i="22"/>
  <c r="X7" i="22" s="1"/>
  <c r="B7" i="22"/>
  <c r="L7" i="22" s="1"/>
  <c r="A7" i="22"/>
  <c r="A8" i="22" s="1"/>
  <c r="A9" i="22" s="1"/>
  <c r="A10" i="22" s="1"/>
  <c r="A11" i="22" s="1"/>
  <c r="A12" i="22" s="1"/>
  <c r="A13" i="22" s="1"/>
  <c r="A14" i="22" s="1"/>
  <c r="X6" i="22"/>
  <c r="N6" i="22"/>
  <c r="L6" i="22"/>
  <c r="H6" i="22"/>
  <c r="B6" i="22"/>
  <c r="A6" i="22"/>
  <c r="X5" i="22"/>
  <c r="L5" i="22"/>
  <c r="H28" i="22"/>
  <c r="H34" i="18"/>
  <c r="H33" i="18"/>
  <c r="X8" i="22" l="1"/>
  <c r="N9" i="22"/>
  <c r="H5" i="22"/>
  <c r="H13" i="22"/>
  <c r="H21" i="22"/>
  <c r="H29" i="22"/>
  <c r="H10" i="22"/>
  <c r="H18" i="22"/>
  <c r="H26" i="22"/>
  <c r="H7" i="22"/>
  <c r="B8" i="22"/>
  <c r="H15" i="22"/>
  <c r="H23" i="22"/>
  <c r="H12" i="22"/>
  <c r="H20" i="22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3" i="19"/>
  <c r="L8" i="22" l="1"/>
  <c r="B9" i="22"/>
  <c r="X9" i="22"/>
  <c r="N10" i="22"/>
  <c r="Q30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5" i="21"/>
  <c r="K7" i="21"/>
  <c r="K8" i="21"/>
  <c r="K9" i="21"/>
  <c r="K10" i="2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6" i="21"/>
  <c r="H7" i="2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H6" i="21"/>
  <c r="L5" i="21"/>
  <c r="J30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F2" i="19"/>
  <c r="N2" i="19" s="1"/>
  <c r="B25" i="20"/>
  <c r="B23" i="20"/>
  <c r="H10" i="20"/>
  <c r="B28" i="17"/>
  <c r="B10" i="17"/>
  <c r="B12" i="17"/>
  <c r="B20" i="20"/>
  <c r="B11" i="17"/>
  <c r="C6" i="21" s="1"/>
  <c r="B5" i="17"/>
  <c r="B6" i="17" s="1"/>
  <c r="B7" i="17"/>
  <c r="B4" i="17"/>
  <c r="B3" i="17"/>
  <c r="D5" i="21" s="1"/>
  <c r="Y5" i="21" s="1"/>
  <c r="C28" i="21" l="1"/>
  <c r="C20" i="21"/>
  <c r="C12" i="21"/>
  <c r="E6" i="21"/>
  <c r="F6" i="21" s="1"/>
  <c r="Z6" i="21" s="1"/>
  <c r="D9" i="18"/>
  <c r="D24" i="18"/>
  <c r="C27" i="21"/>
  <c r="D7" i="18"/>
  <c r="D6" i="18"/>
  <c r="C17" i="21"/>
  <c r="C9" i="21"/>
  <c r="D21" i="18"/>
  <c r="C16" i="21"/>
  <c r="C8" i="21"/>
  <c r="D28" i="18"/>
  <c r="D12" i="18"/>
  <c r="C23" i="21"/>
  <c r="C15" i="21"/>
  <c r="C7" i="21"/>
  <c r="D27" i="18"/>
  <c r="D19" i="18"/>
  <c r="D11" i="18"/>
  <c r="C5" i="21"/>
  <c r="C22" i="21"/>
  <c r="C14" i="21"/>
  <c r="D25" i="18"/>
  <c r="D17" i="18"/>
  <c r="D5" i="18"/>
  <c r="D26" i="22"/>
  <c r="D23" i="22"/>
  <c r="D14" i="22"/>
  <c r="D8" i="22"/>
  <c r="D6" i="22"/>
  <c r="D18" i="22"/>
  <c r="D11" i="22"/>
  <c r="D29" i="22"/>
  <c r="D10" i="22"/>
  <c r="D5" i="22"/>
  <c r="D17" i="22"/>
  <c r="D19" i="22"/>
  <c r="D16" i="22"/>
  <c r="D13" i="22"/>
  <c r="D12" i="22"/>
  <c r="D27" i="22"/>
  <c r="D28" i="22"/>
  <c r="D25" i="22"/>
  <c r="D22" i="22"/>
  <c r="D15" i="22"/>
  <c r="D9" i="22"/>
  <c r="D21" i="22"/>
  <c r="D7" i="22"/>
  <c r="D24" i="22"/>
  <c r="D20" i="22"/>
  <c r="D16" i="18"/>
  <c r="D8" i="18"/>
  <c r="C19" i="21"/>
  <c r="C11" i="21"/>
  <c r="D23" i="18"/>
  <c r="D15" i="18"/>
  <c r="C26" i="21"/>
  <c r="C18" i="21"/>
  <c r="C10" i="21"/>
  <c r="D22" i="18"/>
  <c r="D14" i="18"/>
  <c r="C25" i="21"/>
  <c r="D29" i="18"/>
  <c r="D13" i="18"/>
  <c r="C24" i="21"/>
  <c r="D20" i="18"/>
  <c r="D26" i="18"/>
  <c r="D18" i="18"/>
  <c r="D10" i="18"/>
  <c r="C29" i="21"/>
  <c r="C21" i="21"/>
  <c r="C13" i="21"/>
  <c r="L9" i="22"/>
  <c r="B10" i="22"/>
  <c r="N11" i="22"/>
  <c r="X10" i="22"/>
  <c r="L6" i="21"/>
  <c r="L7" i="21"/>
  <c r="K2" i="19"/>
  <c r="D25" i="17"/>
  <c r="D7" i="21" l="1"/>
  <c r="E7" i="21" s="1"/>
  <c r="F7" i="21" s="1"/>
  <c r="Z7" i="21" s="1"/>
  <c r="W6" i="21"/>
  <c r="Y6" i="21" s="1"/>
  <c r="R2" i="19"/>
  <c r="E5" i="21"/>
  <c r="F5" i="21" s="1"/>
  <c r="Z5" i="21" s="1"/>
  <c r="C30" i="21"/>
  <c r="L10" i="22"/>
  <c r="B11" i="22"/>
  <c r="N12" i="22"/>
  <c r="X11" i="22"/>
  <c r="L11" i="21"/>
  <c r="L9" i="21"/>
  <c r="L8" i="21"/>
  <c r="L10" i="21"/>
  <c r="D28" i="17"/>
  <c r="B29" i="17"/>
  <c r="B31" i="17" s="1"/>
  <c r="J10" i="22" s="1"/>
  <c r="A6" i="18"/>
  <c r="A7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F3" i="19"/>
  <c r="F4" i="19"/>
  <c r="F5" i="19"/>
  <c r="F7" i="19"/>
  <c r="H2" i="19"/>
  <c r="I2" i="19" s="1"/>
  <c r="A3" i="19"/>
  <c r="A4" i="19"/>
  <c r="A5" i="19" s="1"/>
  <c r="A6" i="19" s="1"/>
  <c r="A7" i="19" s="1"/>
  <c r="A8" i="19" s="1"/>
  <c r="D2" i="19"/>
  <c r="N6" i="18"/>
  <c r="D3" i="19" s="1"/>
  <c r="X6" i="18"/>
  <c r="X5" i="18"/>
  <c r="B6" i="18"/>
  <c r="L6" i="18"/>
  <c r="L5" i="18"/>
  <c r="B7" i="18"/>
  <c r="B8" i="18" s="1"/>
  <c r="W7" i="21" l="1"/>
  <c r="Y7" i="21" s="1"/>
  <c r="D8" i="21"/>
  <c r="D31" i="17"/>
  <c r="J6" i="22"/>
  <c r="J7" i="22"/>
  <c r="J5" i="22"/>
  <c r="B35" i="17"/>
  <c r="J8" i="22"/>
  <c r="J9" i="22"/>
  <c r="P6" i="18"/>
  <c r="O6" i="22"/>
  <c r="V6" i="22"/>
  <c r="P6" i="22"/>
  <c r="P5" i="18"/>
  <c r="O5" i="22"/>
  <c r="V5" i="22"/>
  <c r="P5" i="22"/>
  <c r="N13" i="22"/>
  <c r="X12" i="22"/>
  <c r="L11" i="22"/>
  <c r="J11" i="22"/>
  <c r="B12" i="22"/>
  <c r="L12" i="21"/>
  <c r="K5" i="19"/>
  <c r="N5" i="19"/>
  <c r="K7" i="19"/>
  <c r="N7" i="19"/>
  <c r="K4" i="19"/>
  <c r="N4" i="19"/>
  <c r="K3" i="19"/>
  <c r="N3" i="19"/>
  <c r="O3" i="19" s="1"/>
  <c r="N7" i="18"/>
  <c r="L7" i="18"/>
  <c r="O5" i="18"/>
  <c r="T5" i="18" s="1"/>
  <c r="C5" i="18"/>
  <c r="B9" i="18"/>
  <c r="L8" i="18"/>
  <c r="A9" i="19"/>
  <c r="F8" i="19"/>
  <c r="X7" i="18"/>
  <c r="J5" i="18"/>
  <c r="J7" i="18"/>
  <c r="J6" i="18"/>
  <c r="J8" i="18"/>
  <c r="V6" i="18"/>
  <c r="C2" i="19"/>
  <c r="G3" i="19"/>
  <c r="H3" i="19" s="1"/>
  <c r="I3" i="19" s="1"/>
  <c r="J3" i="19" s="1"/>
  <c r="J9" i="18"/>
  <c r="F6" i="19"/>
  <c r="V5" i="18"/>
  <c r="W8" i="21" l="1"/>
  <c r="Y8" i="21" s="1"/>
  <c r="E8" i="21"/>
  <c r="F8" i="21" s="1"/>
  <c r="Z8" i="21" s="1"/>
  <c r="D9" i="21"/>
  <c r="O4" i="19"/>
  <c r="T5" i="22"/>
  <c r="T6" i="22"/>
  <c r="E5" i="22"/>
  <c r="Q5" i="22" s="1"/>
  <c r="J12" i="22"/>
  <c r="B13" i="22"/>
  <c r="L12" i="22"/>
  <c r="N14" i="22"/>
  <c r="X13" i="22"/>
  <c r="P7" i="19"/>
  <c r="R4" i="19"/>
  <c r="M4" i="19"/>
  <c r="L4" i="19"/>
  <c r="R5" i="19"/>
  <c r="M5" i="19"/>
  <c r="L5" i="19"/>
  <c r="R3" i="19"/>
  <c r="M3" i="19"/>
  <c r="L3" i="19"/>
  <c r="R7" i="19"/>
  <c r="L7" i="19"/>
  <c r="O5" i="19"/>
  <c r="L13" i="21"/>
  <c r="K6" i="19"/>
  <c r="M7" i="19" s="1"/>
  <c r="N6" i="19"/>
  <c r="O6" i="19" s="1"/>
  <c r="K8" i="19"/>
  <c r="N8" i="19"/>
  <c r="P3" i="19"/>
  <c r="P4" i="19"/>
  <c r="P5" i="19"/>
  <c r="N8" i="18"/>
  <c r="D4" i="19"/>
  <c r="T23" i="18"/>
  <c r="F9" i="19"/>
  <c r="A10" i="19"/>
  <c r="T29" i="18"/>
  <c r="L9" i="18"/>
  <c r="B10" i="18"/>
  <c r="T13" i="18"/>
  <c r="T12" i="18"/>
  <c r="T9" i="18"/>
  <c r="T16" i="18"/>
  <c r="T25" i="18"/>
  <c r="T20" i="18"/>
  <c r="T18" i="18"/>
  <c r="T19" i="18"/>
  <c r="T6" i="18"/>
  <c r="T14" i="18"/>
  <c r="T15" i="18"/>
  <c r="T28" i="18"/>
  <c r="T7" i="18"/>
  <c r="T21" i="18"/>
  <c r="T10" i="18"/>
  <c r="T27" i="18"/>
  <c r="T8" i="18"/>
  <c r="T24" i="18"/>
  <c r="T22" i="18"/>
  <c r="T26" i="18"/>
  <c r="T17" i="18"/>
  <c r="T11" i="18"/>
  <c r="E5" i="18"/>
  <c r="Q5" i="18" s="1"/>
  <c r="C3" i="19"/>
  <c r="H21" i="18"/>
  <c r="H5" i="18"/>
  <c r="H26" i="18"/>
  <c r="H18" i="18"/>
  <c r="H20" i="18"/>
  <c r="H25" i="18"/>
  <c r="H13" i="18"/>
  <c r="H24" i="18"/>
  <c r="H9" i="18"/>
  <c r="H17" i="18"/>
  <c r="H28" i="18"/>
  <c r="H27" i="18"/>
  <c r="H15" i="18"/>
  <c r="H11" i="18"/>
  <c r="H8" i="18"/>
  <c r="H22" i="18"/>
  <c r="H16" i="18"/>
  <c r="H12" i="18"/>
  <c r="H10" i="18"/>
  <c r="H23" i="18"/>
  <c r="H19" i="18"/>
  <c r="H7" i="18"/>
  <c r="H29" i="18"/>
  <c r="B38" i="17" s="1"/>
  <c r="H14" i="18"/>
  <c r="H6" i="18"/>
  <c r="W9" i="21" l="1"/>
  <c r="Y9" i="21" s="1"/>
  <c r="E9" i="21"/>
  <c r="F9" i="21" s="1"/>
  <c r="Z9" i="21" s="1"/>
  <c r="D10" i="21"/>
  <c r="V7" i="22"/>
  <c r="O7" i="22"/>
  <c r="P7" i="22"/>
  <c r="E6" i="22"/>
  <c r="Q6" i="22" s="1"/>
  <c r="F5" i="22"/>
  <c r="G5" i="22"/>
  <c r="S5" i="22"/>
  <c r="R5" i="22"/>
  <c r="X14" i="22"/>
  <c r="N15" i="22"/>
  <c r="J13" i="22"/>
  <c r="B14" i="22"/>
  <c r="L13" i="22"/>
  <c r="P6" i="19"/>
  <c r="M8" i="19"/>
  <c r="L8" i="19"/>
  <c r="S8" i="19"/>
  <c r="O7" i="19"/>
  <c r="L6" i="19"/>
  <c r="M6" i="19"/>
  <c r="R6" i="19"/>
  <c r="L14" i="21"/>
  <c r="K9" i="19"/>
  <c r="N9" i="19"/>
  <c r="O9" i="19" s="1"/>
  <c r="P7" i="18"/>
  <c r="V7" i="18"/>
  <c r="D5" i="19"/>
  <c r="N9" i="18"/>
  <c r="X8" i="18"/>
  <c r="A11" i="19"/>
  <c r="F10" i="19"/>
  <c r="L10" i="18"/>
  <c r="B11" i="18"/>
  <c r="J10" i="18"/>
  <c r="E6" i="18"/>
  <c r="R5" i="18"/>
  <c r="S5" i="18"/>
  <c r="U5" i="18" s="1"/>
  <c r="G4" i="19"/>
  <c r="H4" i="19" s="1"/>
  <c r="I4" i="19" s="1"/>
  <c r="J4" i="19" s="1"/>
  <c r="F5" i="18"/>
  <c r="G5" i="18"/>
  <c r="W10" i="21" l="1"/>
  <c r="Y10" i="21" s="1"/>
  <c r="E10" i="21"/>
  <c r="F10" i="21" s="1"/>
  <c r="Z10" i="21" s="1"/>
  <c r="D11" i="21"/>
  <c r="P9" i="19"/>
  <c r="F6" i="18"/>
  <c r="Q6" i="18"/>
  <c r="T7" i="22"/>
  <c r="O8" i="22"/>
  <c r="T8" i="22" s="1"/>
  <c r="V8" i="22"/>
  <c r="P8" i="22"/>
  <c r="U5" i="22"/>
  <c r="W5" i="22"/>
  <c r="K5" i="22"/>
  <c r="I5" i="22"/>
  <c r="S6" i="22"/>
  <c r="R6" i="22"/>
  <c r="F6" i="22"/>
  <c r="G6" i="22"/>
  <c r="X15" i="22"/>
  <c r="N16" i="22"/>
  <c r="B15" i="22"/>
  <c r="J14" i="22"/>
  <c r="L14" i="22"/>
  <c r="L9" i="19"/>
  <c r="M9" i="19"/>
  <c r="S9" i="19"/>
  <c r="L15" i="21"/>
  <c r="K10" i="19"/>
  <c r="N10" i="19"/>
  <c r="O10" i="19" s="1"/>
  <c r="X9" i="18"/>
  <c r="N10" i="18"/>
  <c r="D6" i="19"/>
  <c r="P8" i="18"/>
  <c r="V8" i="18"/>
  <c r="L11" i="18"/>
  <c r="B12" i="18"/>
  <c r="J11" i="18"/>
  <c r="F11" i="19"/>
  <c r="A12" i="19"/>
  <c r="K5" i="18"/>
  <c r="I5" i="18"/>
  <c r="C4" i="19"/>
  <c r="W5" i="18"/>
  <c r="G6" i="18"/>
  <c r="I6" i="18" s="1"/>
  <c r="R6" i="18"/>
  <c r="S6" i="18"/>
  <c r="U6" i="18" s="1"/>
  <c r="W11" i="21" l="1"/>
  <c r="Y11" i="21" s="1"/>
  <c r="R11" i="21"/>
  <c r="T11" i="21" s="1"/>
  <c r="D12" i="21"/>
  <c r="E11" i="21"/>
  <c r="F11" i="21" s="1"/>
  <c r="Z11" i="21" s="1"/>
  <c r="O9" i="22"/>
  <c r="V9" i="22"/>
  <c r="P9" i="22"/>
  <c r="P10" i="19"/>
  <c r="K6" i="22"/>
  <c r="I6" i="22"/>
  <c r="W6" i="22"/>
  <c r="U6" i="22"/>
  <c r="E7" i="22"/>
  <c r="Q7" i="22" s="1"/>
  <c r="B16" i="22"/>
  <c r="L15" i="22"/>
  <c r="J15" i="22"/>
  <c r="X16" i="22"/>
  <c r="N17" i="22"/>
  <c r="M10" i="19"/>
  <c r="L10" i="19"/>
  <c r="S10" i="19"/>
  <c r="L16" i="21"/>
  <c r="K11" i="19"/>
  <c r="N11" i="19"/>
  <c r="O11" i="19" s="1"/>
  <c r="P11" i="19"/>
  <c r="V9" i="18"/>
  <c r="P9" i="18"/>
  <c r="N11" i="18"/>
  <c r="D7" i="19"/>
  <c r="X10" i="18"/>
  <c r="G5" i="19"/>
  <c r="H5" i="19" s="1"/>
  <c r="F12" i="19"/>
  <c r="A13" i="19"/>
  <c r="B13" i="18"/>
  <c r="L12" i="18"/>
  <c r="J12" i="18"/>
  <c r="K6" i="18"/>
  <c r="W6" i="18"/>
  <c r="E7" i="18"/>
  <c r="Q7" i="18" s="1"/>
  <c r="W12" i="21" l="1"/>
  <c r="Y12" i="21" s="1"/>
  <c r="D13" i="21"/>
  <c r="E12" i="21"/>
  <c r="F12" i="21" s="1"/>
  <c r="Z12" i="21" s="1"/>
  <c r="R12" i="21"/>
  <c r="T12" i="21" s="1"/>
  <c r="T9" i="22"/>
  <c r="P10" i="18"/>
  <c r="O10" i="22"/>
  <c r="P10" i="22"/>
  <c r="V10" i="22"/>
  <c r="I5" i="19"/>
  <c r="S7" i="22"/>
  <c r="R7" i="22"/>
  <c r="F7" i="22"/>
  <c r="G7" i="22"/>
  <c r="N18" i="22"/>
  <c r="X17" i="22"/>
  <c r="L16" i="22"/>
  <c r="B17" i="22"/>
  <c r="J16" i="22"/>
  <c r="M11" i="19"/>
  <c r="L11" i="19"/>
  <c r="S11" i="19"/>
  <c r="L17" i="21"/>
  <c r="K12" i="19"/>
  <c r="N12" i="19"/>
  <c r="O12" i="19" s="1"/>
  <c r="N12" i="18"/>
  <c r="D8" i="19"/>
  <c r="X11" i="18"/>
  <c r="V10" i="18"/>
  <c r="L13" i="18"/>
  <c r="B14" i="18"/>
  <c r="J13" i="18"/>
  <c r="A14" i="19"/>
  <c r="F13" i="19"/>
  <c r="R7" i="18"/>
  <c r="S7" i="18"/>
  <c r="U7" i="18" s="1"/>
  <c r="F7" i="18"/>
  <c r="G7" i="18"/>
  <c r="I7" i="18" s="1"/>
  <c r="W13" i="21" l="1"/>
  <c r="Y13" i="21" s="1"/>
  <c r="D14" i="21"/>
  <c r="E13" i="21"/>
  <c r="F13" i="21" s="1"/>
  <c r="Z13" i="21" s="1"/>
  <c r="R13" i="21"/>
  <c r="T13" i="21" s="1"/>
  <c r="P12" i="19"/>
  <c r="C5" i="19"/>
  <c r="J5" i="19"/>
  <c r="G6" i="19"/>
  <c r="H6" i="19" s="1"/>
  <c r="I6" i="19" s="1"/>
  <c r="J6" i="19" s="1"/>
  <c r="O11" i="22"/>
  <c r="P11" i="22"/>
  <c r="V11" i="22"/>
  <c r="T10" i="22"/>
  <c r="E8" i="18"/>
  <c r="Q8" i="18" s="1"/>
  <c r="R8" i="18" s="1"/>
  <c r="E8" i="22"/>
  <c r="Q8" i="22" s="1"/>
  <c r="S8" i="22" s="1"/>
  <c r="K7" i="22"/>
  <c r="I7" i="22"/>
  <c r="U7" i="22"/>
  <c r="W7" i="22"/>
  <c r="N19" i="22"/>
  <c r="X18" i="22"/>
  <c r="J17" i="22"/>
  <c r="L17" i="22"/>
  <c r="B18" i="22"/>
  <c r="S12" i="19"/>
  <c r="M12" i="19"/>
  <c r="L12" i="19"/>
  <c r="L18" i="21"/>
  <c r="K13" i="19"/>
  <c r="N13" i="19"/>
  <c r="O13" i="19" s="1"/>
  <c r="P11" i="18"/>
  <c r="V11" i="18"/>
  <c r="N13" i="18"/>
  <c r="X12" i="18"/>
  <c r="D9" i="19"/>
  <c r="F14" i="19"/>
  <c r="A15" i="19"/>
  <c r="B15" i="18"/>
  <c r="L14" i="18"/>
  <c r="J14" i="18"/>
  <c r="F8" i="18"/>
  <c r="G8" i="18"/>
  <c r="I8" i="18" s="1"/>
  <c r="K7" i="18"/>
  <c r="W7" i="18"/>
  <c r="W14" i="21" l="1"/>
  <c r="Y14" i="21" s="1"/>
  <c r="D15" i="21"/>
  <c r="R14" i="21"/>
  <c r="T14" i="21" s="1"/>
  <c r="E14" i="21"/>
  <c r="F14" i="21" s="1"/>
  <c r="Z14" i="21" s="1"/>
  <c r="C6" i="19"/>
  <c r="E9" i="18" s="1"/>
  <c r="Q9" i="18" s="1"/>
  <c r="S8" i="18"/>
  <c r="U8" i="18" s="1"/>
  <c r="R8" i="22"/>
  <c r="O12" i="22"/>
  <c r="P12" i="22"/>
  <c r="V12" i="22"/>
  <c r="G8" i="22"/>
  <c r="I8" i="22" s="1"/>
  <c r="F8" i="22"/>
  <c r="T11" i="22"/>
  <c r="U8" i="22"/>
  <c r="W8" i="22"/>
  <c r="N20" i="22"/>
  <c r="X19" i="22"/>
  <c r="L18" i="22"/>
  <c r="J18" i="22"/>
  <c r="B19" i="22"/>
  <c r="S13" i="19"/>
  <c r="M13" i="19"/>
  <c r="L13" i="19"/>
  <c r="L19" i="21"/>
  <c r="P13" i="19"/>
  <c r="K14" i="19"/>
  <c r="N14" i="19"/>
  <c r="O14" i="19" s="1"/>
  <c r="P12" i="18"/>
  <c r="V12" i="18"/>
  <c r="N14" i="18"/>
  <c r="D10" i="19"/>
  <c r="X13" i="18"/>
  <c r="F15" i="19"/>
  <c r="A16" i="19"/>
  <c r="B16" i="18"/>
  <c r="L15" i="18"/>
  <c r="J15" i="18"/>
  <c r="G7" i="19"/>
  <c r="H7" i="19" s="1"/>
  <c r="I7" i="19" s="1"/>
  <c r="J7" i="19" s="1"/>
  <c r="K8" i="18"/>
  <c r="W15" i="21" l="1"/>
  <c r="Y15" i="21" s="1"/>
  <c r="D16" i="21"/>
  <c r="R15" i="21"/>
  <c r="T15" i="21" s="1"/>
  <c r="E15" i="21"/>
  <c r="F15" i="21" s="1"/>
  <c r="Z15" i="21" s="1"/>
  <c r="E9" i="22"/>
  <c r="Q9" i="22" s="1"/>
  <c r="P14" i="19"/>
  <c r="W8" i="18"/>
  <c r="K8" i="22"/>
  <c r="P13" i="18"/>
  <c r="O13" i="22"/>
  <c r="P13" i="22"/>
  <c r="V13" i="22"/>
  <c r="T12" i="22"/>
  <c r="R9" i="22"/>
  <c r="S9" i="22"/>
  <c r="F9" i="22"/>
  <c r="G9" i="22"/>
  <c r="L19" i="22"/>
  <c r="J19" i="22"/>
  <c r="B20" i="22"/>
  <c r="N21" i="22"/>
  <c r="X20" i="22"/>
  <c r="S14" i="19"/>
  <c r="M14" i="19"/>
  <c r="L14" i="19"/>
  <c r="L20" i="21"/>
  <c r="K15" i="19"/>
  <c r="N15" i="19"/>
  <c r="O15" i="19" s="1"/>
  <c r="D11" i="19"/>
  <c r="X14" i="18"/>
  <c r="N15" i="18"/>
  <c r="V13" i="18"/>
  <c r="A17" i="19"/>
  <c r="F16" i="19"/>
  <c r="B17" i="18"/>
  <c r="L16" i="18"/>
  <c r="J16" i="18"/>
  <c r="R9" i="18"/>
  <c r="S9" i="18"/>
  <c r="U9" i="18" s="1"/>
  <c r="C7" i="19"/>
  <c r="F9" i="18"/>
  <c r="G9" i="18"/>
  <c r="I9" i="18" s="1"/>
  <c r="W16" i="21" l="1"/>
  <c r="Y16" i="21" s="1"/>
  <c r="R16" i="21"/>
  <c r="T16" i="21" s="1"/>
  <c r="D17" i="21"/>
  <c r="E16" i="21"/>
  <c r="F16" i="21" s="1"/>
  <c r="Z16" i="21" s="1"/>
  <c r="T13" i="22"/>
  <c r="P14" i="18"/>
  <c r="O14" i="22"/>
  <c r="T14" i="22" s="1"/>
  <c r="P14" i="22"/>
  <c r="V14" i="22"/>
  <c r="E10" i="22"/>
  <c r="Q10" i="22" s="1"/>
  <c r="W9" i="22"/>
  <c r="U9" i="22"/>
  <c r="I9" i="22"/>
  <c r="K9" i="22"/>
  <c r="X21" i="22"/>
  <c r="N22" i="22"/>
  <c r="J20" i="22"/>
  <c r="B21" i="22"/>
  <c r="L20" i="22"/>
  <c r="P15" i="19"/>
  <c r="S15" i="19"/>
  <c r="M15" i="19"/>
  <c r="L15" i="19"/>
  <c r="L21" i="21"/>
  <c r="K16" i="19"/>
  <c r="N16" i="19"/>
  <c r="O16" i="19" s="1"/>
  <c r="X15" i="18"/>
  <c r="D12" i="19"/>
  <c r="N16" i="18"/>
  <c r="V14" i="18"/>
  <c r="L17" i="18"/>
  <c r="B18" i="18"/>
  <c r="J17" i="18"/>
  <c r="F17" i="19"/>
  <c r="A18" i="19"/>
  <c r="G8" i="19"/>
  <c r="H8" i="19" s="1"/>
  <c r="I8" i="19" s="1"/>
  <c r="J8" i="19" s="1"/>
  <c r="K9" i="18"/>
  <c r="E10" i="18"/>
  <c r="Q10" i="18" s="1"/>
  <c r="W9" i="18"/>
  <c r="W17" i="21" l="1"/>
  <c r="Y17" i="21" s="1"/>
  <c r="E17" i="21"/>
  <c r="F17" i="21" s="1"/>
  <c r="Z17" i="21" s="1"/>
  <c r="D18" i="21"/>
  <c r="R17" i="21"/>
  <c r="T17" i="21" s="1"/>
  <c r="O15" i="22"/>
  <c r="T15" i="22" s="1"/>
  <c r="P15" i="22"/>
  <c r="V15" i="22"/>
  <c r="F10" i="22"/>
  <c r="G10" i="22"/>
  <c r="R10" i="22"/>
  <c r="S10" i="22"/>
  <c r="X22" i="22"/>
  <c r="N23" i="22"/>
  <c r="J21" i="22"/>
  <c r="B22" i="22"/>
  <c r="L21" i="22"/>
  <c r="S16" i="19"/>
  <c r="M16" i="19"/>
  <c r="L16" i="19"/>
  <c r="L22" i="21"/>
  <c r="P16" i="19"/>
  <c r="K17" i="19"/>
  <c r="N17" i="19"/>
  <c r="O17" i="19" s="1"/>
  <c r="P17" i="19"/>
  <c r="N17" i="18"/>
  <c r="D13" i="19"/>
  <c r="X16" i="18"/>
  <c r="P15" i="18"/>
  <c r="V15" i="18"/>
  <c r="C8" i="19"/>
  <c r="F18" i="19"/>
  <c r="A19" i="19"/>
  <c r="B19" i="18"/>
  <c r="L18" i="18"/>
  <c r="J18" i="18"/>
  <c r="F10" i="18"/>
  <c r="G10" i="18"/>
  <c r="I10" i="18" s="1"/>
  <c r="R10" i="18"/>
  <c r="S10" i="18"/>
  <c r="U10" i="18" s="1"/>
  <c r="W18" i="21" l="1"/>
  <c r="Y18" i="21" s="1"/>
  <c r="E18" i="21"/>
  <c r="F18" i="21" s="1"/>
  <c r="Z18" i="21" s="1"/>
  <c r="R18" i="21"/>
  <c r="T18" i="21" s="1"/>
  <c r="D19" i="21"/>
  <c r="O16" i="22"/>
  <c r="P16" i="22"/>
  <c r="V16" i="22"/>
  <c r="E11" i="22"/>
  <c r="Q11" i="22" s="1"/>
  <c r="W10" i="22"/>
  <c r="U10" i="22"/>
  <c r="I10" i="22"/>
  <c r="K10" i="22"/>
  <c r="B23" i="22"/>
  <c r="J22" i="22"/>
  <c r="L22" i="22"/>
  <c r="N24" i="22"/>
  <c r="X23" i="22"/>
  <c r="S17" i="19"/>
  <c r="M17" i="19"/>
  <c r="L17" i="19"/>
  <c r="L23" i="21"/>
  <c r="K18" i="19"/>
  <c r="N18" i="19"/>
  <c r="O18" i="19" s="1"/>
  <c r="P16" i="18"/>
  <c r="V16" i="18"/>
  <c r="E11" i="18"/>
  <c r="N18" i="18"/>
  <c r="D14" i="19"/>
  <c r="X17" i="18"/>
  <c r="L19" i="18"/>
  <c r="J19" i="18"/>
  <c r="B20" i="18"/>
  <c r="F19" i="19"/>
  <c r="A20" i="19"/>
  <c r="G9" i="19"/>
  <c r="H9" i="19" s="1"/>
  <c r="I9" i="19" s="1"/>
  <c r="J9" i="19" s="1"/>
  <c r="W10" i="18"/>
  <c r="K10" i="18"/>
  <c r="W19" i="21" l="1"/>
  <c r="Y19" i="21" s="1"/>
  <c r="D20" i="21"/>
  <c r="E19" i="21"/>
  <c r="F19" i="21" s="1"/>
  <c r="Z19" i="21" s="1"/>
  <c r="R19" i="21"/>
  <c r="T19" i="21" s="1"/>
  <c r="F11" i="18"/>
  <c r="Q11" i="18"/>
  <c r="P17" i="22"/>
  <c r="V17" i="22"/>
  <c r="P18" i="19"/>
  <c r="T25" i="22"/>
  <c r="O32" i="22"/>
  <c r="T20" i="22"/>
  <c r="T28" i="22"/>
  <c r="T21" i="22"/>
  <c r="T19" i="22"/>
  <c r="T22" i="22"/>
  <c r="T18" i="22"/>
  <c r="T17" i="22"/>
  <c r="T26" i="22"/>
  <c r="T24" i="22"/>
  <c r="T27" i="22"/>
  <c r="T23" i="22"/>
  <c r="T16" i="22"/>
  <c r="T29" i="22"/>
  <c r="F11" i="22"/>
  <c r="G11" i="22"/>
  <c r="R11" i="22"/>
  <c r="S11" i="22"/>
  <c r="X24" i="22"/>
  <c r="N25" i="22"/>
  <c r="L23" i="22"/>
  <c r="B24" i="22"/>
  <c r="J23" i="22"/>
  <c r="M18" i="19"/>
  <c r="L18" i="19"/>
  <c r="S18" i="19"/>
  <c r="L24" i="21"/>
  <c r="K19" i="19"/>
  <c r="N19" i="19"/>
  <c r="O19" i="19" s="1"/>
  <c r="G11" i="18"/>
  <c r="I11" i="18" s="1"/>
  <c r="P17" i="18"/>
  <c r="V17" i="18"/>
  <c r="X18" i="18"/>
  <c r="N19" i="18"/>
  <c r="D15" i="19"/>
  <c r="C9" i="19"/>
  <c r="A21" i="19"/>
  <c r="F20" i="19"/>
  <c r="L20" i="18"/>
  <c r="B21" i="18"/>
  <c r="J20" i="18"/>
  <c r="W20" i="21" l="1"/>
  <c r="Y20" i="21" s="1"/>
  <c r="R20" i="21"/>
  <c r="T20" i="21" s="1"/>
  <c r="E20" i="21"/>
  <c r="F20" i="21" s="1"/>
  <c r="Z20" i="21" s="1"/>
  <c r="D21" i="21"/>
  <c r="P18" i="22"/>
  <c r="V18" i="22"/>
  <c r="S11" i="18"/>
  <c r="R11" i="18"/>
  <c r="E12" i="22"/>
  <c r="Q12" i="22" s="1"/>
  <c r="W11" i="22"/>
  <c r="U11" i="22"/>
  <c r="I11" i="22"/>
  <c r="K11" i="22"/>
  <c r="L24" i="22"/>
  <c r="J24" i="22"/>
  <c r="B25" i="22"/>
  <c r="N26" i="22"/>
  <c r="X25" i="22"/>
  <c r="P19" i="19"/>
  <c r="M19" i="19"/>
  <c r="L19" i="19"/>
  <c r="S19" i="19"/>
  <c r="L25" i="21"/>
  <c r="K20" i="19"/>
  <c r="N20" i="19"/>
  <c r="O20" i="19" s="1"/>
  <c r="K11" i="18"/>
  <c r="P18" i="18"/>
  <c r="V18" i="18"/>
  <c r="X19" i="18"/>
  <c r="N20" i="18"/>
  <c r="D16" i="19"/>
  <c r="G10" i="19"/>
  <c r="H10" i="19" s="1"/>
  <c r="L21" i="18"/>
  <c r="B22" i="18"/>
  <c r="J21" i="18"/>
  <c r="F21" i="19"/>
  <c r="A22" i="19"/>
  <c r="E12" i="18"/>
  <c r="Q12" i="18" s="1"/>
  <c r="W21" i="21" l="1"/>
  <c r="Y21" i="21" s="1"/>
  <c r="R21" i="21"/>
  <c r="T21" i="21" s="1"/>
  <c r="E21" i="21"/>
  <c r="F21" i="21" s="1"/>
  <c r="Z21" i="21" s="1"/>
  <c r="D22" i="21"/>
  <c r="P20" i="19"/>
  <c r="U11" i="18"/>
  <c r="W11" i="18"/>
  <c r="P19" i="18"/>
  <c r="P19" i="22"/>
  <c r="V19" i="22"/>
  <c r="I10" i="19"/>
  <c r="G11" i="19" s="1"/>
  <c r="H11" i="19" s="1"/>
  <c r="R12" i="22"/>
  <c r="S12" i="22"/>
  <c r="F12" i="22"/>
  <c r="G12" i="22"/>
  <c r="N27" i="22"/>
  <c r="X26" i="22"/>
  <c r="J25" i="22"/>
  <c r="B26" i="22"/>
  <c r="L25" i="22"/>
  <c r="S20" i="19"/>
  <c r="M20" i="19"/>
  <c r="L20" i="19"/>
  <c r="L26" i="21"/>
  <c r="K21" i="19"/>
  <c r="N21" i="19"/>
  <c r="O21" i="19" s="1"/>
  <c r="V19" i="18"/>
  <c r="D17" i="19"/>
  <c r="N21" i="18"/>
  <c r="X20" i="18"/>
  <c r="F12" i="18"/>
  <c r="G12" i="18"/>
  <c r="A23" i="19"/>
  <c r="F22" i="19"/>
  <c r="S12" i="18"/>
  <c r="R12" i="18"/>
  <c r="L22" i="18"/>
  <c r="B23" i="18"/>
  <c r="J22" i="18"/>
  <c r="W22" i="21" l="1"/>
  <c r="Y22" i="21" s="1"/>
  <c r="R22" i="21"/>
  <c r="T22" i="21" s="1"/>
  <c r="E22" i="21"/>
  <c r="F22" i="21" s="1"/>
  <c r="Z22" i="21" s="1"/>
  <c r="D23" i="21"/>
  <c r="P21" i="19"/>
  <c r="C10" i="19"/>
  <c r="E13" i="22" s="1"/>
  <c r="J10" i="19"/>
  <c r="P20" i="22"/>
  <c r="V20" i="22"/>
  <c r="I11" i="19"/>
  <c r="I12" i="22"/>
  <c r="K12" i="22"/>
  <c r="W12" i="22"/>
  <c r="U12" i="22"/>
  <c r="X27" i="22"/>
  <c r="N28" i="22"/>
  <c r="L26" i="22"/>
  <c r="J26" i="22"/>
  <c r="B27" i="22"/>
  <c r="S21" i="19"/>
  <c r="M21" i="19"/>
  <c r="L21" i="19"/>
  <c r="L27" i="21"/>
  <c r="K22" i="19"/>
  <c r="N22" i="19"/>
  <c r="O22" i="19" s="1"/>
  <c r="D18" i="19"/>
  <c r="X21" i="18"/>
  <c r="N22" i="18"/>
  <c r="P20" i="18"/>
  <c r="V20" i="18"/>
  <c r="U12" i="18"/>
  <c r="W12" i="18"/>
  <c r="B24" i="18"/>
  <c r="L23" i="18"/>
  <c r="J23" i="18"/>
  <c r="F23" i="19"/>
  <c r="A24" i="19"/>
  <c r="I12" i="18"/>
  <c r="K12" i="18"/>
  <c r="W23" i="21" l="1"/>
  <c r="Y23" i="21" s="1"/>
  <c r="D24" i="21"/>
  <c r="R23" i="21"/>
  <c r="T23" i="21" s="1"/>
  <c r="E23" i="21"/>
  <c r="F23" i="21" s="1"/>
  <c r="Z23" i="21" s="1"/>
  <c r="E13" i="18"/>
  <c r="G13" i="18" s="1"/>
  <c r="P22" i="19"/>
  <c r="Q13" i="22"/>
  <c r="F13" i="22"/>
  <c r="G13" i="22"/>
  <c r="K13" i="22" s="1"/>
  <c r="G12" i="19"/>
  <c r="H12" i="19" s="1"/>
  <c r="J11" i="19"/>
  <c r="F13" i="18"/>
  <c r="Q13" i="18"/>
  <c r="P21" i="18"/>
  <c r="P21" i="22"/>
  <c r="V21" i="22"/>
  <c r="I12" i="19"/>
  <c r="C11" i="19"/>
  <c r="B28" i="22"/>
  <c r="L27" i="22"/>
  <c r="J27" i="22"/>
  <c r="N29" i="22"/>
  <c r="X28" i="22"/>
  <c r="L22" i="19"/>
  <c r="S22" i="19"/>
  <c r="M22" i="19"/>
  <c r="L29" i="21"/>
  <c r="L28" i="21"/>
  <c r="K23" i="19"/>
  <c r="N23" i="19"/>
  <c r="O23" i="19" s="1"/>
  <c r="V21" i="18"/>
  <c r="D19" i="19"/>
  <c r="N23" i="18"/>
  <c r="X22" i="18"/>
  <c r="I13" i="18"/>
  <c r="K13" i="18"/>
  <c r="F24" i="19"/>
  <c r="A25" i="19"/>
  <c r="B25" i="18"/>
  <c r="L24" i="18"/>
  <c r="J24" i="18"/>
  <c r="W24" i="21" l="1"/>
  <c r="Y24" i="21" s="1"/>
  <c r="R24" i="21"/>
  <c r="T24" i="21" s="1"/>
  <c r="D25" i="21"/>
  <c r="E24" i="21"/>
  <c r="F24" i="21" s="1"/>
  <c r="Z24" i="21" s="1"/>
  <c r="I13" i="22"/>
  <c r="R13" i="22"/>
  <c r="S13" i="22"/>
  <c r="S13" i="18"/>
  <c r="R13" i="18"/>
  <c r="P22" i="22"/>
  <c r="V22" i="22"/>
  <c r="C12" i="19"/>
  <c r="E15" i="18" s="1"/>
  <c r="J12" i="19"/>
  <c r="E14" i="18"/>
  <c r="Q14" i="18" s="1"/>
  <c r="E14" i="22"/>
  <c r="Q14" i="22" s="1"/>
  <c r="G13" i="19"/>
  <c r="H13" i="19" s="1"/>
  <c r="X29" i="22"/>
  <c r="J28" i="22"/>
  <c r="B29" i="22"/>
  <c r="L28" i="22"/>
  <c r="S23" i="19"/>
  <c r="M23" i="19"/>
  <c r="L23" i="19"/>
  <c r="M30" i="21"/>
  <c r="M32" i="21" s="1"/>
  <c r="K24" i="19"/>
  <c r="N24" i="19"/>
  <c r="O24" i="19" s="1"/>
  <c r="P23" i="19"/>
  <c r="N24" i="18"/>
  <c r="D20" i="19"/>
  <c r="X23" i="18"/>
  <c r="P22" i="18"/>
  <c r="V22" i="18"/>
  <c r="B26" i="18"/>
  <c r="L25" i="18"/>
  <c r="J25" i="18"/>
  <c r="A26" i="19"/>
  <c r="F26" i="19" s="1"/>
  <c r="F25" i="19"/>
  <c r="W25" i="21" l="1"/>
  <c r="Y25" i="21" s="1"/>
  <c r="D26" i="21"/>
  <c r="E25" i="21"/>
  <c r="F25" i="21" s="1"/>
  <c r="Z25" i="21" s="1"/>
  <c r="R25" i="21"/>
  <c r="T25" i="21" s="1"/>
  <c r="E15" i="22"/>
  <c r="Q15" i="22" s="1"/>
  <c r="R15" i="22" s="1"/>
  <c r="U13" i="22"/>
  <c r="W13" i="22"/>
  <c r="F15" i="18"/>
  <c r="Q15" i="18"/>
  <c r="R15" i="18" s="1"/>
  <c r="P23" i="22"/>
  <c r="V23" i="22"/>
  <c r="F15" i="22"/>
  <c r="U13" i="18"/>
  <c r="W13" i="18"/>
  <c r="P24" i="19"/>
  <c r="I13" i="19"/>
  <c r="J13" i="19" s="1"/>
  <c r="F14" i="18"/>
  <c r="G14" i="18"/>
  <c r="G14" i="22"/>
  <c r="F14" i="22"/>
  <c r="R14" i="18"/>
  <c r="S14" i="18"/>
  <c r="S14" i="22"/>
  <c r="R14" i="22"/>
  <c r="J29" i="22"/>
  <c r="L29" i="22"/>
  <c r="L24" i="19"/>
  <c r="M24" i="19"/>
  <c r="S24" i="19"/>
  <c r="K26" i="19"/>
  <c r="N26" i="19"/>
  <c r="P26" i="19" s="1"/>
  <c r="K25" i="19"/>
  <c r="N25" i="19"/>
  <c r="O25" i="19" s="1"/>
  <c r="P23" i="18"/>
  <c r="V23" i="18"/>
  <c r="X24" i="18"/>
  <c r="N25" i="18"/>
  <c r="D21" i="19"/>
  <c r="B27" i="18"/>
  <c r="L26" i="18"/>
  <c r="J26" i="18"/>
  <c r="W26" i="21" l="1"/>
  <c r="Y26" i="21" s="1"/>
  <c r="R26" i="21"/>
  <c r="T26" i="21" s="1"/>
  <c r="D27" i="21"/>
  <c r="E26" i="21"/>
  <c r="F26" i="21" s="1"/>
  <c r="Z26" i="21" s="1"/>
  <c r="C13" i="19"/>
  <c r="E16" i="22" s="1"/>
  <c r="Q16" i="22" s="1"/>
  <c r="G14" i="19"/>
  <c r="H14" i="19" s="1"/>
  <c r="K28" i="19"/>
  <c r="P24" i="22"/>
  <c r="V24" i="22"/>
  <c r="K14" i="22"/>
  <c r="G15" i="22"/>
  <c r="I14" i="22"/>
  <c r="I14" i="19"/>
  <c r="I14" i="18"/>
  <c r="K14" i="18"/>
  <c r="W14" i="22"/>
  <c r="U14" i="22"/>
  <c r="S15" i="22"/>
  <c r="G15" i="18"/>
  <c r="U14" i="18"/>
  <c r="W14" i="18"/>
  <c r="S15" i="18"/>
  <c r="P25" i="19"/>
  <c r="L25" i="19"/>
  <c r="S25" i="19"/>
  <c r="M25" i="19"/>
  <c r="M26" i="19"/>
  <c r="L26" i="19"/>
  <c r="S26" i="19"/>
  <c r="R27" i="19" s="1"/>
  <c r="O26" i="19"/>
  <c r="N26" i="18"/>
  <c r="X25" i="18"/>
  <c r="D22" i="19"/>
  <c r="P24" i="18"/>
  <c r="V24" i="18"/>
  <c r="B28" i="18"/>
  <c r="L27" i="18"/>
  <c r="J27" i="18"/>
  <c r="W27" i="21" l="1"/>
  <c r="Y27" i="21" s="1"/>
  <c r="R27" i="21"/>
  <c r="T27" i="21" s="1"/>
  <c r="E27" i="21"/>
  <c r="F27" i="21" s="1"/>
  <c r="Z27" i="21" s="1"/>
  <c r="D28" i="21"/>
  <c r="E16" i="18"/>
  <c r="Q16" i="18" s="1"/>
  <c r="S16" i="18" s="1"/>
  <c r="G15" i="19"/>
  <c r="H15" i="19" s="1"/>
  <c r="I15" i="19" s="1"/>
  <c r="J14" i="19"/>
  <c r="P25" i="22"/>
  <c r="V25" i="22"/>
  <c r="O31" i="19"/>
  <c r="L31" i="19"/>
  <c r="J28" i="19"/>
  <c r="L29" i="19"/>
  <c r="I15" i="22"/>
  <c r="K15" i="22"/>
  <c r="I15" i="18"/>
  <c r="K15" i="18"/>
  <c r="C14" i="19"/>
  <c r="W15" i="22"/>
  <c r="U15" i="22"/>
  <c r="F16" i="22"/>
  <c r="G16" i="22"/>
  <c r="R16" i="22"/>
  <c r="S16" i="22"/>
  <c r="U15" i="18"/>
  <c r="W15" i="18"/>
  <c r="P25" i="18"/>
  <c r="V25" i="18"/>
  <c r="X26" i="18"/>
  <c r="N27" i="18"/>
  <c r="D23" i="19"/>
  <c r="L28" i="18"/>
  <c r="B29" i="18"/>
  <c r="J28" i="18"/>
  <c r="W28" i="21" l="1"/>
  <c r="Y28" i="21" s="1"/>
  <c r="R28" i="21"/>
  <c r="T28" i="21" s="1"/>
  <c r="D29" i="21"/>
  <c r="E28" i="21"/>
  <c r="F28" i="21" s="1"/>
  <c r="Z28" i="21" s="1"/>
  <c r="G16" i="18"/>
  <c r="R16" i="18"/>
  <c r="F16" i="18"/>
  <c r="G16" i="19"/>
  <c r="H16" i="19" s="1"/>
  <c r="I16" i="19" s="1"/>
  <c r="J16" i="19" s="1"/>
  <c r="O32" i="19"/>
  <c r="L32" i="19"/>
  <c r="P26" i="18"/>
  <c r="P26" i="22"/>
  <c r="V26" i="22"/>
  <c r="J15" i="19"/>
  <c r="C15" i="19"/>
  <c r="U16" i="22"/>
  <c r="W16" i="22"/>
  <c r="E17" i="22"/>
  <c r="Q17" i="22" s="1"/>
  <c r="E17" i="18"/>
  <c r="Q17" i="18" s="1"/>
  <c r="K16" i="22"/>
  <c r="I16" i="22"/>
  <c r="U16" i="18"/>
  <c r="W16" i="18"/>
  <c r="I16" i="18"/>
  <c r="K16" i="18"/>
  <c r="N28" i="18"/>
  <c r="D24" i="19"/>
  <c r="X27" i="18"/>
  <c r="V26" i="18"/>
  <c r="L29" i="18"/>
  <c r="J29" i="18"/>
  <c r="B37" i="17" s="1"/>
  <c r="C16" i="19"/>
  <c r="W29" i="21" l="1"/>
  <c r="R29" i="21"/>
  <c r="E29" i="21"/>
  <c r="E18" i="22"/>
  <c r="E18" i="18"/>
  <c r="P27" i="18"/>
  <c r="P27" i="22"/>
  <c r="V27" i="22"/>
  <c r="R17" i="18"/>
  <c r="S17" i="18"/>
  <c r="F17" i="18"/>
  <c r="G17" i="18"/>
  <c r="R17" i="22"/>
  <c r="S17" i="22"/>
  <c r="F17" i="22"/>
  <c r="G17" i="22"/>
  <c r="E19" i="22"/>
  <c r="Q19" i="22" s="1"/>
  <c r="V27" i="18"/>
  <c r="D25" i="19"/>
  <c r="X28" i="18"/>
  <c r="N29" i="18"/>
  <c r="G17" i="19"/>
  <c r="H17" i="19" s="1"/>
  <c r="E19" i="18"/>
  <c r="Q19" i="18" s="1"/>
  <c r="W30" i="21" l="1"/>
  <c r="Y29" i="21"/>
  <c r="Y30" i="21" s="1"/>
  <c r="Y32" i="21" s="1"/>
  <c r="F29" i="21"/>
  <c r="Z29" i="21" s="1"/>
  <c r="Z30" i="21" s="1"/>
  <c r="Y33" i="21" s="1"/>
  <c r="Y34" i="21" s="1"/>
  <c r="R30" i="21"/>
  <c r="T29" i="21"/>
  <c r="T30" i="21" s="1"/>
  <c r="S33" i="21" s="1"/>
  <c r="S34" i="21" s="1"/>
  <c r="M33" i="21" s="1"/>
  <c r="P28" i="22"/>
  <c r="V28" i="22"/>
  <c r="Q18" i="18"/>
  <c r="R18" i="18" s="1"/>
  <c r="F18" i="18"/>
  <c r="Q18" i="22"/>
  <c r="R18" i="22" s="1"/>
  <c r="F18" i="22"/>
  <c r="U17" i="18"/>
  <c r="W17" i="18"/>
  <c r="I17" i="22"/>
  <c r="K17" i="22"/>
  <c r="G18" i="22"/>
  <c r="W17" i="22"/>
  <c r="U17" i="22"/>
  <c r="I17" i="18"/>
  <c r="K17" i="18"/>
  <c r="G18" i="18"/>
  <c r="G19" i="18" s="1"/>
  <c r="I19" i="18" s="1"/>
  <c r="I17" i="19"/>
  <c r="R19" i="22"/>
  <c r="F19" i="22"/>
  <c r="X29" i="18"/>
  <c r="D26" i="19"/>
  <c r="P28" i="18"/>
  <c r="V28" i="18"/>
  <c r="R19" i="18"/>
  <c r="F19" i="18"/>
  <c r="F30" i="21" l="1"/>
  <c r="F32" i="21" s="1"/>
  <c r="M34" i="21" s="1"/>
  <c r="S18" i="22"/>
  <c r="W18" i="22" s="1"/>
  <c r="C17" i="19"/>
  <c r="E20" i="18" s="1"/>
  <c r="J17" i="19"/>
  <c r="P29" i="22"/>
  <c r="P30" i="22" s="1"/>
  <c r="V29" i="22"/>
  <c r="S18" i="18"/>
  <c r="S19" i="18" s="1"/>
  <c r="U19" i="18" s="1"/>
  <c r="I18" i="22"/>
  <c r="K18" i="22"/>
  <c r="I18" i="18"/>
  <c r="K18" i="18"/>
  <c r="G18" i="19"/>
  <c r="H18" i="19" s="1"/>
  <c r="G19" i="22"/>
  <c r="I19" i="22" s="1"/>
  <c r="P29" i="18"/>
  <c r="P30" i="18" s="1"/>
  <c r="V29" i="18"/>
  <c r="K19" i="18"/>
  <c r="S19" i="22" l="1"/>
  <c r="W19" i="22" s="1"/>
  <c r="U18" i="22"/>
  <c r="U18" i="18"/>
  <c r="W19" i="18"/>
  <c r="W18" i="18"/>
  <c r="U19" i="22"/>
  <c r="G20" i="18"/>
  <c r="I20" i="18" s="1"/>
  <c r="Q20" i="18"/>
  <c r="S20" i="18" s="1"/>
  <c r="U20" i="18" s="1"/>
  <c r="E20" i="22"/>
  <c r="G20" i="22" s="1"/>
  <c r="K19" i="22"/>
  <c r="I18" i="19"/>
  <c r="F20" i="18"/>
  <c r="K20" i="22" l="1"/>
  <c r="I20" i="22"/>
  <c r="W20" i="18"/>
  <c r="R20" i="18"/>
  <c r="C18" i="19"/>
  <c r="E21" i="22" s="1"/>
  <c r="Q21" i="22" s="1"/>
  <c r="J18" i="19"/>
  <c r="K20" i="18"/>
  <c r="G19" i="19"/>
  <c r="H19" i="19" s="1"/>
  <c r="I19" i="19" s="1"/>
  <c r="G20" i="19" s="1"/>
  <c r="H20" i="19" s="1"/>
  <c r="Q20" i="22"/>
  <c r="F20" i="22"/>
  <c r="E21" i="18" l="1"/>
  <c r="Q21" i="18" s="1"/>
  <c r="C19" i="19"/>
  <c r="J19" i="19"/>
  <c r="R20" i="22"/>
  <c r="S20" i="22"/>
  <c r="S21" i="22" s="1"/>
  <c r="R21" i="18"/>
  <c r="S21" i="18"/>
  <c r="R21" i="22"/>
  <c r="G21" i="18"/>
  <c r="I20" i="19"/>
  <c r="F21" i="22"/>
  <c r="G21" i="22"/>
  <c r="F21" i="18" l="1"/>
  <c r="C20" i="19"/>
  <c r="E23" i="18" s="1"/>
  <c r="J20" i="19"/>
  <c r="W20" i="22"/>
  <c r="U20" i="22"/>
  <c r="G21" i="19"/>
  <c r="H21" i="19" s="1"/>
  <c r="I21" i="19" s="1"/>
  <c r="E22" i="22"/>
  <c r="E22" i="18"/>
  <c r="I21" i="18"/>
  <c r="K21" i="18"/>
  <c r="U21" i="22"/>
  <c r="W21" i="22"/>
  <c r="K21" i="22"/>
  <c r="I21" i="22"/>
  <c r="U21" i="18"/>
  <c r="W21" i="18"/>
  <c r="E23" i="22" l="1"/>
  <c r="Q23" i="22" s="1"/>
  <c r="R23" i="22" s="1"/>
  <c r="Q22" i="18"/>
  <c r="F22" i="18"/>
  <c r="G22" i="18"/>
  <c r="Q22" i="22"/>
  <c r="F22" i="22"/>
  <c r="G22" i="22"/>
  <c r="G22" i="19"/>
  <c r="H22" i="19" s="1"/>
  <c r="I22" i="19" s="1"/>
  <c r="J22" i="19" s="1"/>
  <c r="J21" i="19"/>
  <c r="F23" i="18"/>
  <c r="Q23" i="18"/>
  <c r="R23" i="18" s="1"/>
  <c r="C21" i="19"/>
  <c r="F23" i="22" l="1"/>
  <c r="C22" i="19"/>
  <c r="E25" i="18" s="1"/>
  <c r="Q25" i="18" s="1"/>
  <c r="I22" i="18"/>
  <c r="K22" i="18"/>
  <c r="K22" i="22"/>
  <c r="I22" i="22"/>
  <c r="R22" i="22"/>
  <c r="S22" i="22"/>
  <c r="G23" i="18"/>
  <c r="I23" i="18" s="1"/>
  <c r="G23" i="22"/>
  <c r="R22" i="18"/>
  <c r="S22" i="18"/>
  <c r="E24" i="22"/>
  <c r="Q24" i="22" s="1"/>
  <c r="E24" i="18"/>
  <c r="Q24" i="18" s="1"/>
  <c r="G23" i="19"/>
  <c r="H23" i="19" s="1"/>
  <c r="I23" i="19" s="1"/>
  <c r="J23" i="19" s="1"/>
  <c r="E25" i="22" l="1"/>
  <c r="Q25" i="22" s="1"/>
  <c r="R25" i="22" s="1"/>
  <c r="W22" i="22"/>
  <c r="U22" i="22"/>
  <c r="S23" i="22"/>
  <c r="K23" i="18"/>
  <c r="U22" i="18"/>
  <c r="W22" i="18"/>
  <c r="S23" i="18"/>
  <c r="K23" i="22"/>
  <c r="I23" i="22"/>
  <c r="R24" i="22"/>
  <c r="S24" i="22"/>
  <c r="R24" i="18"/>
  <c r="G24" i="18"/>
  <c r="G25" i="18" s="1"/>
  <c r="I25" i="18" s="1"/>
  <c r="F24" i="18"/>
  <c r="F24" i="22"/>
  <c r="G24" i="22"/>
  <c r="F25" i="22"/>
  <c r="C23" i="19"/>
  <c r="F25" i="18"/>
  <c r="R25" i="18"/>
  <c r="S25" i="22" l="1"/>
  <c r="U23" i="18"/>
  <c r="W23" i="18"/>
  <c r="S24" i="18"/>
  <c r="U24" i="18" s="1"/>
  <c r="W23" i="22"/>
  <c r="U23" i="22"/>
  <c r="I24" i="18"/>
  <c r="K24" i="18"/>
  <c r="W24" i="22"/>
  <c r="U24" i="22"/>
  <c r="I24" i="22"/>
  <c r="K24" i="22"/>
  <c r="W24" i="18"/>
  <c r="G25" i="22"/>
  <c r="I25" i="22" s="1"/>
  <c r="S25" i="18"/>
  <c r="U25" i="18" s="1"/>
  <c r="E26" i="22"/>
  <c r="Q26" i="22" s="1"/>
  <c r="W25" i="22"/>
  <c r="U25" i="22"/>
  <c r="K25" i="18"/>
  <c r="E26" i="18"/>
  <c r="Q26" i="18" s="1"/>
  <c r="G24" i="19"/>
  <c r="H24" i="19" s="1"/>
  <c r="I24" i="19" s="1"/>
  <c r="J24" i="19" s="1"/>
  <c r="K25" i="22" l="1"/>
  <c r="W25" i="18"/>
  <c r="F26" i="22"/>
  <c r="G26" i="22"/>
  <c r="R26" i="22"/>
  <c r="S26" i="22"/>
  <c r="R26" i="18"/>
  <c r="S26" i="18"/>
  <c r="U26" i="18" s="1"/>
  <c r="C24" i="19"/>
  <c r="F26" i="18"/>
  <c r="G26" i="18"/>
  <c r="I26" i="18" s="1"/>
  <c r="K26" i="22" l="1"/>
  <c r="I26" i="22"/>
  <c r="E27" i="22"/>
  <c r="Q27" i="22" s="1"/>
  <c r="U26" i="22"/>
  <c r="W26" i="22"/>
  <c r="G25" i="19"/>
  <c r="H25" i="19" s="1"/>
  <c r="I25" i="19" s="1"/>
  <c r="J25" i="19" s="1"/>
  <c r="K26" i="18"/>
  <c r="E27" i="18"/>
  <c r="Q27" i="18" s="1"/>
  <c r="W26" i="18"/>
  <c r="R27" i="22" l="1"/>
  <c r="S27" i="22"/>
  <c r="F27" i="22"/>
  <c r="G27" i="22"/>
  <c r="R27" i="18"/>
  <c r="S27" i="18"/>
  <c r="U27" i="18" s="1"/>
  <c r="F27" i="18"/>
  <c r="G27" i="18"/>
  <c r="I27" i="18" s="1"/>
  <c r="C25" i="19"/>
  <c r="I27" i="22" l="1"/>
  <c r="K27" i="22"/>
  <c r="U27" i="22"/>
  <c r="W27" i="22"/>
  <c r="E28" i="22"/>
  <c r="Q28" i="22" s="1"/>
  <c r="G26" i="19"/>
  <c r="H26" i="19" s="1"/>
  <c r="E28" i="18"/>
  <c r="Q28" i="18" s="1"/>
  <c r="K27" i="18"/>
  <c r="W27" i="18"/>
  <c r="I26" i="19" l="1"/>
  <c r="F28" i="22"/>
  <c r="G28" i="22"/>
  <c r="R28" i="22"/>
  <c r="S28" i="22"/>
  <c r="R28" i="18"/>
  <c r="S28" i="18"/>
  <c r="U28" i="18" s="1"/>
  <c r="F28" i="18"/>
  <c r="G28" i="18"/>
  <c r="I28" i="18" s="1"/>
  <c r="C26" i="19" l="1"/>
  <c r="E29" i="18" s="1"/>
  <c r="J26" i="19"/>
  <c r="U28" i="22"/>
  <c r="W28" i="22"/>
  <c r="K28" i="22"/>
  <c r="I28" i="22"/>
  <c r="K28" i="18"/>
  <c r="W28" i="18"/>
  <c r="E29" i="22" l="1"/>
  <c r="Q29" i="22" s="1"/>
  <c r="S29" i="22" s="1"/>
  <c r="U29" i="22" s="1"/>
  <c r="F29" i="18"/>
  <c r="Q29" i="18"/>
  <c r="S29" i="18" s="1"/>
  <c r="U29" i="18" s="1"/>
  <c r="G29" i="18"/>
  <c r="I29" i="18" s="1"/>
  <c r="W29" i="22" l="1"/>
  <c r="W29" i="18"/>
  <c r="B41" i="17" s="1"/>
  <c r="Q30" i="22"/>
  <c r="S30" i="22" s="1"/>
  <c r="S32" i="22" s="1"/>
  <c r="G29" i="22"/>
  <c r="K29" i="22" s="1"/>
  <c r="R29" i="22"/>
  <c r="F29" i="22"/>
  <c r="Q30" i="18"/>
  <c r="S30" i="18" s="1"/>
  <c r="K29" i="18"/>
  <c r="B36" i="17"/>
  <c r="B40" i="17" s="1"/>
  <c r="R29" i="18"/>
  <c r="Q34" i="22" l="1"/>
  <c r="P32" i="18"/>
  <c r="P34" i="18" s="1"/>
  <c r="Q34" i="18" s="1"/>
  <c r="O34" i="22"/>
  <c r="O36" i="22" s="1"/>
  <c r="Q36" i="22" s="1"/>
  <c r="Q37" i="22" s="1"/>
  <c r="B39" i="17"/>
  <c r="B34" i="17" s="1"/>
  <c r="I29" i="22"/>
  <c r="S31" i="18"/>
  <c r="T31" i="18" s="1"/>
  <c r="S32" i="18"/>
  <c r="S33" i="18" s="1"/>
  <c r="S31" i="22"/>
  <c r="T31" i="22" s="1"/>
  <c r="S33" i="22" l="1"/>
</calcChain>
</file>

<file path=xl/sharedStrings.xml><?xml version="1.0" encoding="utf-8"?>
<sst xmlns="http://schemas.openxmlformats.org/spreadsheetml/2006/main" count="288" uniqueCount="172">
  <si>
    <t>Year</t>
  </si>
  <si>
    <t>SPV</t>
  </si>
  <si>
    <t>Energy</t>
  </si>
  <si>
    <t>Net Savings</t>
  </si>
  <si>
    <t>kWh</t>
  </si>
  <si>
    <t>Nominal</t>
  </si>
  <si>
    <t>Required Information</t>
  </si>
  <si>
    <t>Value</t>
  </si>
  <si>
    <t>Unit</t>
  </si>
  <si>
    <t>Dollars</t>
  </si>
  <si>
    <t>Percentage</t>
  </si>
  <si>
    <t>Dollars/kWh</t>
  </si>
  <si>
    <t>Personal Information</t>
  </si>
  <si>
    <t>Electric Utility Information</t>
  </si>
  <si>
    <t>Proposed System Information</t>
  </si>
  <si>
    <t>System Size</t>
  </si>
  <si>
    <t>System Installed Cost</t>
  </si>
  <si>
    <t>Tax Credit</t>
  </si>
  <si>
    <t>State Grant</t>
  </si>
  <si>
    <t>Watts</t>
  </si>
  <si>
    <t>Out-of-Pocket Costs</t>
  </si>
  <si>
    <t>Prior Year's Annual Consumption</t>
  </si>
  <si>
    <t>SREC Payments</t>
  </si>
  <si>
    <t>Costs</t>
  </si>
  <si>
    <t>Benefits</t>
  </si>
  <si>
    <t>Cumulative Benefits</t>
  </si>
  <si>
    <t>Cumulative Costs</t>
  </si>
  <si>
    <t>Study Period (Investment Time Horizon)</t>
  </si>
  <si>
    <t>Years</t>
  </si>
  <si>
    <t>Home Premium at Resale</t>
  </si>
  <si>
    <t>Nominal Benefits and Cost Comparisons</t>
  </si>
  <si>
    <t>Should I purchase the system?</t>
  </si>
  <si>
    <t>How much is my system worth at end of study period?</t>
  </si>
  <si>
    <t>How much did it cost me over the study period?</t>
  </si>
  <si>
    <t>How much profit did I make over the study period?</t>
  </si>
  <si>
    <t>How much do I save (energy + SRECS) over the study period?</t>
  </si>
  <si>
    <t>Solar Renewable Energy Credit (SREC) Information</t>
  </si>
  <si>
    <t>Real Discount Rate (excludes inflation)</t>
  </si>
  <si>
    <t>Flat Monthly Charge Increase</t>
  </si>
  <si>
    <t xml:space="preserve">SPV = </t>
  </si>
  <si>
    <t>Prod. Factor</t>
  </si>
  <si>
    <t>Real Benefits and Cost Comparisons</t>
  </si>
  <si>
    <t>Annual Benefits</t>
  </si>
  <si>
    <t>Payback Reached?</t>
  </si>
  <si>
    <t>Discounted</t>
  </si>
  <si>
    <t>(Yellow = User Input)</t>
  </si>
  <si>
    <t>$/kW</t>
  </si>
  <si>
    <t>Marginal Tax Rate</t>
  </si>
  <si>
    <t>Warranty Length (assumed lifetime)</t>
  </si>
  <si>
    <t>Year of Installation</t>
  </si>
  <si>
    <t>Yr</t>
  </si>
  <si>
    <t>Minimum Guaranteed Production (Year 1)</t>
  </si>
  <si>
    <t>SRECs</t>
  </si>
  <si>
    <t>Total</t>
  </si>
  <si>
    <t>Roll Over (MWh)</t>
  </si>
  <si>
    <t>Prod. (MWh)</t>
  </si>
  <si>
    <t>SREC Upfront (15 years)</t>
  </si>
  <si>
    <t>$/MWh*</t>
  </si>
  <si>
    <t>Date</t>
  </si>
  <si>
    <t>Final Decision (25 Yr)</t>
  </si>
  <si>
    <t>per watt</t>
  </si>
  <si>
    <t>Note: Values as of Dec 2019</t>
  </si>
  <si>
    <t>Marginal Rate paid for Excess Production</t>
  </si>
  <si>
    <t>Marginal Rate paid for Consumption</t>
  </si>
  <si>
    <t>gross</t>
  </si>
  <si>
    <t>net</t>
  </si>
  <si>
    <t>SREC Combo Annuity (Years 4-10; 2025-2031)</t>
  </si>
  <si>
    <t>SREC Combo Annuity (Years 1-3; 2021-2024)</t>
  </si>
  <si>
    <t>SREC Market Rate (Year 11+; 2032+)</t>
  </si>
  <si>
    <t>kWh/W</t>
  </si>
  <si>
    <t>Address</t>
  </si>
  <si>
    <t>State</t>
  </si>
  <si>
    <t>City</t>
  </si>
  <si>
    <t>ZIP</t>
  </si>
  <si>
    <t>Maryland</t>
  </si>
  <si>
    <t>Silver Spring</t>
  </si>
  <si>
    <t>8715 Leonard Dr</t>
  </si>
  <si>
    <t>Electric Utility</t>
  </si>
  <si>
    <t>Variable</t>
  </si>
  <si>
    <t>Location</t>
  </si>
  <si>
    <t>Electricity Rate Info</t>
  </si>
  <si>
    <t>PEPCO</t>
  </si>
  <si>
    <t>Annual Consumption</t>
  </si>
  <si>
    <t>Monthly Charge</t>
  </si>
  <si>
    <t>Electricity Unit Price</t>
  </si>
  <si>
    <t>Metering</t>
  </si>
  <si>
    <t>Net Metering</t>
  </si>
  <si>
    <t>Excess Generation Price</t>
  </si>
  <si>
    <t>PV Grid Connection Fee</t>
  </si>
  <si>
    <t>Electricity Escalation Rate</t>
  </si>
  <si>
    <t>Economic Assumptions</t>
  </si>
  <si>
    <t>Discount Rate (real)</t>
  </si>
  <si>
    <t>Reinvestment Rate</t>
  </si>
  <si>
    <t>Study Period</t>
  </si>
  <si>
    <t>What is my Present Value Net Savings?</t>
  </si>
  <si>
    <t>What is my Nominal Annual Return on Investment?</t>
  </si>
  <si>
    <t>PV System Details</t>
  </si>
  <si>
    <t>Panel Brand/Type</t>
  </si>
  <si>
    <t>Inverter Type</t>
  </si>
  <si>
    <t>Est Annual Production</t>
  </si>
  <si>
    <t>Grid Elect. Costs</t>
  </si>
  <si>
    <t>Electric Utility Name</t>
  </si>
  <si>
    <t>PV System Costs</t>
  </si>
  <si>
    <t>Total Installation Costs</t>
  </si>
  <si>
    <t>Demand Charge</t>
  </si>
  <si>
    <t>Fed Tax Credit</t>
  </si>
  <si>
    <t>Consumption Rate</t>
  </si>
  <si>
    <t>State/Local Grants/Rebates</t>
  </si>
  <si>
    <t>Net or Gross Metering</t>
  </si>
  <si>
    <t>PPA Option</t>
  </si>
  <si>
    <t>Production Rate</t>
  </si>
  <si>
    <t>Further Details</t>
  </si>
  <si>
    <t>PPA Details</t>
  </si>
  <si>
    <t>Contract Length</t>
  </si>
  <si>
    <t>Purchase Price</t>
  </si>
  <si>
    <t>Analysis Assumptions</t>
  </si>
  <si>
    <t>Limitations</t>
  </si>
  <si>
    <t>Solar PV System</t>
  </si>
  <si>
    <t>Study period</t>
  </si>
  <si>
    <t>Panel lifetime</t>
  </si>
  <si>
    <t>Real discount rate</t>
  </si>
  <si>
    <t>Inverter lifetime</t>
  </si>
  <si>
    <t>General inflation rate</t>
  </si>
  <si>
    <t>Inverter replacement costs</t>
  </si>
  <si>
    <t>Residual value approach</t>
  </si>
  <si>
    <t>Annual maintenance costs</t>
  </si>
  <si>
    <t>Degradation rate</t>
  </si>
  <si>
    <t>Purchasing Details</t>
  </si>
  <si>
    <t>Loan or Cash</t>
  </si>
  <si>
    <t>Down payment</t>
  </si>
  <si>
    <t>Nominal interest rate</t>
  </si>
  <si>
    <t>Monthly payment (optional)</t>
  </si>
  <si>
    <t>SREC Details</t>
  </si>
  <si>
    <t>Upfront payment</t>
  </si>
  <si>
    <t>Payment by Year of Study Period</t>
  </si>
  <si>
    <t>Sunpower</t>
  </si>
  <si>
    <t>Microinverter</t>
  </si>
  <si>
    <t>YES</t>
  </si>
  <si>
    <t>Cash</t>
  </si>
  <si>
    <t>N/A</t>
  </si>
  <si>
    <t>Annual esc rates (array of this value)</t>
  </si>
  <si>
    <t>Out-of-Pocket Costs after tax credits and rebates</t>
  </si>
  <si>
    <t>PPA</t>
  </si>
  <si>
    <t>Purchase</t>
  </si>
  <si>
    <t>Baseline</t>
  </si>
  <si>
    <t>Consumption</t>
  </si>
  <si>
    <t>Price</t>
  </si>
  <si>
    <t>Real</t>
  </si>
  <si>
    <t>PPA Cost</t>
  </si>
  <si>
    <t>Total Cost</t>
  </si>
  <si>
    <t>Real Escalation Rate</t>
  </si>
  <si>
    <t>Nominal Escalation Rate</t>
  </si>
  <si>
    <t>Nominal Discount Rate</t>
  </si>
  <si>
    <t>[400,,400,400,300,300,300,300,300,300,300]</t>
  </si>
  <si>
    <t>Real Escalation Rate (constant)</t>
  </si>
  <si>
    <t>PPA Electricity Rate</t>
  </si>
  <si>
    <t>Assumed to have no value (conservative assumption)</t>
  </si>
  <si>
    <t>90% of quoted estimate</t>
  </si>
  <si>
    <t>DPV</t>
  </si>
  <si>
    <t>Excess Prod.</t>
  </si>
  <si>
    <t>Nominal Costs</t>
  </si>
  <si>
    <t>Production</t>
  </si>
  <si>
    <t>Net Grid Costs</t>
  </si>
  <si>
    <t>Electricity Costs</t>
  </si>
  <si>
    <t>Grid Elect. Costs with Net Metering</t>
  </si>
  <si>
    <t>Grid Elect. Costs with Feed In Tariff</t>
  </si>
  <si>
    <t>Example 2</t>
  </si>
  <si>
    <t>Feed In Tariff Value</t>
  </si>
  <si>
    <t>Net Cons</t>
  </si>
  <si>
    <t>Feed In Tariff</t>
  </si>
  <si>
    <t xml:space="preserve">Alternative 0 = </t>
  </si>
  <si>
    <t>Baseline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</si>
</sst>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&quot;$&quot;* #,##0_);_(&quot;$&quot;* \(#,##0\);_(&quot;$&quot;* &quot;-&quot;??_);_(@_)"/>
    <numFmt numFmtId="167" formatCode="0.0%"/>
    <numFmt numFmtId="168" formatCode="&quot;$&quot;#,##0.00"/>
    <numFmt numFmtId="169" formatCode="&quot;$&quot;#,##0"/>
    <numFmt numFmtId="170" formatCode="_(&quot;$&quot;* #,##0.000_);_(&quot;$&quot;* \(#,##0.000\);_(&quot;$&quot;* &quot;-&quot;??_);_(@_)"/>
    <numFmt numFmtId="171" formatCode="_(* #,##0_);_(* \(#,##0\);_(* &quot;-&quot;??_);_(@_)"/>
    <numFmt numFmtId="172" formatCode="&quot;$&quot;#,##0.000000"/>
    <numFmt numFmtId="173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44" fontId="0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165" fontId="0" fillId="0" borderId="0" xfId="0" applyNumberFormat="1" applyFo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1" applyNumberFormat="1" applyFont="1"/>
    <xf numFmtId="0" fontId="0" fillId="0" borderId="0" xfId="0" applyFont="1"/>
    <xf numFmtId="167" fontId="0" fillId="0" borderId="0" xfId="2" applyNumberFormat="1" applyFont="1"/>
    <xf numFmtId="2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1" fontId="2" fillId="0" borderId="0" xfId="0" applyNumberFormat="1" applyFont="1"/>
    <xf numFmtId="0" fontId="4" fillId="0" borderId="0" xfId="0" applyFont="1"/>
    <xf numFmtId="44" fontId="2" fillId="0" borderId="0" xfId="1" applyFont="1"/>
    <xf numFmtId="169" fontId="2" fillId="0" borderId="0" xfId="0" applyNumberFormat="1" applyFont="1"/>
    <xf numFmtId="169" fontId="4" fillId="0" borderId="0" xfId="0" applyNumberFormat="1" applyFont="1"/>
    <xf numFmtId="44" fontId="2" fillId="0" borderId="0" xfId="0" applyNumberFormat="1" applyFont="1"/>
    <xf numFmtId="10" fontId="0" fillId="0" borderId="0" xfId="0" applyNumberFormat="1"/>
    <xf numFmtId="167" fontId="2" fillId="0" borderId="0" xfId="2" applyNumberFormat="1" applyFont="1"/>
    <xf numFmtId="0" fontId="5" fillId="0" borderId="1" xfId="0" applyFont="1" applyBorder="1"/>
    <xf numFmtId="166" fontId="5" fillId="0" borderId="1" xfId="0" applyNumberFormat="1" applyFont="1" applyBorder="1"/>
    <xf numFmtId="0" fontId="0" fillId="0" borderId="1" xfId="0" applyBorder="1"/>
    <xf numFmtId="170" fontId="0" fillId="2" borderId="0" xfId="1" applyNumberFormat="1" applyFont="1" applyFill="1"/>
    <xf numFmtId="166" fontId="0" fillId="2" borderId="1" xfId="1" applyNumberFormat="1" applyFont="1" applyFill="1" applyBorder="1"/>
    <xf numFmtId="44" fontId="0" fillId="2" borderId="0" xfId="1" applyFont="1" applyFill="1"/>
    <xf numFmtId="44" fontId="2" fillId="0" borderId="0" xfId="1" applyFont="1" applyAlignment="1">
      <alignment horizontal="center"/>
    </xf>
    <xf numFmtId="44" fontId="4" fillId="0" borderId="0" xfId="1" applyFont="1"/>
    <xf numFmtId="44" fontId="3" fillId="0" borderId="0" xfId="1" applyFont="1"/>
    <xf numFmtId="171" fontId="0" fillId="2" borderId="0" xfId="3" applyNumberFormat="1" applyFont="1" applyFill="1"/>
    <xf numFmtId="172" fontId="0" fillId="0" borderId="0" xfId="0" applyNumberFormat="1"/>
    <xf numFmtId="166" fontId="0" fillId="2" borderId="0" xfId="0" applyNumberFormat="1" applyFill="1"/>
    <xf numFmtId="1" fontId="1" fillId="2" borderId="0" xfId="1" applyNumberFormat="1" applyFont="1" applyFill="1"/>
    <xf numFmtId="167" fontId="0" fillId="0" borderId="0" xfId="1" applyNumberFormat="1" applyFont="1" applyFill="1"/>
    <xf numFmtId="2" fontId="0" fillId="0" borderId="0" xfId="0" applyNumberFormat="1"/>
    <xf numFmtId="44" fontId="1" fillId="0" borderId="0" xfId="1" applyFont="1"/>
    <xf numFmtId="43" fontId="0" fillId="0" borderId="0" xfId="0" applyNumberFormat="1"/>
    <xf numFmtId="166" fontId="0" fillId="2" borderId="0" xfId="1" applyNumberFormat="1" applyFont="1" applyFill="1"/>
    <xf numFmtId="0" fontId="0" fillId="2" borderId="0" xfId="0" applyFill="1"/>
    <xf numFmtId="170" fontId="0" fillId="0" borderId="0" xfId="1" applyNumberFormat="1" applyFont="1" applyFill="1"/>
    <xf numFmtId="44" fontId="0" fillId="0" borderId="0" xfId="1" applyNumberFormat="1" applyFont="1" applyFill="1"/>
    <xf numFmtId="9" fontId="0" fillId="0" borderId="0" xfId="1" applyNumberFormat="1" applyFont="1" applyFill="1"/>
    <xf numFmtId="9" fontId="0" fillId="0" borderId="0" xfId="0" applyNumberFormat="1"/>
    <xf numFmtId="10" fontId="0" fillId="2" borderId="0" xfId="0" applyNumberFormat="1" applyFill="1"/>
    <xf numFmtId="171" fontId="0" fillId="0" borderId="0" xfId="3" applyNumberFormat="1" applyFont="1" applyFill="1"/>
    <xf numFmtId="9" fontId="0" fillId="2" borderId="0" xfId="0" applyNumberFormat="1" applyFill="1"/>
    <xf numFmtId="1" fontId="0" fillId="0" borderId="0" xfId="1" applyNumberFormat="1" applyFont="1" applyFill="1"/>
    <xf numFmtId="10" fontId="0" fillId="0" borderId="0" xfId="1" applyNumberFormat="1" applyFont="1" applyFill="1"/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center" wrapText="1"/>
    </xf>
    <xf numFmtId="9" fontId="7" fillId="0" borderId="2" xfId="0" applyNumberFormat="1" applyFont="1" applyBorder="1" applyAlignment="1">
      <alignment vertical="center" wrapText="1"/>
    </xf>
    <xf numFmtId="0" fontId="0" fillId="0" borderId="0" xfId="0" applyFill="1"/>
    <xf numFmtId="44" fontId="0" fillId="0" borderId="0" xfId="1" applyFont="1" applyFill="1"/>
    <xf numFmtId="0" fontId="0" fillId="0" borderId="2" xfId="0" applyFill="1" applyBorder="1" applyAlignment="1">
      <alignment vertical="top" wrapText="1"/>
    </xf>
    <xf numFmtId="0" fontId="6" fillId="0" borderId="2" xfId="0" applyFont="1" applyFill="1" applyBorder="1" applyAlignment="1">
      <alignment vertical="center" wrapText="1"/>
    </xf>
    <xf numFmtId="10" fontId="0" fillId="0" borderId="0" xfId="0" applyNumberFormat="1" applyFill="1"/>
    <xf numFmtId="10" fontId="7" fillId="0" borderId="2" xfId="0" applyNumberFormat="1" applyFont="1" applyBorder="1" applyAlignment="1">
      <alignment vertical="center" wrapText="1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/>
    <xf numFmtId="164" fontId="4" fillId="0" borderId="0" xfId="0" applyNumberFormat="1" applyFont="1"/>
    <xf numFmtId="44" fontId="3" fillId="0" borderId="0" xfId="1" applyFont="1" applyAlignment="1">
      <alignment horizontal="center"/>
    </xf>
    <xf numFmtId="9" fontId="0" fillId="0" borderId="0" xfId="2" applyFont="1"/>
    <xf numFmtId="173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10" fontId="0" fillId="0" borderId="0" xfId="2" applyNumberFormat="1" applyFont="1"/>
    <xf numFmtId="171" fontId="0" fillId="0" borderId="0" xfId="0" applyNumberFormat="1"/>
    <xf numFmtId="2" fontId="0" fillId="0" borderId="0" xfId="2" applyNumberFormat="1" applyFont="1"/>
    <xf numFmtId="164" fontId="0" fillId="0" borderId="0" xfId="0" applyNumberFormat="1" applyFill="1"/>
    <xf numFmtId="1" fontId="0" fillId="0" borderId="0" xfId="0" applyNumberFormat="1" applyFill="1"/>
    <xf numFmtId="168" fontId="2" fillId="0" borderId="0" xfId="0" applyNumberFormat="1" applyFont="1"/>
    <xf numFmtId="43" fontId="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4848-1704-4B09-BD79-EBC1116ABD3D}">
  <dimension ref="A1:H42"/>
  <sheetViews>
    <sheetView workbookViewId="0">
      <selection activeCell="E17" sqref="E17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8" x14ac:dyDescent="0.25">
      <c r="A1" s="9" t="s">
        <v>78</v>
      </c>
      <c r="B1" s="9" t="s">
        <v>7</v>
      </c>
    </row>
    <row r="2" spans="1:8" x14ac:dyDescent="0.25">
      <c r="A2" s="9" t="s">
        <v>79</v>
      </c>
      <c r="D2" s="55" t="s">
        <v>79</v>
      </c>
      <c r="E2" s="55"/>
      <c r="F2" s="56"/>
      <c r="G2" s="55" t="s">
        <v>96</v>
      </c>
      <c r="H2" s="56"/>
    </row>
    <row r="3" spans="1:8" x14ac:dyDescent="0.25">
      <c r="A3" t="s">
        <v>70</v>
      </c>
      <c r="B3" s="45" t="s">
        <v>76</v>
      </c>
      <c r="D3" s="57" t="s">
        <v>71</v>
      </c>
      <c r="E3" s="59" t="s">
        <v>74</v>
      </c>
      <c r="F3" s="56"/>
      <c r="G3" s="57" t="s">
        <v>97</v>
      </c>
      <c r="H3" s="56" t="s">
        <v>135</v>
      </c>
    </row>
    <row r="4" spans="1:8" x14ac:dyDescent="0.25">
      <c r="A4" t="s">
        <v>71</v>
      </c>
      <c r="B4" s="45" t="s">
        <v>74</v>
      </c>
      <c r="D4" s="57" t="s">
        <v>72</v>
      </c>
      <c r="E4" s="59" t="s">
        <v>75</v>
      </c>
      <c r="F4" s="56"/>
      <c r="G4" s="57" t="s">
        <v>98</v>
      </c>
      <c r="H4" s="56" t="s">
        <v>136</v>
      </c>
    </row>
    <row r="5" spans="1:8" x14ac:dyDescent="0.25">
      <c r="A5" t="s">
        <v>72</v>
      </c>
      <c r="B5" s="45" t="s">
        <v>75</v>
      </c>
      <c r="D5" s="57" t="s">
        <v>73</v>
      </c>
      <c r="E5" s="59">
        <v>20910</v>
      </c>
      <c r="F5" s="56"/>
      <c r="G5" s="57" t="s">
        <v>15</v>
      </c>
      <c r="H5" s="56">
        <v>10080</v>
      </c>
    </row>
    <row r="6" spans="1:8" x14ac:dyDescent="0.25">
      <c r="A6" t="s">
        <v>73</v>
      </c>
      <c r="B6" s="45">
        <v>20910</v>
      </c>
      <c r="D6" s="56"/>
      <c r="E6" s="56"/>
      <c r="F6" s="56"/>
      <c r="G6" s="57" t="s">
        <v>99</v>
      </c>
      <c r="H6" s="56">
        <v>10300</v>
      </c>
    </row>
    <row r="7" spans="1:8" x14ac:dyDescent="0.25">
      <c r="D7" s="55" t="s">
        <v>100</v>
      </c>
      <c r="E7" s="55"/>
      <c r="F7" s="56"/>
      <c r="G7" s="56"/>
      <c r="H7" s="56"/>
    </row>
    <row r="8" spans="1:8" x14ac:dyDescent="0.25">
      <c r="A8" s="9" t="s">
        <v>80</v>
      </c>
      <c r="D8" s="57" t="s">
        <v>101</v>
      </c>
      <c r="E8" s="59" t="s">
        <v>81</v>
      </c>
      <c r="F8" s="56"/>
      <c r="G8" s="55" t="s">
        <v>102</v>
      </c>
      <c r="H8" s="56"/>
    </row>
    <row r="9" spans="1:8" x14ac:dyDescent="0.25">
      <c r="A9" t="s">
        <v>77</v>
      </c>
      <c r="B9" s="45" t="s">
        <v>81</v>
      </c>
      <c r="D9" s="57" t="s">
        <v>82</v>
      </c>
      <c r="E9" s="59">
        <v>10000</v>
      </c>
      <c r="F9" s="56"/>
      <c r="G9" s="57" t="s">
        <v>103</v>
      </c>
      <c r="H9" s="56">
        <v>35280</v>
      </c>
    </row>
    <row r="10" spans="1:8" x14ac:dyDescent="0.25">
      <c r="A10" t="s">
        <v>82</v>
      </c>
      <c r="B10" s="45">
        <v>10000</v>
      </c>
      <c r="D10" s="57" t="s">
        <v>104</v>
      </c>
      <c r="E10" s="60">
        <v>8.01</v>
      </c>
      <c r="F10" s="56"/>
      <c r="G10" s="57" t="s">
        <v>105</v>
      </c>
      <c r="H10" s="56">
        <f>H9*0.26</f>
        <v>9172.8000000000011</v>
      </c>
    </row>
    <row r="11" spans="1:8" x14ac:dyDescent="0.25">
      <c r="A11" t="s">
        <v>83</v>
      </c>
      <c r="B11" s="32">
        <v>8.01</v>
      </c>
      <c r="D11" s="57" t="s">
        <v>106</v>
      </c>
      <c r="E11" s="46">
        <v>0.126</v>
      </c>
      <c r="F11" s="56"/>
      <c r="G11" s="57" t="s">
        <v>107</v>
      </c>
      <c r="H11" s="56">
        <v>1000</v>
      </c>
    </row>
    <row r="12" spans="1:8" x14ac:dyDescent="0.25">
      <c r="A12" t="s">
        <v>84</v>
      </c>
      <c r="B12" s="30">
        <v>0.126</v>
      </c>
      <c r="D12" s="57" t="s">
        <v>108</v>
      </c>
      <c r="E12" s="59" t="s">
        <v>86</v>
      </c>
      <c r="F12" s="56"/>
      <c r="G12" s="57" t="s">
        <v>109</v>
      </c>
      <c r="H12" s="56" t="s">
        <v>137</v>
      </c>
    </row>
    <row r="13" spans="1:8" x14ac:dyDescent="0.25">
      <c r="A13" t="s">
        <v>85</v>
      </c>
      <c r="B13" s="45" t="s">
        <v>86</v>
      </c>
      <c r="D13" s="57" t="s">
        <v>110</v>
      </c>
      <c r="E13" s="46">
        <v>5.8999999999999997E-2</v>
      </c>
      <c r="F13" s="56"/>
      <c r="G13" s="56"/>
      <c r="H13" s="56"/>
    </row>
    <row r="14" spans="1:8" x14ac:dyDescent="0.25">
      <c r="A14" t="s">
        <v>87</v>
      </c>
      <c r="B14" s="30">
        <v>5.8999999999999997E-2</v>
      </c>
      <c r="D14" s="57" t="s">
        <v>88</v>
      </c>
      <c r="E14" s="60">
        <v>0</v>
      </c>
      <c r="F14" s="56"/>
      <c r="G14" s="56"/>
      <c r="H14" s="56"/>
    </row>
    <row r="15" spans="1:8" x14ac:dyDescent="0.25">
      <c r="A15" t="s">
        <v>88</v>
      </c>
      <c r="B15" s="32">
        <v>0</v>
      </c>
      <c r="D15" s="56"/>
      <c r="E15" s="61"/>
      <c r="F15" s="56"/>
      <c r="G15" s="56"/>
      <c r="H15" s="56"/>
    </row>
    <row r="16" spans="1:8" x14ac:dyDescent="0.25">
      <c r="A16" t="s">
        <v>89</v>
      </c>
      <c r="B16" s="50">
        <v>0.02</v>
      </c>
      <c r="D16" s="55" t="s">
        <v>111</v>
      </c>
      <c r="E16" s="62"/>
      <c r="F16" s="56"/>
      <c r="G16" s="56"/>
      <c r="H16" s="56"/>
    </row>
    <row r="17" spans="1:8" x14ac:dyDescent="0.25">
      <c r="D17" t="s">
        <v>89</v>
      </c>
      <c r="E17" s="63">
        <v>0.02</v>
      </c>
      <c r="F17" s="56"/>
      <c r="G17" s="56"/>
      <c r="H17" s="56"/>
    </row>
    <row r="18" spans="1:8" x14ac:dyDescent="0.25">
      <c r="A18" s="9" t="s">
        <v>90</v>
      </c>
    </row>
    <row r="19" spans="1:8" x14ac:dyDescent="0.25">
      <c r="A19" t="s">
        <v>91</v>
      </c>
      <c r="B19" s="52">
        <v>0.06</v>
      </c>
      <c r="D19" s="55" t="s">
        <v>115</v>
      </c>
      <c r="E19" s="55" t="s">
        <v>116</v>
      </c>
      <c r="F19" s="56"/>
      <c r="G19" s="55" t="s">
        <v>117</v>
      </c>
      <c r="H19" s="55" t="s">
        <v>116</v>
      </c>
    </row>
    <row r="20" spans="1:8" x14ac:dyDescent="0.25">
      <c r="A20" t="s">
        <v>92</v>
      </c>
      <c r="B20" s="49">
        <f>B19</f>
        <v>0.06</v>
      </c>
      <c r="D20" s="57" t="s">
        <v>118</v>
      </c>
      <c r="E20" s="57">
        <v>25</v>
      </c>
      <c r="F20" s="56"/>
      <c r="G20" s="57" t="s">
        <v>119</v>
      </c>
      <c r="H20" s="57">
        <v>25</v>
      </c>
    </row>
    <row r="21" spans="1:8" x14ac:dyDescent="0.25">
      <c r="A21" t="s">
        <v>93</v>
      </c>
      <c r="B21" s="45">
        <v>25</v>
      </c>
      <c r="D21" s="57" t="s">
        <v>120</v>
      </c>
      <c r="E21" s="58">
        <v>0.06</v>
      </c>
      <c r="F21" s="56"/>
      <c r="G21" s="57" t="s">
        <v>121</v>
      </c>
      <c r="H21" s="57">
        <v>25</v>
      </c>
    </row>
    <row r="22" spans="1:8" x14ac:dyDescent="0.25">
      <c r="D22" s="57" t="s">
        <v>122</v>
      </c>
      <c r="E22" s="58">
        <v>0.02</v>
      </c>
      <c r="F22" s="56"/>
      <c r="G22" s="57" t="s">
        <v>123</v>
      </c>
      <c r="H22" s="57">
        <v>0</v>
      </c>
    </row>
    <row r="23" spans="1:8" x14ac:dyDescent="0.25">
      <c r="A23" t="s">
        <v>152</v>
      </c>
      <c r="B23">
        <f>(1.02*1.06)-1</f>
        <v>8.1200000000000161E-2</v>
      </c>
      <c r="D23" s="57" t="s">
        <v>124</v>
      </c>
      <c r="E23" s="56"/>
      <c r="F23" s="56"/>
      <c r="G23" s="57" t="s">
        <v>125</v>
      </c>
      <c r="H23" s="57">
        <v>0</v>
      </c>
    </row>
    <row r="24" spans="1:8" x14ac:dyDescent="0.25">
      <c r="D24" s="56"/>
      <c r="E24" s="56"/>
      <c r="F24" s="56"/>
      <c r="G24" s="57" t="s">
        <v>126</v>
      </c>
      <c r="H24" s="64">
        <v>5.0000000000000001E-4</v>
      </c>
    </row>
    <row r="25" spans="1:8" x14ac:dyDescent="0.25">
      <c r="B25">
        <f>8.01*12</f>
        <v>96.12</v>
      </c>
      <c r="D25" s="55" t="s">
        <v>127</v>
      </c>
      <c r="E25" s="56"/>
      <c r="F25" s="56"/>
      <c r="G25" s="56"/>
      <c r="H25" s="56"/>
    </row>
    <row r="26" spans="1:8" ht="13.5" customHeight="1" x14ac:dyDescent="0.25">
      <c r="D26" s="57" t="s">
        <v>128</v>
      </c>
      <c r="E26" s="56" t="s">
        <v>138</v>
      </c>
      <c r="F26" s="56"/>
      <c r="G26" s="57" t="s">
        <v>140</v>
      </c>
      <c r="H26" s="58">
        <v>0.02</v>
      </c>
    </row>
    <row r="27" spans="1:8" x14ac:dyDescent="0.25">
      <c r="D27" s="57" t="s">
        <v>129</v>
      </c>
      <c r="E27" s="58" t="s">
        <v>139</v>
      </c>
      <c r="F27" s="56"/>
      <c r="G27" s="56"/>
      <c r="H27" s="56"/>
    </row>
    <row r="28" spans="1:8" x14ac:dyDescent="0.25">
      <c r="D28" s="57" t="s">
        <v>130</v>
      </c>
      <c r="E28" s="57" t="s">
        <v>139</v>
      </c>
      <c r="F28" s="56"/>
      <c r="G28" s="56"/>
      <c r="H28" s="56"/>
    </row>
    <row r="29" spans="1:8" x14ac:dyDescent="0.25">
      <c r="D29" s="57" t="s">
        <v>131</v>
      </c>
      <c r="E29" s="57" t="s">
        <v>139</v>
      </c>
      <c r="F29" s="56"/>
      <c r="G29" s="56"/>
      <c r="H29" s="56"/>
    </row>
    <row r="31" spans="1:8" x14ac:dyDescent="0.25">
      <c r="D31" s="55" t="s">
        <v>132</v>
      </c>
      <c r="E31" s="56"/>
      <c r="G31" s="55" t="s">
        <v>112</v>
      </c>
      <c r="H31" s="56"/>
    </row>
    <row r="32" spans="1:8" x14ac:dyDescent="0.25">
      <c r="D32" s="57" t="s">
        <v>133</v>
      </c>
      <c r="E32" s="57" t="s">
        <v>139</v>
      </c>
      <c r="G32" s="57" t="s">
        <v>113</v>
      </c>
      <c r="H32" s="57">
        <v>25</v>
      </c>
    </row>
    <row r="33" spans="4:8" ht="45" x14ac:dyDescent="0.25">
      <c r="D33" s="57" t="s">
        <v>134</v>
      </c>
      <c r="E33" s="57" t="s">
        <v>153</v>
      </c>
      <c r="G33" s="57" t="s">
        <v>155</v>
      </c>
      <c r="H33" s="57">
        <v>0.1</v>
      </c>
    </row>
    <row r="34" spans="4:8" x14ac:dyDescent="0.25">
      <c r="G34" s="57" t="s">
        <v>154</v>
      </c>
      <c r="H34" s="58">
        <v>0.01</v>
      </c>
    </row>
    <row r="35" spans="4:8" x14ac:dyDescent="0.25">
      <c r="G35" s="57" t="s">
        <v>114</v>
      </c>
      <c r="H35" s="57">
        <v>1000</v>
      </c>
    </row>
    <row r="40" spans="4:8" x14ac:dyDescent="0.25">
      <c r="D40" t="s">
        <v>166</v>
      </c>
    </row>
    <row r="41" spans="4:8" x14ac:dyDescent="0.25">
      <c r="D41" t="s">
        <v>167</v>
      </c>
      <c r="E41">
        <v>0.126</v>
      </c>
    </row>
    <row r="42" spans="4:8" x14ac:dyDescent="0.25">
      <c r="D42" t="s">
        <v>151</v>
      </c>
      <c r="E42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workbookViewId="0">
      <selection activeCell="D4" sqref="D4"/>
    </sheetView>
  </sheetViews>
  <sheetFormatPr defaultRowHeight="15" x14ac:dyDescent="0.25"/>
  <cols>
    <col min="1" max="1" width="55.5703125" bestFit="1" customWidth="1"/>
    <col min="2" max="2" width="16" style="1" customWidth="1"/>
    <col min="3" max="3" width="16" bestFit="1" customWidth="1"/>
    <col min="4" max="4" width="12.42578125" style="4" customWidth="1"/>
    <col min="5" max="5" width="11.5703125" bestFit="1" customWidth="1"/>
    <col min="6" max="6" width="13.140625" customWidth="1"/>
    <col min="7" max="7" width="9.140625" style="18" customWidth="1"/>
    <col min="8" max="8" width="14.5703125" style="18" customWidth="1"/>
    <col min="9" max="9" width="15.28515625" bestFit="1" customWidth="1"/>
    <col min="10" max="10" width="19.28515625" bestFit="1" customWidth="1"/>
    <col min="11" max="11" width="16.42578125" bestFit="1" customWidth="1"/>
    <col min="12" max="12" width="18.85546875" bestFit="1" customWidth="1"/>
    <col min="13" max="13" width="24.28515625" customWidth="1"/>
    <col min="14" max="14" width="12.7109375" bestFit="1" customWidth="1"/>
    <col min="15" max="15" width="6.42578125" bestFit="1" customWidth="1"/>
    <col min="16" max="16" width="20.42578125" customWidth="1"/>
    <col min="17" max="18" width="11.42578125" customWidth="1"/>
    <col min="21" max="21" width="13.28515625" customWidth="1"/>
    <col min="22" max="22" width="12.7109375" customWidth="1"/>
  </cols>
  <sheetData>
    <row r="1" spans="1:20" x14ac:dyDescent="0.25">
      <c r="A1" s="20" t="s">
        <v>6</v>
      </c>
      <c r="B1" s="32" t="s">
        <v>45</v>
      </c>
    </row>
    <row r="2" spans="1:20" x14ac:dyDescent="0.25">
      <c r="A2" s="20" t="s">
        <v>13</v>
      </c>
      <c r="B2" s="34" t="s">
        <v>7</v>
      </c>
      <c r="C2" s="20" t="s">
        <v>8</v>
      </c>
    </row>
    <row r="3" spans="1:20" x14ac:dyDescent="0.25">
      <c r="A3" t="s">
        <v>63</v>
      </c>
      <c r="B3" s="46">
        <f>'User Inputs'!B12</f>
        <v>0.126</v>
      </c>
      <c r="C3" s="3" t="s">
        <v>11</v>
      </c>
      <c r="H3" s="37"/>
    </row>
    <row r="4" spans="1:20" x14ac:dyDescent="0.25">
      <c r="A4" t="s">
        <v>62</v>
      </c>
      <c r="B4" s="46">
        <f>'User Inputs'!B14</f>
        <v>5.8999999999999997E-2</v>
      </c>
      <c r="C4" s="3" t="s">
        <v>11</v>
      </c>
      <c r="H4" s="37"/>
    </row>
    <row r="5" spans="1:20" x14ac:dyDescent="0.25">
      <c r="A5" t="s">
        <v>151</v>
      </c>
      <c r="B5" s="40">
        <f>'User Inputs'!B16</f>
        <v>0.02</v>
      </c>
      <c r="C5" s="3" t="s">
        <v>10</v>
      </c>
      <c r="D5" s="4" t="s">
        <v>5</v>
      </c>
    </row>
    <row r="6" spans="1:20" x14ac:dyDescent="0.25">
      <c r="A6" s="4" t="s">
        <v>150</v>
      </c>
      <c r="B6" s="25">
        <f>(1+B5)/(1+'User Inputs'!E22)-1</f>
        <v>0</v>
      </c>
      <c r="C6" s="3" t="s">
        <v>10</v>
      </c>
      <c r="D6" s="4" t="s">
        <v>147</v>
      </c>
      <c r="F6" s="25"/>
    </row>
    <row r="7" spans="1:20" x14ac:dyDescent="0.25">
      <c r="A7" t="s">
        <v>38</v>
      </c>
      <c r="B7" s="47">
        <f>'User Inputs'!B11-'User Inputs'!B11</f>
        <v>0</v>
      </c>
      <c r="C7" s="3" t="s">
        <v>9</v>
      </c>
    </row>
    <row r="8" spans="1:20" x14ac:dyDescent="0.25">
      <c r="H8" s="37"/>
    </row>
    <row r="9" spans="1:20" x14ac:dyDescent="0.25">
      <c r="A9" s="20" t="s">
        <v>12</v>
      </c>
      <c r="B9" s="21" t="s">
        <v>7</v>
      </c>
      <c r="C9" s="9" t="s">
        <v>8</v>
      </c>
      <c r="H9" s="37"/>
      <c r="P9" s="5"/>
      <c r="R9" s="10"/>
      <c r="T9" s="17"/>
    </row>
    <row r="10" spans="1:20" x14ac:dyDescent="0.25">
      <c r="A10" t="s">
        <v>37</v>
      </c>
      <c r="B10" s="54">
        <f>'User Inputs'!B19</f>
        <v>0.06</v>
      </c>
      <c r="C10" s="3" t="s">
        <v>10</v>
      </c>
      <c r="F10" s="4"/>
      <c r="P10" s="5"/>
      <c r="Q10" s="10"/>
      <c r="R10" s="10"/>
      <c r="T10" s="17"/>
    </row>
    <row r="11" spans="1:20" x14ac:dyDescent="0.25">
      <c r="A11" s="16" t="s">
        <v>21</v>
      </c>
      <c r="B11" s="51">
        <f>'User Inputs'!B10</f>
        <v>10000</v>
      </c>
      <c r="C11" t="s">
        <v>4</v>
      </c>
      <c r="D11" s="76"/>
      <c r="E11" s="59"/>
      <c r="F11" s="4"/>
      <c r="H11" s="37"/>
      <c r="P11" s="5"/>
      <c r="Q11" s="10"/>
      <c r="R11" s="10"/>
      <c r="T11" s="17"/>
    </row>
    <row r="12" spans="1:20" x14ac:dyDescent="0.25">
      <c r="A12" t="s">
        <v>27</v>
      </c>
      <c r="B12" s="53">
        <f>'User Inputs'!B21</f>
        <v>25</v>
      </c>
      <c r="C12" t="s">
        <v>28</v>
      </c>
      <c r="D12" s="77"/>
      <c r="E12" s="59"/>
      <c r="H12" s="37"/>
      <c r="P12" s="5"/>
      <c r="Q12" s="11"/>
      <c r="R12" s="11"/>
      <c r="T12" s="17"/>
    </row>
    <row r="13" spans="1:20" x14ac:dyDescent="0.25">
      <c r="A13" t="s">
        <v>47</v>
      </c>
      <c r="B13" s="48">
        <v>0</v>
      </c>
      <c r="C13" t="s">
        <v>10</v>
      </c>
      <c r="H13" s="37"/>
      <c r="P13" s="5"/>
      <c r="Q13" s="12"/>
      <c r="R13" s="12"/>
      <c r="T13" s="17"/>
    </row>
    <row r="14" spans="1:20" x14ac:dyDescent="0.25">
      <c r="H14" s="37"/>
      <c r="P14" s="5"/>
      <c r="Q14" s="10"/>
      <c r="R14" s="10"/>
      <c r="T14" s="17"/>
    </row>
    <row r="15" spans="1:20" x14ac:dyDescent="0.25">
      <c r="A15" s="20" t="s">
        <v>36</v>
      </c>
      <c r="B15" s="21" t="s">
        <v>7</v>
      </c>
      <c r="C15" s="9" t="s">
        <v>8</v>
      </c>
      <c r="H15" s="37"/>
      <c r="P15" s="5"/>
      <c r="Q15" s="10"/>
      <c r="R15" s="10"/>
      <c r="T15" s="17"/>
    </row>
    <row r="16" spans="1:20" x14ac:dyDescent="0.25">
      <c r="A16" t="s">
        <v>67</v>
      </c>
      <c r="B16" s="44">
        <v>400</v>
      </c>
      <c r="C16" s="3" t="s">
        <v>57</v>
      </c>
      <c r="P16" s="5"/>
      <c r="Q16" s="10"/>
      <c r="R16" s="10"/>
      <c r="T16" s="17"/>
    </row>
    <row r="17" spans="1:20" x14ac:dyDescent="0.25">
      <c r="A17" t="s">
        <v>66</v>
      </c>
      <c r="B17" s="44">
        <v>350</v>
      </c>
      <c r="C17" s="3" t="s">
        <v>57</v>
      </c>
      <c r="P17" s="5"/>
      <c r="Q17" s="10"/>
      <c r="R17" s="10"/>
      <c r="T17" s="17"/>
    </row>
    <row r="18" spans="1:20" x14ac:dyDescent="0.25">
      <c r="A18" t="s">
        <v>68</v>
      </c>
      <c r="B18" s="44">
        <v>0</v>
      </c>
      <c r="C18" s="3" t="s">
        <v>57</v>
      </c>
      <c r="D18" s="4" t="s">
        <v>156</v>
      </c>
      <c r="P18" s="5"/>
      <c r="Q18" s="10"/>
      <c r="R18" s="10"/>
      <c r="T18" s="17"/>
    </row>
    <row r="19" spans="1:20" x14ac:dyDescent="0.25">
      <c r="B19" s="13"/>
      <c r="C19" s="3"/>
      <c r="P19" s="5"/>
      <c r="Q19" s="10"/>
      <c r="R19" s="10"/>
      <c r="T19" s="17"/>
    </row>
    <row r="20" spans="1:20" x14ac:dyDescent="0.25">
      <c r="A20" t="s">
        <v>56</v>
      </c>
      <c r="B20" s="13">
        <v>0</v>
      </c>
      <c r="C20" s="3" t="s">
        <v>46</v>
      </c>
      <c r="E20" s="13"/>
      <c r="P20" s="5"/>
      <c r="Q20" s="10"/>
      <c r="R20" s="10"/>
      <c r="T20" s="17"/>
    </row>
    <row r="21" spans="1:20" x14ac:dyDescent="0.25">
      <c r="A21" t="s">
        <v>61</v>
      </c>
      <c r="P21" s="5"/>
      <c r="Q21" s="10"/>
      <c r="R21" s="10"/>
      <c r="T21" s="17"/>
    </row>
    <row r="22" spans="1:20" x14ac:dyDescent="0.25">
      <c r="P22" s="5"/>
      <c r="Q22" s="10"/>
      <c r="R22" s="10"/>
    </row>
    <row r="23" spans="1:20" x14ac:dyDescent="0.25">
      <c r="A23" s="20" t="s">
        <v>14</v>
      </c>
      <c r="B23" s="21" t="s">
        <v>7</v>
      </c>
      <c r="C23" s="9" t="s">
        <v>8</v>
      </c>
      <c r="D23"/>
      <c r="P23" s="14"/>
      <c r="Q23" s="10"/>
      <c r="R23" s="10"/>
    </row>
    <row r="24" spans="1:20" x14ac:dyDescent="0.25">
      <c r="A24" s="14" t="s">
        <v>49</v>
      </c>
      <c r="B24" s="39">
        <v>2021</v>
      </c>
      <c r="C24" s="14" t="s">
        <v>50</v>
      </c>
      <c r="D24"/>
      <c r="P24" s="14"/>
      <c r="Q24" s="10"/>
      <c r="R24" s="10"/>
    </row>
    <row r="25" spans="1:20" x14ac:dyDescent="0.25">
      <c r="A25" t="s">
        <v>15</v>
      </c>
      <c r="B25" s="36">
        <v>10080</v>
      </c>
      <c r="C25" t="s">
        <v>19</v>
      </c>
      <c r="D25" s="41">
        <f>B26/B25</f>
        <v>1.0218253968253967</v>
      </c>
      <c r="E25" s="41" t="s">
        <v>69</v>
      </c>
      <c r="P25" s="14"/>
      <c r="Q25" s="10"/>
      <c r="R25" s="10"/>
    </row>
    <row r="26" spans="1:20" x14ac:dyDescent="0.25">
      <c r="A26" t="s">
        <v>51</v>
      </c>
      <c r="B26" s="36">
        <v>10300</v>
      </c>
      <c r="C26" t="s">
        <v>4</v>
      </c>
      <c r="D26" t="s">
        <v>157</v>
      </c>
      <c r="E26" s="43"/>
      <c r="P26" s="14"/>
      <c r="Q26" s="10"/>
      <c r="R26" s="10"/>
    </row>
    <row r="27" spans="1:20" x14ac:dyDescent="0.25">
      <c r="A27" t="s">
        <v>48</v>
      </c>
      <c r="B27" s="6">
        <v>25</v>
      </c>
      <c r="C27" t="s">
        <v>28</v>
      </c>
      <c r="D27"/>
      <c r="P27" s="14"/>
    </row>
    <row r="28" spans="1:20" x14ac:dyDescent="0.25">
      <c r="A28" s="29" t="s">
        <v>16</v>
      </c>
      <c r="B28" s="31">
        <f>B25*3.5</f>
        <v>35280</v>
      </c>
      <c r="C28" s="29" t="s">
        <v>9</v>
      </c>
      <c r="D28" s="2">
        <f>B28/B25</f>
        <v>3.5</v>
      </c>
      <c r="E28" s="2" t="s">
        <v>60</v>
      </c>
      <c r="F28" t="s">
        <v>64</v>
      </c>
      <c r="P28" s="14"/>
    </row>
    <row r="29" spans="1:20" x14ac:dyDescent="0.25">
      <c r="A29" t="s">
        <v>17</v>
      </c>
      <c r="B29" s="13">
        <f>B28*IF(B24&lt;=2022,0.26,IF(B24=2023,0.22,IF(B24=2024,0,IF(B24&gt;2024,0))))</f>
        <v>9172.8000000000011</v>
      </c>
      <c r="C29" t="s">
        <v>9</v>
      </c>
      <c r="D29"/>
      <c r="P29" s="14"/>
      <c r="Q29" s="10"/>
      <c r="R29" s="10"/>
    </row>
    <row r="30" spans="1:20" x14ac:dyDescent="0.25">
      <c r="A30" t="s">
        <v>18</v>
      </c>
      <c r="B30" s="38">
        <v>1000</v>
      </c>
      <c r="C30" t="s">
        <v>9</v>
      </c>
      <c r="D30"/>
      <c r="P30" s="14"/>
      <c r="Q30" s="10"/>
      <c r="R30" s="10"/>
    </row>
    <row r="31" spans="1:20" x14ac:dyDescent="0.25">
      <c r="A31" s="27" t="s">
        <v>20</v>
      </c>
      <c r="B31" s="28">
        <f>B28-B29-B30</f>
        <v>25107.199999999997</v>
      </c>
      <c r="C31" s="27" t="s">
        <v>9</v>
      </c>
      <c r="D31" s="1">
        <f>B31/B25</f>
        <v>2.4907936507936506</v>
      </c>
      <c r="E31" s="2" t="s">
        <v>60</v>
      </c>
      <c r="F31" t="s">
        <v>65</v>
      </c>
      <c r="P31" s="14"/>
      <c r="Q31" s="10"/>
      <c r="R31" s="10"/>
    </row>
    <row r="32" spans="1:20" x14ac:dyDescent="0.25">
      <c r="P32" s="14"/>
      <c r="Q32" s="10"/>
      <c r="R32" s="10"/>
    </row>
    <row r="33" spans="1:4" ht="17.25" x14ac:dyDescent="0.4">
      <c r="A33" s="20" t="s">
        <v>59</v>
      </c>
      <c r="B33" s="35" t="s">
        <v>143</v>
      </c>
      <c r="C33" s="68" t="s">
        <v>142</v>
      </c>
      <c r="D33" s="67" t="s">
        <v>144</v>
      </c>
    </row>
    <row r="34" spans="1:4" x14ac:dyDescent="0.25">
      <c r="A34" t="s">
        <v>31</v>
      </c>
      <c r="B34" s="33" t="str">
        <f>IF(B39&gt;0,"Yes","No")</f>
        <v>Yes</v>
      </c>
      <c r="C34" s="1"/>
      <c r="D34"/>
    </row>
    <row r="35" spans="1:4" x14ac:dyDescent="0.25">
      <c r="A35" t="s">
        <v>141</v>
      </c>
      <c r="B35" s="65">
        <f>B31</f>
        <v>25107.199999999997</v>
      </c>
      <c r="C35" s="1"/>
      <c r="D35"/>
    </row>
    <row r="36" spans="1:4" x14ac:dyDescent="0.25">
      <c r="A36" t="s">
        <v>35</v>
      </c>
      <c r="B36" s="13">
        <f>'Cash Flow - Purchase Cash'!G29</f>
        <v>69368.233809178477</v>
      </c>
      <c r="C36" s="42"/>
      <c r="D36"/>
    </row>
    <row r="37" spans="1:4" x14ac:dyDescent="0.25">
      <c r="A37" t="s">
        <v>32</v>
      </c>
      <c r="B37" s="13">
        <f>'Cash Flow - Purchase Cash'!J29</f>
        <v>0</v>
      </c>
      <c r="C37" s="1"/>
      <c r="D37"/>
    </row>
    <row r="38" spans="1:4" x14ac:dyDescent="0.25">
      <c r="A38" t="s">
        <v>33</v>
      </c>
      <c r="B38" s="13">
        <f>'Cash Flow - Purchase Cash'!H29</f>
        <v>25107.199999999997</v>
      </c>
      <c r="C38" s="13"/>
      <c r="D38"/>
    </row>
    <row r="39" spans="1:4" x14ac:dyDescent="0.25">
      <c r="A39" t="s">
        <v>34</v>
      </c>
      <c r="B39" s="13">
        <f>B36+B37-B38</f>
        <v>44261.03380917848</v>
      </c>
      <c r="C39" s="26"/>
      <c r="D39"/>
    </row>
    <row r="40" spans="1:4" x14ac:dyDescent="0.25">
      <c r="A40" s="9" t="s">
        <v>95</v>
      </c>
      <c r="B40" s="26">
        <f>(1+'User Inputs'!B20)*(($B$36+$B$37)/$B$38)^(1/$B$12)-1</f>
        <v>0.10397784893762774</v>
      </c>
      <c r="D40"/>
    </row>
    <row r="41" spans="1:4" x14ac:dyDescent="0.25">
      <c r="A41" s="9" t="s">
        <v>94</v>
      </c>
      <c r="B41" s="66">
        <f>'Cash Flow - Purchase Cash'!W29</f>
        <v>18928.95285386547</v>
      </c>
      <c r="D41"/>
    </row>
    <row r="42" spans="1:4" x14ac:dyDescent="0.25">
      <c r="B42"/>
      <c r="D42"/>
    </row>
    <row r="43" spans="1:4" x14ac:dyDescent="0.25">
      <c r="A43" t="s">
        <v>142</v>
      </c>
      <c r="B43"/>
      <c r="D43"/>
    </row>
    <row r="44" spans="1:4" x14ac:dyDescent="0.25">
      <c r="B44"/>
      <c r="D44"/>
    </row>
    <row r="45" spans="1:4" x14ac:dyDescent="0.25">
      <c r="B45"/>
      <c r="D45"/>
    </row>
    <row r="46" spans="1:4" x14ac:dyDescent="0.25">
      <c r="B46"/>
    </row>
    <row r="47" spans="1:4" x14ac:dyDescent="0.25">
      <c r="B47"/>
    </row>
    <row r="48" spans="1:4" x14ac:dyDescent="0.25">
      <c r="B48"/>
    </row>
  </sheetData>
  <conditionalFormatting sqref="C33 B34:B35">
    <cfRule type="containsText" dxfId="4" priority="3" operator="containsText" text="Yes">
      <formula>NOT(ISERROR(SEARCH("Yes",B33)))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24D1-0E82-4B48-9E6A-5E03FE5EA190}">
  <dimension ref="A1:AB38"/>
  <sheetViews>
    <sheetView tabSelected="1" workbookViewId="0">
      <selection activeCell="F32" sqref="F32"/>
    </sheetView>
  </sheetViews>
  <sheetFormatPr defaultRowHeight="15" x14ac:dyDescent="0.25"/>
  <cols>
    <col min="1" max="1" width="5.140625" bestFit="1" customWidth="1"/>
    <col min="2" max="2" width="6.85546875" customWidth="1"/>
    <col min="3" max="3" width="13.5703125" customWidth="1"/>
    <col min="6" max="6" width="10.140625" bestFit="1" customWidth="1"/>
    <col min="8" max="8" width="5.140625" bestFit="1" customWidth="1"/>
    <col min="9" max="9" width="6.42578125" bestFit="1" customWidth="1"/>
    <col min="10" max="10" width="12.85546875" bestFit="1" customWidth="1"/>
    <col min="12" max="12" width="11.140625" customWidth="1"/>
    <col min="13" max="13" width="10.140625" bestFit="1" customWidth="1"/>
    <col min="14" max="14" width="10.140625" customWidth="1"/>
    <col min="16" max="16" width="10.140625" bestFit="1" customWidth="1"/>
    <col min="17" max="17" width="11.85546875" bestFit="1" customWidth="1"/>
    <col min="18" max="18" width="13.85546875" bestFit="1" customWidth="1"/>
    <col min="19" max="19" width="11.85546875" bestFit="1" customWidth="1"/>
    <col min="20" max="20" width="9" bestFit="1" customWidth="1"/>
    <col min="23" max="23" width="11.42578125" customWidth="1"/>
    <col min="25" max="25" width="12.140625" customWidth="1"/>
    <col min="26" max="26" width="11.140625" customWidth="1"/>
  </cols>
  <sheetData>
    <row r="1" spans="1:28" x14ac:dyDescent="0.25">
      <c r="B1" s="9" t="s">
        <v>163</v>
      </c>
      <c r="E1" s="18"/>
    </row>
    <row r="2" spans="1:28" x14ac:dyDescent="0.25">
      <c r="B2" s="9" t="s">
        <v>144</v>
      </c>
      <c r="E2" s="18"/>
      <c r="J2" s="9" t="s">
        <v>142</v>
      </c>
      <c r="P2" s="9" t="s">
        <v>164</v>
      </c>
      <c r="V2" s="9" t="s">
        <v>165</v>
      </c>
    </row>
    <row r="3" spans="1:28" x14ac:dyDescent="0.25">
      <c r="C3" s="20" t="s">
        <v>145</v>
      </c>
      <c r="D3" s="20" t="s">
        <v>146</v>
      </c>
      <c r="E3" s="9" t="s">
        <v>23</v>
      </c>
      <c r="J3" s="20" t="s">
        <v>145</v>
      </c>
      <c r="K3" s="20" t="s">
        <v>146</v>
      </c>
      <c r="L3" s="9" t="s">
        <v>23</v>
      </c>
      <c r="Q3" s="9" t="s">
        <v>160</v>
      </c>
      <c r="S3" s="9" t="s">
        <v>158</v>
      </c>
      <c r="W3" s="9" t="s">
        <v>160</v>
      </c>
      <c r="Y3" s="9" t="s">
        <v>158</v>
      </c>
    </row>
    <row r="4" spans="1:28" x14ac:dyDescent="0.25">
      <c r="A4" t="s">
        <v>58</v>
      </c>
      <c r="B4" s="11" t="s">
        <v>0</v>
      </c>
      <c r="E4" s="23" t="s">
        <v>5</v>
      </c>
      <c r="F4" s="20" t="s">
        <v>158</v>
      </c>
      <c r="H4" t="s">
        <v>58</v>
      </c>
      <c r="I4" s="11" t="s">
        <v>0</v>
      </c>
      <c r="L4" s="23" t="s">
        <v>5</v>
      </c>
      <c r="M4" s="20" t="s">
        <v>158</v>
      </c>
      <c r="N4" s="20"/>
      <c r="O4" s="9" t="s">
        <v>146</v>
      </c>
      <c r="P4" s="9" t="s">
        <v>4</v>
      </c>
      <c r="Q4" s="9" t="s">
        <v>159</v>
      </c>
      <c r="R4" s="9" t="s">
        <v>168</v>
      </c>
      <c r="S4" s="9" t="s">
        <v>159</v>
      </c>
      <c r="T4" s="9" t="s">
        <v>168</v>
      </c>
      <c r="V4" s="9" t="s">
        <v>4</v>
      </c>
      <c r="W4" s="9" t="s">
        <v>161</v>
      </c>
      <c r="X4" s="9" t="s">
        <v>145</v>
      </c>
      <c r="Y4" s="9" t="s">
        <v>161</v>
      </c>
      <c r="Z4" s="9" t="s">
        <v>145</v>
      </c>
    </row>
    <row r="5" spans="1:28" x14ac:dyDescent="0.25">
      <c r="A5">
        <v>2021</v>
      </c>
      <c r="B5" s="19">
        <v>1</v>
      </c>
      <c r="C5" s="72">
        <f>'Simple Comparison'!$B$11</f>
        <v>10000</v>
      </c>
      <c r="D5" s="71">
        <f>'Simple Comparison'!B3</f>
        <v>0.126</v>
      </c>
      <c r="E5" s="18">
        <f>C5*D5</f>
        <v>1260</v>
      </c>
      <c r="F5" s="17">
        <f>E5/(1+'User Inputs'!$B$23)^'Electricity Costs'!B5</f>
        <v>1165.3718091009987</v>
      </c>
      <c r="H5">
        <v>2021</v>
      </c>
      <c r="I5" s="19">
        <v>1</v>
      </c>
      <c r="J5" s="72">
        <v>10300</v>
      </c>
      <c r="K5" s="71">
        <v>0.1</v>
      </c>
      <c r="L5" s="18">
        <f>J5*K5</f>
        <v>1030</v>
      </c>
      <c r="M5" s="17">
        <f>L5/(1+'User Inputs'!$B$23)^'Electricity Costs'!I5</f>
        <v>952.6452090270069</v>
      </c>
      <c r="N5" s="17"/>
      <c r="O5">
        <f>'Simple Comparison'!B4</f>
        <v>5.8999999999999997E-2</v>
      </c>
      <c r="P5" s="74">
        <f>10000-J5</f>
        <v>-300</v>
      </c>
      <c r="Q5" s="43">
        <f>P5*O5</f>
        <v>-17.7</v>
      </c>
      <c r="R5" s="1"/>
      <c r="S5" s="17">
        <f>Q5/(1+'User Inputs'!$B$23)^'Electricity Costs'!I5</f>
        <v>-16.370699223085456</v>
      </c>
      <c r="T5" s="17">
        <f>R5/(1+'User Inputs'!$B$23)^'Electricity Costs'!I5</f>
        <v>0</v>
      </c>
      <c r="V5" s="74">
        <f>-J5</f>
        <v>-10300</v>
      </c>
      <c r="W5" s="43">
        <f>V5*D5</f>
        <v>-1297.8</v>
      </c>
      <c r="X5" s="18">
        <f>L5</f>
        <v>1030</v>
      </c>
      <c r="Y5" s="17">
        <f>W5/(1+'User Inputs'!$B$23)^'Electricity Costs'!I5</f>
        <v>-1200.3329633740286</v>
      </c>
      <c r="Z5" s="17">
        <f>F5</f>
        <v>1165.3718091009987</v>
      </c>
      <c r="AB5" s="17">
        <f>Y5+Z5</f>
        <v>-34.961154273029933</v>
      </c>
    </row>
    <row r="6" spans="1:28" x14ac:dyDescent="0.25">
      <c r="A6">
        <f>A5+1</f>
        <v>2022</v>
      </c>
      <c r="B6" s="19">
        <f t="shared" ref="B6:B29" si="0">B5+1</f>
        <v>2</v>
      </c>
      <c r="C6" s="72">
        <f>'Simple Comparison'!$B$11</f>
        <v>10000</v>
      </c>
      <c r="D6" s="71">
        <f>D5*(1+'Simple Comparison'!$B$5)</f>
        <v>0.12852</v>
      </c>
      <c r="E6" s="18">
        <f t="shared" ref="E6:E29" si="1">C6*D6</f>
        <v>1285.2</v>
      </c>
      <c r="F6" s="17">
        <f>E6/(1+'User Inputs'!$B$23)^'Electricity Costs'!B6</f>
        <v>1099.4073670764137</v>
      </c>
      <c r="H6">
        <f>H5+1</f>
        <v>2022</v>
      </c>
      <c r="I6" s="19">
        <f t="shared" ref="I6:I29" si="2">I5+1</f>
        <v>2</v>
      </c>
      <c r="J6" s="72">
        <v>10248.5</v>
      </c>
      <c r="K6" s="71">
        <f>K5*(1+0.01)</f>
        <v>0.10100000000000001</v>
      </c>
      <c r="L6" s="18">
        <f t="shared" ref="L6:L29" si="3">J6*K6</f>
        <v>1035.0985000000001</v>
      </c>
      <c r="M6" s="17">
        <f>L6/(1+'User Inputs'!$B$23)^'Electricity Costs'!I6</f>
        <v>885.46134185320977</v>
      </c>
      <c r="N6" s="17"/>
      <c r="O6">
        <f>O5*(1+'Simple Comparison'!$B$5)</f>
        <v>6.0179999999999997E-2</v>
      </c>
      <c r="P6" s="74">
        <f t="shared" ref="P6:P29" si="4">10000-J6</f>
        <v>-248.5</v>
      </c>
      <c r="Q6" s="43">
        <f t="shared" ref="Q6:Q10" si="5">P6*O6</f>
        <v>-14.95473</v>
      </c>
      <c r="R6" s="1"/>
      <c r="S6" s="17">
        <f>Q6/(1+'User Inputs'!$B$23)^'Electricity Costs'!I6</f>
        <v>-12.792826279675269</v>
      </c>
      <c r="T6" s="17">
        <f>R6/(1+'User Inputs'!$B$23)^'Electricity Costs'!I6</f>
        <v>0</v>
      </c>
      <c r="V6" s="74">
        <f t="shared" ref="V6:V29" si="6">-J6</f>
        <v>-10248.5</v>
      </c>
      <c r="W6" s="43">
        <f t="shared" ref="W6:W29" si="7">V6*D6</f>
        <v>-1317.1372199999998</v>
      </c>
      <c r="X6" s="18">
        <f t="shared" ref="X6:X29" si="8">L6</f>
        <v>1035.0985000000001</v>
      </c>
      <c r="Y6" s="17">
        <f>W6/(1+'User Inputs'!$B$23)^'Electricity Costs'!I6</f>
        <v>-1126.7276401482625</v>
      </c>
      <c r="Z6" s="17">
        <f t="shared" ref="Z6:Z29" si="9">F6</f>
        <v>1099.4073670764137</v>
      </c>
      <c r="AB6" s="17">
        <f t="shared" ref="AB6:AB29" si="10">Y6+Z6</f>
        <v>-27.32027307184876</v>
      </c>
    </row>
    <row r="7" spans="1:28" x14ac:dyDescent="0.25">
      <c r="A7">
        <f t="shared" ref="A7:A29" si="11">A6+1</f>
        <v>2023</v>
      </c>
      <c r="B7" s="19">
        <f t="shared" si="0"/>
        <v>3</v>
      </c>
      <c r="C7" s="72">
        <f>'Simple Comparison'!$B$11</f>
        <v>10000</v>
      </c>
      <c r="D7" s="71">
        <f>D6*(1+'Simple Comparison'!$B$5)</f>
        <v>0.1310904</v>
      </c>
      <c r="E7" s="18">
        <f t="shared" si="1"/>
        <v>1310.904</v>
      </c>
      <c r="F7" s="17">
        <f>E7/(1+'User Inputs'!$B$23)^'Electricity Costs'!B7</f>
        <v>1037.176761392843</v>
      </c>
      <c r="H7">
        <f t="shared" ref="H7:H29" si="12">H6+1</f>
        <v>2023</v>
      </c>
      <c r="I7" s="19">
        <f t="shared" si="2"/>
        <v>3</v>
      </c>
      <c r="J7" s="72">
        <v>10197</v>
      </c>
      <c r="K7" s="71">
        <f t="shared" ref="K7:K29" si="13">K6*(1+0.01)</f>
        <v>0.10201</v>
      </c>
      <c r="L7" s="18">
        <f t="shared" si="3"/>
        <v>1040.19597</v>
      </c>
      <c r="M7" s="17">
        <f>L7/(1+'User Inputs'!$B$23)^'Electricity Costs'!I7</f>
        <v>822.99473293123435</v>
      </c>
      <c r="N7" s="17"/>
      <c r="O7">
        <f>O6*(1+'Simple Comparison'!$B$5)</f>
        <v>6.1383599999999996E-2</v>
      </c>
      <c r="P7" s="74">
        <f t="shared" si="4"/>
        <v>-197</v>
      </c>
      <c r="Q7" s="43">
        <f t="shared" si="5"/>
        <v>-12.0925692</v>
      </c>
      <c r="R7" s="1"/>
      <c r="S7" s="17">
        <f>Q7/(1+'User Inputs'!$B$23)^'Electricity Costs'!I7</f>
        <v>-9.5675440457690595</v>
      </c>
      <c r="T7" s="17">
        <f>R7/(1+'User Inputs'!$B$23)^'Electricity Costs'!I7</f>
        <v>0</v>
      </c>
      <c r="V7" s="74">
        <f t="shared" si="6"/>
        <v>-10197</v>
      </c>
      <c r="W7" s="43">
        <f t="shared" si="7"/>
        <v>-1336.7288088</v>
      </c>
      <c r="X7" s="18">
        <f t="shared" si="8"/>
        <v>1040.19597</v>
      </c>
      <c r="Y7" s="17">
        <f>W7/(1+'User Inputs'!$B$23)^'Electricity Costs'!I7</f>
        <v>-1057.609143592282</v>
      </c>
      <c r="Z7" s="17">
        <f t="shared" si="9"/>
        <v>1037.176761392843</v>
      </c>
      <c r="AB7" s="17">
        <f t="shared" si="10"/>
        <v>-20.432382199438962</v>
      </c>
    </row>
    <row r="8" spans="1:28" x14ac:dyDescent="0.25">
      <c r="A8">
        <f t="shared" si="11"/>
        <v>2024</v>
      </c>
      <c r="B8" s="19">
        <f t="shared" si="0"/>
        <v>4</v>
      </c>
      <c r="C8" s="72">
        <f>'Simple Comparison'!$B$11</f>
        <v>10000</v>
      </c>
      <c r="D8" s="71">
        <f>D7*(1+'Simple Comparison'!$B$5)</f>
        <v>0.133712208</v>
      </c>
      <c r="E8" s="18">
        <f t="shared" si="1"/>
        <v>1337.1220800000001</v>
      </c>
      <c r="F8" s="17">
        <f>E8/(1+'User Inputs'!$B$23)^'Electricity Costs'!B8</f>
        <v>978.46864282343654</v>
      </c>
      <c r="H8">
        <f t="shared" si="12"/>
        <v>2024</v>
      </c>
      <c r="I8" s="19">
        <f t="shared" si="2"/>
        <v>4</v>
      </c>
      <c r="J8" s="72">
        <v>10145.5</v>
      </c>
      <c r="K8" s="71">
        <f t="shared" si="13"/>
        <v>0.1030301</v>
      </c>
      <c r="L8" s="18">
        <f t="shared" si="3"/>
        <v>1045.29187955</v>
      </c>
      <c r="M8" s="17">
        <f>L8/(1+'User Inputs'!$B$23)^'Electricity Costs'!I8</f>
        <v>764.91544193006484</v>
      </c>
      <c r="N8" s="17"/>
      <c r="O8">
        <f>O7*(1+'Simple Comparison'!$B$5)</f>
        <v>6.2611271999999996E-2</v>
      </c>
      <c r="P8" s="74">
        <f t="shared" si="4"/>
        <v>-145.5</v>
      </c>
      <c r="Q8" s="43">
        <f t="shared" si="5"/>
        <v>-9.1099400759999991</v>
      </c>
      <c r="R8" s="1"/>
      <c r="S8" s="17">
        <f>Q8/(1+'User Inputs'!$B$23)^'Electricity Costs'!I8</f>
        <v>-6.6664000510458647</v>
      </c>
      <c r="T8" s="17">
        <f>R8/(1+'User Inputs'!$B$23)^'Electricity Costs'!I8</f>
        <v>0</v>
      </c>
      <c r="V8" s="74">
        <f t="shared" si="6"/>
        <v>-10145.5</v>
      </c>
      <c r="W8" s="43">
        <f t="shared" si="7"/>
        <v>-1356.5772062640001</v>
      </c>
      <c r="X8" s="18">
        <f t="shared" si="8"/>
        <v>1045.29187955</v>
      </c>
      <c r="Y8" s="17">
        <f>W8/(1+'User Inputs'!$B$23)^'Electricity Costs'!I8</f>
        <v>-992.70536157651759</v>
      </c>
      <c r="Z8" s="17">
        <f t="shared" si="9"/>
        <v>978.46864282343654</v>
      </c>
      <c r="AB8" s="17">
        <f t="shared" si="10"/>
        <v>-14.23671875308105</v>
      </c>
    </row>
    <row r="9" spans="1:28" x14ac:dyDescent="0.25">
      <c r="A9">
        <f t="shared" si="11"/>
        <v>2025</v>
      </c>
      <c r="B9" s="19">
        <f t="shared" si="0"/>
        <v>5</v>
      </c>
      <c r="C9" s="72">
        <f>'Simple Comparison'!$B$11</f>
        <v>10000</v>
      </c>
      <c r="D9" s="71">
        <f>D8*(1+'Simple Comparison'!$B$5)</f>
        <v>0.13638645216</v>
      </c>
      <c r="E9" s="18">
        <f t="shared" si="1"/>
        <v>1363.8645216</v>
      </c>
      <c r="F9" s="17">
        <f>E9/(1+'User Inputs'!$B$23)^'Electricity Costs'!B9</f>
        <v>923.08362530512863</v>
      </c>
      <c r="H9">
        <f t="shared" si="12"/>
        <v>2025</v>
      </c>
      <c r="I9" s="19">
        <f t="shared" si="2"/>
        <v>5</v>
      </c>
      <c r="J9" s="72">
        <v>10094</v>
      </c>
      <c r="K9" s="71">
        <f t="shared" si="13"/>
        <v>0.104060401</v>
      </c>
      <c r="L9" s="18">
        <f t="shared" si="3"/>
        <v>1050.3856876939999</v>
      </c>
      <c r="M9" s="17">
        <f>L9/(1+'User Inputs'!$B$23)^'Electricity Costs'!I9</f>
        <v>710.91652668531299</v>
      </c>
      <c r="N9" s="17"/>
      <c r="O9">
        <f>O8*(1+'Simple Comparison'!$B$5)</f>
        <v>6.386349744E-2</v>
      </c>
      <c r="P9" s="74">
        <f t="shared" si="4"/>
        <v>-94</v>
      </c>
      <c r="Q9" s="43">
        <f t="shared" si="5"/>
        <v>-6.0031687593600003</v>
      </c>
      <c r="R9" s="1"/>
      <c r="S9" s="17">
        <f>Q9/(1+'User Inputs'!$B$23)^'Electricity Costs'!I9</f>
        <v>-4.0630331634462253</v>
      </c>
      <c r="T9" s="17">
        <f>R9/(1+'User Inputs'!$B$23)^'Electricity Costs'!I9</f>
        <v>0</v>
      </c>
      <c r="V9" s="74">
        <f t="shared" si="6"/>
        <v>-10094</v>
      </c>
      <c r="W9" s="43">
        <f t="shared" si="7"/>
        <v>-1376.6848481030399</v>
      </c>
      <c r="X9" s="18">
        <f t="shared" si="8"/>
        <v>1050.3856876939999</v>
      </c>
      <c r="Y9" s="17">
        <f>W9/(1+'User Inputs'!$B$23)^'Electricity Costs'!I9</f>
        <v>-931.76061138299679</v>
      </c>
      <c r="Z9" s="17">
        <f t="shared" si="9"/>
        <v>923.08362530512863</v>
      </c>
      <c r="AB9" s="17">
        <f t="shared" si="10"/>
        <v>-8.6769860778681505</v>
      </c>
    </row>
    <row r="10" spans="1:28" x14ac:dyDescent="0.25">
      <c r="A10">
        <f t="shared" si="11"/>
        <v>2026</v>
      </c>
      <c r="B10" s="19">
        <f t="shared" si="0"/>
        <v>6</v>
      </c>
      <c r="C10" s="72">
        <f>'Simple Comparison'!$B$11</f>
        <v>10000</v>
      </c>
      <c r="D10" s="71">
        <f>D9*(1+'Simple Comparison'!$B$5)</f>
        <v>0.13911418120320002</v>
      </c>
      <c r="E10" s="18">
        <f t="shared" si="1"/>
        <v>1391.1418120320002</v>
      </c>
      <c r="F10" s="17">
        <f>E10/(1+'User Inputs'!$B$23)^'Electricity Costs'!B10</f>
        <v>870.83360877842324</v>
      </c>
      <c r="H10">
        <f t="shared" si="12"/>
        <v>2026</v>
      </c>
      <c r="I10" s="19">
        <f t="shared" si="2"/>
        <v>6</v>
      </c>
      <c r="J10" s="72">
        <v>10042.5</v>
      </c>
      <c r="K10" s="71">
        <f t="shared" si="13"/>
        <v>0.10510100501</v>
      </c>
      <c r="L10" s="18">
        <f t="shared" si="3"/>
        <v>1055.476842812925</v>
      </c>
      <c r="M10" s="17">
        <f>L10/(1+'User Inputs'!$B$23)^'Electricity Costs'!I10</f>
        <v>660.71244502835282</v>
      </c>
      <c r="N10" s="17"/>
      <c r="O10">
        <f>O9*(1+'Simple Comparison'!$B$5)</f>
        <v>6.5140767388799994E-2</v>
      </c>
      <c r="P10" s="74">
        <f t="shared" si="4"/>
        <v>-42.5</v>
      </c>
      <c r="Q10" s="43">
        <f t="shared" si="5"/>
        <v>-2.7684826140239998</v>
      </c>
      <c r="R10" s="1"/>
      <c r="S10" s="17">
        <f>Q10/(1+'User Inputs'!$B$23)^'Electricity Costs'!I10</f>
        <v>-1.7330279952475363</v>
      </c>
      <c r="T10" s="17">
        <f>R10/(1+'User Inputs'!$B$23)^'Electricity Costs'!I10</f>
        <v>0</v>
      </c>
      <c r="V10" s="74">
        <f t="shared" si="6"/>
        <v>-10042.5</v>
      </c>
      <c r="W10" s="43">
        <f t="shared" si="7"/>
        <v>-1397.0541647331361</v>
      </c>
      <c r="X10" s="18">
        <f t="shared" si="8"/>
        <v>1055.476842812925</v>
      </c>
      <c r="Y10" s="17">
        <f>W10/(1+'User Inputs'!$B$23)^'Electricity Costs'!I10</f>
        <v>-874.53465161573149</v>
      </c>
      <c r="Z10" s="17">
        <f t="shared" si="9"/>
        <v>870.83360877842324</v>
      </c>
      <c r="AB10" s="17">
        <f t="shared" si="10"/>
        <v>-3.7010428373082505</v>
      </c>
    </row>
    <row r="11" spans="1:28" x14ac:dyDescent="0.25">
      <c r="A11">
        <f t="shared" si="11"/>
        <v>2027</v>
      </c>
      <c r="B11" s="19">
        <f t="shared" si="0"/>
        <v>7</v>
      </c>
      <c r="C11" s="72">
        <f>'Simple Comparison'!$B$11</f>
        <v>10000</v>
      </c>
      <c r="D11" s="71">
        <f>D10*(1+'Simple Comparison'!$B$5)</f>
        <v>0.14189646482726401</v>
      </c>
      <c r="E11" s="18">
        <f t="shared" si="1"/>
        <v>1418.96464827264</v>
      </c>
      <c r="F11" s="17">
        <f>E11/(1+'User Inputs'!$B$23)^'Electricity Costs'!B11</f>
        <v>821.54114035700297</v>
      </c>
      <c r="H11">
        <f t="shared" si="12"/>
        <v>2027</v>
      </c>
      <c r="I11" s="19">
        <f t="shared" si="2"/>
        <v>7</v>
      </c>
      <c r="J11" s="72">
        <v>9991</v>
      </c>
      <c r="K11" s="71">
        <f t="shared" si="13"/>
        <v>0.1061520150601</v>
      </c>
      <c r="L11" s="18">
        <f t="shared" si="3"/>
        <v>1060.5647824654591</v>
      </c>
      <c r="M11" s="17">
        <f>L11/(1+'User Inputs'!$B$23)^'Electricity Costs'!I11</f>
        <v>614.03756736985235</v>
      </c>
      <c r="N11" s="17"/>
      <c r="P11" s="74">
        <f t="shared" si="4"/>
        <v>9</v>
      </c>
      <c r="R11" s="1">
        <f>P11*D11</f>
        <v>1.2770681834453761</v>
      </c>
      <c r="S11" s="17">
        <f>Q11/(1+'User Inputs'!$B$23)^'Electricity Costs'!I11</f>
        <v>0</v>
      </c>
      <c r="T11" s="17">
        <f>R11/(1+'User Inputs'!$B$23)^'Electricity Costs'!I11</f>
        <v>0.73938702632130271</v>
      </c>
      <c r="V11" s="74">
        <f t="shared" si="6"/>
        <v>-9991</v>
      </c>
      <c r="W11" s="43">
        <f t="shared" si="7"/>
        <v>-1417.6875800891946</v>
      </c>
      <c r="X11" s="18">
        <f t="shared" si="8"/>
        <v>1060.5647824654591</v>
      </c>
      <c r="Y11" s="17">
        <f>W11/(1+'User Inputs'!$B$23)^'Electricity Costs'!I11</f>
        <v>-820.80175333068155</v>
      </c>
      <c r="Z11" s="17">
        <f t="shared" si="9"/>
        <v>821.54114035700297</v>
      </c>
      <c r="AB11" s="17">
        <f t="shared" si="10"/>
        <v>0.73938702632142395</v>
      </c>
    </row>
    <row r="12" spans="1:28" x14ac:dyDescent="0.25">
      <c r="A12">
        <f t="shared" si="11"/>
        <v>2028</v>
      </c>
      <c r="B12" s="19">
        <f t="shared" si="0"/>
        <v>8</v>
      </c>
      <c r="C12" s="72">
        <f>'Simple Comparison'!$B$11</f>
        <v>10000</v>
      </c>
      <c r="D12" s="71">
        <f>D11*(1+'Simple Comparison'!$B$5)</f>
        <v>0.14473439412380928</v>
      </c>
      <c r="E12" s="18">
        <f t="shared" si="1"/>
        <v>1447.3439412380928</v>
      </c>
      <c r="F12" s="17">
        <f>E12/(1+'User Inputs'!$B$23)^'Electricity Costs'!B12</f>
        <v>775.03881165754967</v>
      </c>
      <c r="H12">
        <f t="shared" si="12"/>
        <v>2028</v>
      </c>
      <c r="I12" s="19">
        <f t="shared" si="2"/>
        <v>8</v>
      </c>
      <c r="J12" s="72">
        <v>9939.5</v>
      </c>
      <c r="K12" s="71">
        <f t="shared" si="13"/>
        <v>0.107213535210701</v>
      </c>
      <c r="L12" s="18">
        <f t="shared" si="3"/>
        <v>1065.6489332267627</v>
      </c>
      <c r="M12" s="17">
        <f>L12/(1+'User Inputs'!$B$23)^'Electricity Costs'!I12</f>
        <v>570.64479238134265</v>
      </c>
      <c r="N12" s="17"/>
      <c r="P12" s="74">
        <f t="shared" si="4"/>
        <v>60.5</v>
      </c>
      <c r="R12" s="1">
        <f t="shared" ref="R12:R29" si="14">P12*D12</f>
        <v>8.7564308444904615</v>
      </c>
      <c r="S12" s="17">
        <f>Q12/(1+'User Inputs'!$B$23)^'Electricity Costs'!I12</f>
        <v>0</v>
      </c>
      <c r="T12" s="17">
        <f>R12/(1+'User Inputs'!$B$23)^'Electricity Costs'!I12</f>
        <v>4.6889848105281757</v>
      </c>
      <c r="V12" s="74">
        <f t="shared" si="6"/>
        <v>-9939.5</v>
      </c>
      <c r="W12" s="43">
        <f t="shared" si="7"/>
        <v>-1438.5875103936023</v>
      </c>
      <c r="X12" s="18">
        <f t="shared" si="8"/>
        <v>1065.6489332267627</v>
      </c>
      <c r="Y12" s="17">
        <f>W12/(1+'User Inputs'!$B$23)^'Electricity Costs'!I12</f>
        <v>-770.34982684702152</v>
      </c>
      <c r="Z12" s="17">
        <f t="shared" si="9"/>
        <v>775.03881165754967</v>
      </c>
      <c r="AB12" s="17">
        <f t="shared" si="10"/>
        <v>4.6889848105281544</v>
      </c>
    </row>
    <row r="13" spans="1:28" x14ac:dyDescent="0.25">
      <c r="A13">
        <f t="shared" si="11"/>
        <v>2029</v>
      </c>
      <c r="B13" s="19">
        <f t="shared" si="0"/>
        <v>9</v>
      </c>
      <c r="C13" s="72">
        <f>'Simple Comparison'!$B$11</f>
        <v>10000</v>
      </c>
      <c r="D13" s="71">
        <f>D12*(1+'Simple Comparison'!$B$5)</f>
        <v>0.14762908200628547</v>
      </c>
      <c r="E13" s="18">
        <f t="shared" si="1"/>
        <v>1476.2908200628547</v>
      </c>
      <c r="F13" s="17">
        <f>E13/(1+'User Inputs'!$B$23)^'Electricity Costs'!B13</f>
        <v>731.16869024297114</v>
      </c>
      <c r="H13">
        <f t="shared" si="12"/>
        <v>2029</v>
      </c>
      <c r="I13" s="19">
        <f t="shared" si="2"/>
        <v>9</v>
      </c>
      <c r="J13" s="72">
        <v>9888</v>
      </c>
      <c r="K13" s="71">
        <f t="shared" si="13"/>
        <v>0.10828567056280801</v>
      </c>
      <c r="L13" s="18">
        <f t="shared" si="3"/>
        <v>1070.7287105250457</v>
      </c>
      <c r="M13" s="17">
        <f>L13/(1+'User Inputs'!$B$23)^'Electricity Costs'!I13</f>
        <v>530.3042586465524</v>
      </c>
      <c r="N13" s="17"/>
      <c r="P13" s="74">
        <f t="shared" si="4"/>
        <v>112</v>
      </c>
      <c r="R13" s="1">
        <f t="shared" si="14"/>
        <v>16.534457184703971</v>
      </c>
      <c r="S13" s="17">
        <f>Q13/(1+'User Inputs'!$B$23)^'Electricity Costs'!I13</f>
        <v>0</v>
      </c>
      <c r="T13" s="17">
        <f>R13/(1+'User Inputs'!$B$23)^'Electricity Costs'!I13</f>
        <v>8.1890893307212771</v>
      </c>
      <c r="V13" s="74">
        <f t="shared" si="6"/>
        <v>-9888</v>
      </c>
      <c r="W13" s="43">
        <f t="shared" si="7"/>
        <v>-1459.7563628781506</v>
      </c>
      <c r="X13" s="18">
        <f t="shared" si="8"/>
        <v>1070.7287105250457</v>
      </c>
      <c r="Y13" s="17">
        <f>W13/(1+'User Inputs'!$B$23)^'Electricity Costs'!I13</f>
        <v>-722.97960091224991</v>
      </c>
      <c r="Z13" s="17">
        <f t="shared" si="9"/>
        <v>731.16869024297114</v>
      </c>
      <c r="AB13" s="17">
        <f t="shared" si="10"/>
        <v>8.1890893307212309</v>
      </c>
    </row>
    <row r="14" spans="1:28" x14ac:dyDescent="0.25">
      <c r="A14">
        <f t="shared" si="11"/>
        <v>2030</v>
      </c>
      <c r="B14" s="19">
        <f t="shared" si="0"/>
        <v>10</v>
      </c>
      <c r="C14" s="72">
        <f>'Simple Comparison'!$B$11</f>
        <v>10000</v>
      </c>
      <c r="D14" s="71">
        <f>D13*(1+'Simple Comparison'!$B$5)</f>
        <v>0.15058166364641118</v>
      </c>
      <c r="E14" s="18">
        <f t="shared" si="1"/>
        <v>1505.8166364641118</v>
      </c>
      <c r="F14" s="17">
        <f>E14/(1+'User Inputs'!$B$23)^'Electricity Costs'!B14</f>
        <v>689.78178324808596</v>
      </c>
      <c r="H14">
        <f t="shared" si="12"/>
        <v>2030</v>
      </c>
      <c r="I14" s="19">
        <f t="shared" si="2"/>
        <v>10</v>
      </c>
      <c r="J14" s="72">
        <v>9836.5</v>
      </c>
      <c r="K14" s="71">
        <f t="shared" si="13"/>
        <v>0.10936852726843609</v>
      </c>
      <c r="L14" s="18">
        <f t="shared" si="3"/>
        <v>1075.8035184759715</v>
      </c>
      <c r="M14" s="17">
        <f>L14/(1+'User Inputs'!$B$23)^'Electricity Costs'!I14</f>
        <v>492.80214564597588</v>
      </c>
      <c r="N14" s="17"/>
      <c r="P14" s="74">
        <f t="shared" si="4"/>
        <v>163.5</v>
      </c>
      <c r="R14" s="1">
        <f t="shared" si="14"/>
        <v>24.620102006188226</v>
      </c>
      <c r="S14" s="17">
        <f>Q14/(1+'User Inputs'!$B$23)^'Electricity Costs'!I14</f>
        <v>0</v>
      </c>
      <c r="T14" s="17">
        <f>R14/(1+'User Inputs'!$B$23)^'Electricity Costs'!I14</f>
        <v>11.277932156106203</v>
      </c>
      <c r="V14" s="74">
        <f t="shared" si="6"/>
        <v>-9836.5</v>
      </c>
      <c r="W14" s="43">
        <f t="shared" si="7"/>
        <v>-1481.1965344579235</v>
      </c>
      <c r="X14" s="18">
        <f t="shared" si="8"/>
        <v>1075.8035184759715</v>
      </c>
      <c r="Y14" s="17">
        <f>W14/(1+'User Inputs'!$B$23)^'Electricity Costs'!I14</f>
        <v>-678.50385109197964</v>
      </c>
      <c r="Z14" s="17">
        <f t="shared" si="9"/>
        <v>689.78178324808596</v>
      </c>
      <c r="AB14" s="17">
        <f t="shared" si="10"/>
        <v>11.277932156106317</v>
      </c>
    </row>
    <row r="15" spans="1:28" x14ac:dyDescent="0.25">
      <c r="A15">
        <f t="shared" si="11"/>
        <v>2031</v>
      </c>
      <c r="B15" s="19">
        <f t="shared" si="0"/>
        <v>11</v>
      </c>
      <c r="C15" s="72">
        <f>'Simple Comparison'!$B$11</f>
        <v>10000</v>
      </c>
      <c r="D15" s="71">
        <f>D14*(1+'Simple Comparison'!$B$5)</f>
        <v>0.1535932969193394</v>
      </c>
      <c r="E15" s="18">
        <f t="shared" si="1"/>
        <v>1535.932969193394</v>
      </c>
      <c r="F15" s="17">
        <f>E15/(1+'User Inputs'!$B$23)^'Electricity Costs'!B15</f>
        <v>650.73753136611879</v>
      </c>
      <c r="H15">
        <f t="shared" si="12"/>
        <v>2031</v>
      </c>
      <c r="I15" s="19">
        <f t="shared" si="2"/>
        <v>11</v>
      </c>
      <c r="J15" s="72">
        <v>9785</v>
      </c>
      <c r="K15" s="71">
        <f t="shared" si="13"/>
        <v>0.11046221254112044</v>
      </c>
      <c r="L15" s="18">
        <f t="shared" si="3"/>
        <v>1080.8727497148636</v>
      </c>
      <c r="M15" s="17">
        <f>L15/(1+'User Inputs'!$B$23)^'Electricity Costs'!I15</f>
        <v>457.93955789602978</v>
      </c>
      <c r="N15" s="17"/>
      <c r="P15" s="74">
        <f t="shared" si="4"/>
        <v>215</v>
      </c>
      <c r="R15" s="1">
        <f t="shared" si="14"/>
        <v>33.022558837657968</v>
      </c>
      <c r="S15" s="17">
        <f>Q15/(1+'User Inputs'!$B$23)^'Electricity Costs'!I15</f>
        <v>0</v>
      </c>
      <c r="T15" s="17">
        <f>R15/(1+'User Inputs'!$B$23)^'Electricity Costs'!I15</f>
        <v>13.990856924371553</v>
      </c>
      <c r="V15" s="74">
        <f t="shared" si="6"/>
        <v>-9785</v>
      </c>
      <c r="W15" s="43">
        <f t="shared" si="7"/>
        <v>-1502.9104103557361</v>
      </c>
      <c r="X15" s="18">
        <f t="shared" si="8"/>
        <v>1080.8727497148636</v>
      </c>
      <c r="Y15" s="17">
        <f>W15/(1+'User Inputs'!$B$23)^'Electricity Costs'!I15</f>
        <v>-636.74667444174725</v>
      </c>
      <c r="Z15" s="17">
        <f t="shared" si="9"/>
        <v>650.73753136611879</v>
      </c>
      <c r="AB15" s="17">
        <f t="shared" si="10"/>
        <v>13.990856924371542</v>
      </c>
    </row>
    <row r="16" spans="1:28" x14ac:dyDescent="0.25">
      <c r="A16">
        <f t="shared" si="11"/>
        <v>2032</v>
      </c>
      <c r="B16" s="19">
        <f t="shared" si="0"/>
        <v>12</v>
      </c>
      <c r="C16" s="72">
        <f>'Simple Comparison'!$B$11</f>
        <v>10000</v>
      </c>
      <c r="D16" s="71">
        <f>D15*(1+'Simple Comparison'!$B$5)</f>
        <v>0.15666516285772619</v>
      </c>
      <c r="E16" s="18">
        <f t="shared" si="1"/>
        <v>1566.6516285772618</v>
      </c>
      <c r="F16" s="17">
        <f>E16/(1+'User Inputs'!$B$23)^'Electricity Costs'!B16</f>
        <v>613.90333147747037</v>
      </c>
      <c r="H16">
        <f t="shared" si="12"/>
        <v>2032</v>
      </c>
      <c r="I16" s="19">
        <f t="shared" si="2"/>
        <v>12</v>
      </c>
      <c r="J16" s="72">
        <v>9733.5</v>
      </c>
      <c r="K16" s="71">
        <f t="shared" si="13"/>
        <v>0.11156683466653165</v>
      </c>
      <c r="L16" s="18">
        <f t="shared" si="3"/>
        <v>1085.9357852266858</v>
      </c>
      <c r="M16" s="17">
        <f>L16/(1+'User Inputs'!$B$23)^'Electricity Costs'!I16</f>
        <v>425.53148649051292</v>
      </c>
      <c r="N16" s="17"/>
      <c r="P16" s="74">
        <f t="shared" si="4"/>
        <v>266.5</v>
      </c>
      <c r="R16" s="1">
        <f t="shared" si="14"/>
        <v>41.751265901584027</v>
      </c>
      <c r="S16" s="17">
        <f>Q16/(1+'User Inputs'!$B$23)^'Electricity Costs'!I16</f>
        <v>0</v>
      </c>
      <c r="T16" s="17">
        <f>R16/(1+'User Inputs'!$B$23)^'Electricity Costs'!I16</f>
        <v>16.360523783874587</v>
      </c>
      <c r="V16" s="74">
        <f t="shared" si="6"/>
        <v>-9733.5</v>
      </c>
      <c r="W16" s="43">
        <f t="shared" si="7"/>
        <v>-1524.9003626756778</v>
      </c>
      <c r="X16" s="18">
        <f t="shared" si="8"/>
        <v>1085.9357852266858</v>
      </c>
      <c r="Y16" s="17">
        <f>W16/(1+'User Inputs'!$B$23)^'Electricity Costs'!I16</f>
        <v>-597.54280769359582</v>
      </c>
      <c r="Z16" s="17">
        <f t="shared" si="9"/>
        <v>613.90333147747037</v>
      </c>
      <c r="AB16" s="17">
        <f t="shared" si="10"/>
        <v>16.360523783874555</v>
      </c>
    </row>
    <row r="17" spans="1:28" x14ac:dyDescent="0.25">
      <c r="A17">
        <f t="shared" si="11"/>
        <v>2033</v>
      </c>
      <c r="B17" s="19">
        <f t="shared" si="0"/>
        <v>13</v>
      </c>
      <c r="C17" s="72">
        <f>'Simple Comparison'!$B$11</f>
        <v>10000</v>
      </c>
      <c r="D17" s="71">
        <f>D16*(1+'Simple Comparison'!$B$5)</f>
        <v>0.15979846611488072</v>
      </c>
      <c r="E17" s="18">
        <f t="shared" si="1"/>
        <v>1597.9846611488072</v>
      </c>
      <c r="F17" s="17">
        <f>E17/(1+'User Inputs'!$B$23)^'Electricity Costs'!B17</f>
        <v>579.15408629950025</v>
      </c>
      <c r="H17">
        <f t="shared" si="12"/>
        <v>2033</v>
      </c>
      <c r="I17" s="19">
        <f t="shared" si="2"/>
        <v>13</v>
      </c>
      <c r="J17" s="72">
        <v>9682</v>
      </c>
      <c r="K17" s="71">
        <f t="shared" si="13"/>
        <v>0.11268250301319697</v>
      </c>
      <c r="L17" s="18">
        <f t="shared" si="3"/>
        <v>1090.991994173773</v>
      </c>
      <c r="M17" s="17">
        <f>L17/(1+'User Inputs'!$B$23)^'Electricity Costs'!I17</f>
        <v>395.40584268908827</v>
      </c>
      <c r="N17" s="17"/>
      <c r="P17" s="74">
        <f t="shared" si="4"/>
        <v>318</v>
      </c>
      <c r="R17" s="1">
        <f t="shared" si="14"/>
        <v>50.81591222453207</v>
      </c>
      <c r="S17" s="17">
        <f>Q17/(1+'User Inputs'!$B$23)^'Electricity Costs'!I17</f>
        <v>0</v>
      </c>
      <c r="T17" s="17">
        <f>R17/(1+'User Inputs'!$B$23)^'Electricity Costs'!I17</f>
        <v>18.417099944324111</v>
      </c>
      <c r="V17" s="74">
        <f t="shared" si="6"/>
        <v>-9682</v>
      </c>
      <c r="W17" s="43">
        <f t="shared" si="7"/>
        <v>-1547.1687489242752</v>
      </c>
      <c r="X17" s="18">
        <f t="shared" si="8"/>
        <v>1090.991994173773</v>
      </c>
      <c r="Y17" s="17">
        <f>W17/(1+'User Inputs'!$B$23)^'Electricity Costs'!I17</f>
        <v>-560.73698635517621</v>
      </c>
      <c r="Z17" s="17">
        <f t="shared" si="9"/>
        <v>579.15408629950025</v>
      </c>
      <c r="AB17" s="17">
        <f t="shared" si="10"/>
        <v>18.417099944324036</v>
      </c>
    </row>
    <row r="18" spans="1:28" x14ac:dyDescent="0.25">
      <c r="A18">
        <f t="shared" si="11"/>
        <v>2034</v>
      </c>
      <c r="B18" s="19">
        <f t="shared" si="0"/>
        <v>14</v>
      </c>
      <c r="C18" s="72">
        <f>'Simple Comparison'!$B$11</f>
        <v>10000</v>
      </c>
      <c r="D18" s="71">
        <f>D17*(1+'Simple Comparison'!$B$5)</f>
        <v>0.16299443543717834</v>
      </c>
      <c r="E18" s="18">
        <f t="shared" si="1"/>
        <v>1629.9443543717834</v>
      </c>
      <c r="F18" s="17">
        <f>E18/(1+'User Inputs'!$B$23)^'Electricity Costs'!B18</f>
        <v>546.37177952783043</v>
      </c>
      <c r="H18">
        <f t="shared" si="12"/>
        <v>2034</v>
      </c>
      <c r="I18" s="19">
        <f t="shared" si="2"/>
        <v>14</v>
      </c>
      <c r="J18" s="72">
        <v>9630.5</v>
      </c>
      <c r="K18" s="71">
        <f t="shared" si="13"/>
        <v>0.11380932804332894</v>
      </c>
      <c r="L18" s="18">
        <f t="shared" si="3"/>
        <v>1096.0407337212794</v>
      </c>
      <c r="M18" s="17">
        <f>L18/(1+'User Inputs'!$B$23)^'Electricity Costs'!I18</f>
        <v>367.40255856715589</v>
      </c>
      <c r="N18" s="17"/>
      <c r="P18" s="74">
        <f t="shared" si="4"/>
        <v>369.5</v>
      </c>
      <c r="R18" s="1">
        <f t="shared" si="14"/>
        <v>60.226443894037395</v>
      </c>
      <c r="S18" s="17">
        <f>Q18/(1+'User Inputs'!$B$23)^'Electricity Costs'!I18</f>
        <v>0</v>
      </c>
      <c r="T18" s="17">
        <f>R18/(1+'User Inputs'!$B$23)^'Electricity Costs'!I18</f>
        <v>20.188437253553332</v>
      </c>
      <c r="V18" s="74">
        <f t="shared" si="6"/>
        <v>-9630.5</v>
      </c>
      <c r="W18" s="43">
        <f t="shared" si="7"/>
        <v>-1569.717910477746</v>
      </c>
      <c r="X18" s="18">
        <f t="shared" si="8"/>
        <v>1096.0407337212794</v>
      </c>
      <c r="Y18" s="17">
        <f>W18/(1+'User Inputs'!$B$23)^'Electricity Costs'!I18</f>
        <v>-526.18334227427704</v>
      </c>
      <c r="Z18" s="17">
        <f t="shared" si="9"/>
        <v>546.37177952783043</v>
      </c>
      <c r="AB18" s="17">
        <f t="shared" si="10"/>
        <v>20.188437253553388</v>
      </c>
    </row>
    <row r="19" spans="1:28" x14ac:dyDescent="0.25">
      <c r="A19">
        <f t="shared" si="11"/>
        <v>2035</v>
      </c>
      <c r="B19" s="19">
        <f t="shared" si="0"/>
        <v>15</v>
      </c>
      <c r="C19" s="72">
        <f>'Simple Comparison'!$B$11</f>
        <v>10000</v>
      </c>
      <c r="D19" s="71">
        <f>D18*(1+'Simple Comparison'!$B$5)</f>
        <v>0.16625432414592192</v>
      </c>
      <c r="E19" s="18">
        <f t="shared" si="1"/>
        <v>1662.5432414592192</v>
      </c>
      <c r="F19" s="17">
        <f>E19/(1+'User Inputs'!$B$23)^'Electricity Costs'!B19</f>
        <v>515.44507502625515</v>
      </c>
      <c r="H19">
        <f t="shared" si="12"/>
        <v>2035</v>
      </c>
      <c r="I19" s="19">
        <f t="shared" si="2"/>
        <v>15</v>
      </c>
      <c r="J19" s="72">
        <v>9579</v>
      </c>
      <c r="K19" s="71">
        <f t="shared" si="13"/>
        <v>0.11494742132376223</v>
      </c>
      <c r="L19" s="18">
        <f t="shared" si="3"/>
        <v>1101.0813488603185</v>
      </c>
      <c r="M19" s="17">
        <f>L19/(1+'User Inputs'!$B$23)^'Electricity Costs'!I19</f>
        <v>341.37275008569361</v>
      </c>
      <c r="N19" s="17"/>
      <c r="P19" s="74">
        <f t="shared" si="4"/>
        <v>421</v>
      </c>
      <c r="R19" s="1">
        <f t="shared" si="14"/>
        <v>69.993070465433135</v>
      </c>
      <c r="S19" s="17">
        <f>Q19/(1+'User Inputs'!$B$23)^'Electricity Costs'!I19</f>
        <v>0</v>
      </c>
      <c r="T19" s="17">
        <f>R19/(1+'User Inputs'!$B$23)^'Electricity Costs'!I19</f>
        <v>21.700237658605342</v>
      </c>
      <c r="V19" s="74">
        <f t="shared" si="6"/>
        <v>-9579</v>
      </c>
      <c r="W19" s="43">
        <f t="shared" si="7"/>
        <v>-1592.5501709937862</v>
      </c>
      <c r="X19" s="18">
        <f t="shared" si="8"/>
        <v>1101.0813488603185</v>
      </c>
      <c r="Y19" s="17">
        <f>W19/(1+'User Inputs'!$B$23)^'Electricity Costs'!I19</f>
        <v>-493.74483736764984</v>
      </c>
      <c r="Z19" s="17">
        <f t="shared" si="9"/>
        <v>515.44507502625515</v>
      </c>
      <c r="AB19" s="17">
        <f t="shared" si="10"/>
        <v>21.700237658605317</v>
      </c>
    </row>
    <row r="20" spans="1:28" x14ac:dyDescent="0.25">
      <c r="A20">
        <f t="shared" si="11"/>
        <v>2036</v>
      </c>
      <c r="B20" s="19">
        <f t="shared" si="0"/>
        <v>16</v>
      </c>
      <c r="C20" s="72">
        <f>'Simple Comparison'!$B$11</f>
        <v>10000</v>
      </c>
      <c r="D20" s="71">
        <f>D19*(1+'Simple Comparison'!$B$5)</f>
        <v>0.16957941062884035</v>
      </c>
      <c r="E20" s="18">
        <f t="shared" si="1"/>
        <v>1695.7941062884036</v>
      </c>
      <c r="F20" s="17">
        <f>E20/(1+'User Inputs'!$B$23)^'Electricity Costs'!B20</f>
        <v>486.26893870401409</v>
      </c>
      <c r="H20">
        <f t="shared" si="12"/>
        <v>2036</v>
      </c>
      <c r="I20" s="19">
        <f t="shared" si="2"/>
        <v>16</v>
      </c>
      <c r="J20" s="72">
        <v>9527.5</v>
      </c>
      <c r="K20" s="71">
        <f t="shared" si="13"/>
        <v>0.11609689553699985</v>
      </c>
      <c r="L20" s="18">
        <f t="shared" si="3"/>
        <v>1106.1131722287662</v>
      </c>
      <c r="M20" s="17">
        <f>L20/(1+'User Inputs'!$B$23)^'Electricity Costs'!I20</f>
        <v>317.17793826011638</v>
      </c>
      <c r="N20" s="17"/>
      <c r="P20" s="74">
        <f t="shared" si="4"/>
        <v>472.5</v>
      </c>
      <c r="R20" s="1">
        <f t="shared" si="14"/>
        <v>80.12627152212707</v>
      </c>
      <c r="S20" s="17">
        <f>Q20/(1+'User Inputs'!$B$23)^'Electricity Costs'!I20</f>
        <v>0</v>
      </c>
      <c r="T20" s="17">
        <f>R20/(1+'User Inputs'!$B$23)^'Electricity Costs'!I20</f>
        <v>22.976207353764664</v>
      </c>
      <c r="V20" s="74">
        <f t="shared" si="6"/>
        <v>-9527.5</v>
      </c>
      <c r="W20" s="43">
        <f t="shared" si="7"/>
        <v>-1615.6678347662764</v>
      </c>
      <c r="X20" s="18">
        <f t="shared" si="8"/>
        <v>1106.1131722287662</v>
      </c>
      <c r="Y20" s="17">
        <f>W20/(1+'User Inputs'!$B$23)^'Electricity Costs'!I20</f>
        <v>-463.29273135024943</v>
      </c>
      <c r="Z20" s="17">
        <f t="shared" si="9"/>
        <v>486.26893870401409</v>
      </c>
      <c r="AB20" s="17">
        <f t="shared" si="10"/>
        <v>22.976207353764664</v>
      </c>
    </row>
    <row r="21" spans="1:28" x14ac:dyDescent="0.25">
      <c r="A21">
        <f t="shared" si="11"/>
        <v>2037</v>
      </c>
      <c r="B21" s="19">
        <f t="shared" si="0"/>
        <v>17</v>
      </c>
      <c r="C21" s="72">
        <f>'Simple Comparison'!$B$11</f>
        <v>10000</v>
      </c>
      <c r="D21" s="71">
        <f>D20*(1+'Simple Comparison'!$B$5)</f>
        <v>0.17297099884141717</v>
      </c>
      <c r="E21" s="18">
        <f t="shared" si="1"/>
        <v>1729.7099884141717</v>
      </c>
      <c r="F21" s="17">
        <f>E21/(1+'User Inputs'!$B$23)^'Electricity Costs'!B21</f>
        <v>458.74428179623965</v>
      </c>
      <c r="H21">
        <f t="shared" si="12"/>
        <v>2037</v>
      </c>
      <c r="I21" s="19">
        <f t="shared" si="2"/>
        <v>17</v>
      </c>
      <c r="J21" s="72">
        <v>9476</v>
      </c>
      <c r="K21" s="71">
        <f t="shared" si="13"/>
        <v>0.11725786449236986</v>
      </c>
      <c r="L21" s="18">
        <f t="shared" si="3"/>
        <v>1111.1355239296968</v>
      </c>
      <c r="M21" s="17">
        <f>L21/(1+'User Inputs'!$B$23)^'Electricity Costs'!I21</f>
        <v>294.68932440561548</v>
      </c>
      <c r="N21" s="17"/>
      <c r="P21" s="74">
        <f t="shared" si="4"/>
        <v>524</v>
      </c>
      <c r="R21" s="1">
        <f t="shared" si="14"/>
        <v>90.636803392902593</v>
      </c>
      <c r="S21" s="17">
        <f>Q21/(1+'User Inputs'!$B$23)^'Electricity Costs'!I21</f>
        <v>0</v>
      </c>
      <c r="T21" s="17">
        <f>R21/(1+'User Inputs'!$B$23)^'Electricity Costs'!I21</f>
        <v>24.038200366122958</v>
      </c>
      <c r="V21" s="74">
        <f t="shared" si="6"/>
        <v>-9476</v>
      </c>
      <c r="W21" s="43">
        <f t="shared" si="7"/>
        <v>-1639.0731850212692</v>
      </c>
      <c r="X21" s="18">
        <f t="shared" si="8"/>
        <v>1111.1355239296968</v>
      </c>
      <c r="Y21" s="17">
        <f>W21/(1+'User Inputs'!$B$23)^'Electricity Costs'!I21</f>
        <v>-434.70608143011674</v>
      </c>
      <c r="Z21" s="17">
        <f t="shared" si="9"/>
        <v>458.74428179623965</v>
      </c>
      <c r="AB21" s="17">
        <f t="shared" si="10"/>
        <v>24.038200366122908</v>
      </c>
    </row>
    <row r="22" spans="1:28" x14ac:dyDescent="0.25">
      <c r="A22">
        <f t="shared" si="11"/>
        <v>2038</v>
      </c>
      <c r="B22" s="19">
        <f t="shared" si="0"/>
        <v>18</v>
      </c>
      <c r="C22" s="72">
        <f>'Simple Comparison'!$B$11</f>
        <v>10000</v>
      </c>
      <c r="D22" s="71">
        <f>D21*(1+'Simple Comparison'!$B$5)</f>
        <v>0.17643041881824553</v>
      </c>
      <c r="E22" s="18">
        <f t="shared" si="1"/>
        <v>1764.3041881824554</v>
      </c>
      <c r="F22" s="17">
        <f>E22/(1+'User Inputs'!$B$23)^'Electricity Costs'!B22</f>
        <v>432.77762433607512</v>
      </c>
      <c r="H22">
        <f t="shared" si="12"/>
        <v>2038</v>
      </c>
      <c r="I22" s="19">
        <f t="shared" si="2"/>
        <v>18</v>
      </c>
      <c r="J22" s="72">
        <v>9424.5</v>
      </c>
      <c r="K22" s="71">
        <f t="shared" si="13"/>
        <v>0.11843044313729356</v>
      </c>
      <c r="L22" s="18">
        <f t="shared" si="3"/>
        <v>1116.1477113474232</v>
      </c>
      <c r="M22" s="17">
        <f>L22/(1+'User Inputs'!$B$23)^'Electricity Costs'!I22</f>
        <v>273.78711571427226</v>
      </c>
      <c r="N22" s="17"/>
      <c r="P22" s="74">
        <f t="shared" si="4"/>
        <v>575.5</v>
      </c>
      <c r="R22" s="1">
        <f t="shared" si="14"/>
        <v>101.53570602990031</v>
      </c>
      <c r="S22" s="17">
        <f>Q22/(1+'User Inputs'!$B$23)^'Electricity Costs'!I22</f>
        <v>0</v>
      </c>
      <c r="T22" s="17">
        <f>R22/(1+'User Inputs'!$B$23)^'Electricity Costs'!I22</f>
        <v>24.906352280541125</v>
      </c>
      <c r="V22" s="74">
        <f t="shared" si="6"/>
        <v>-9424.5</v>
      </c>
      <c r="W22" s="43">
        <f t="shared" si="7"/>
        <v>-1662.768482152555</v>
      </c>
      <c r="X22" s="18">
        <f t="shared" si="8"/>
        <v>1116.1477113474232</v>
      </c>
      <c r="Y22" s="17">
        <f>W22/(1+'User Inputs'!$B$23)^'Electricity Costs'!I22</f>
        <v>-407.87127205553395</v>
      </c>
      <c r="Z22" s="17">
        <f t="shared" si="9"/>
        <v>432.77762433607512</v>
      </c>
      <c r="AB22" s="17">
        <f t="shared" si="10"/>
        <v>24.906352280541171</v>
      </c>
    </row>
    <row r="23" spans="1:28" x14ac:dyDescent="0.25">
      <c r="A23">
        <f t="shared" si="11"/>
        <v>2039</v>
      </c>
      <c r="B23" s="19">
        <f t="shared" si="0"/>
        <v>19</v>
      </c>
      <c r="C23" s="72">
        <f>'Simple Comparison'!$B$11</f>
        <v>10000</v>
      </c>
      <c r="D23" s="71">
        <f>D22*(1+'Simple Comparison'!$B$5)</f>
        <v>0.17995902719461043</v>
      </c>
      <c r="E23" s="18">
        <f t="shared" si="1"/>
        <v>1799.5902719461044</v>
      </c>
      <c r="F23" s="17">
        <f>E23/(1+'User Inputs'!$B$23)^'Electricity Costs'!B23</f>
        <v>408.28077767554254</v>
      </c>
      <c r="H23">
        <f t="shared" si="12"/>
        <v>2039</v>
      </c>
      <c r="I23" s="19">
        <f t="shared" si="2"/>
        <v>19</v>
      </c>
      <c r="J23" s="72">
        <v>9373</v>
      </c>
      <c r="K23" s="71">
        <f t="shared" si="13"/>
        <v>0.1196147475686665</v>
      </c>
      <c r="L23" s="18">
        <f t="shared" si="3"/>
        <v>1121.1490289611111</v>
      </c>
      <c r="M23" s="17">
        <f>L23/(1+'User Inputs'!$B$23)^'Electricity Costs'!I23</f>
        <v>254.35989767793691</v>
      </c>
      <c r="N23" s="17"/>
      <c r="P23" s="74">
        <f t="shared" si="4"/>
        <v>627</v>
      </c>
      <c r="R23" s="1">
        <f t="shared" si="14"/>
        <v>112.83431005102074</v>
      </c>
      <c r="S23" s="17">
        <f>Q23/(1+'User Inputs'!$B$23)^'Electricity Costs'!I23</f>
        <v>0</v>
      </c>
      <c r="T23" s="17">
        <f>R23/(1+'User Inputs'!$B$23)^'Electricity Costs'!I23</f>
        <v>25.599204760256512</v>
      </c>
      <c r="V23" s="74">
        <f t="shared" si="6"/>
        <v>-9373</v>
      </c>
      <c r="W23" s="43">
        <f t="shared" si="7"/>
        <v>-1686.7559618950836</v>
      </c>
      <c r="X23" s="18">
        <f t="shared" si="8"/>
        <v>1121.1490289611111</v>
      </c>
      <c r="Y23" s="17">
        <f>W23/(1+'User Inputs'!$B$23)^'Electricity Costs'!I23</f>
        <v>-382.68157291528598</v>
      </c>
      <c r="Z23" s="17">
        <f t="shared" si="9"/>
        <v>408.28077767554254</v>
      </c>
      <c r="AB23" s="17">
        <f t="shared" si="10"/>
        <v>25.599204760256555</v>
      </c>
    </row>
    <row r="24" spans="1:28" x14ac:dyDescent="0.25">
      <c r="A24">
        <f t="shared" si="11"/>
        <v>2040</v>
      </c>
      <c r="B24" s="19">
        <f t="shared" si="0"/>
        <v>20</v>
      </c>
      <c r="C24" s="72">
        <f>'Simple Comparison'!$B$11</f>
        <v>10000</v>
      </c>
      <c r="D24" s="71">
        <f>D23*(1+'Simple Comparison'!$B$5)</f>
        <v>0.18355820773850265</v>
      </c>
      <c r="E24" s="18">
        <f t="shared" si="1"/>
        <v>1835.5820773850264</v>
      </c>
      <c r="F24" s="17">
        <f>E24/(1+'User Inputs'!$B$23)^'Electricity Costs'!B24</f>
        <v>385.17054497692675</v>
      </c>
      <c r="H24">
        <f t="shared" si="12"/>
        <v>2040</v>
      </c>
      <c r="I24" s="19">
        <f t="shared" si="2"/>
        <v>20</v>
      </c>
      <c r="J24" s="72">
        <v>9321.5</v>
      </c>
      <c r="K24" s="71">
        <f t="shared" si="13"/>
        <v>0.12081089504435316</v>
      </c>
      <c r="L24" s="18">
        <f t="shared" si="3"/>
        <v>1126.1387581559379</v>
      </c>
      <c r="M24" s="17">
        <f>L24/(1+'User Inputs'!$B$23)^'Electricity Costs'!I24</f>
        <v>236.30405011171766</v>
      </c>
      <c r="N24" s="17"/>
      <c r="P24" s="74">
        <f t="shared" si="4"/>
        <v>678.5</v>
      </c>
      <c r="R24" s="1">
        <f t="shared" si="14"/>
        <v>124.54424395057404</v>
      </c>
      <c r="S24" s="17">
        <f>Q24/(1+'User Inputs'!$B$23)^'Electricity Costs'!I24</f>
        <v>0</v>
      </c>
      <c r="T24" s="17">
        <f>R24/(1+'User Inputs'!$B$23)^'Electricity Costs'!I24</f>
        <v>26.133821476684478</v>
      </c>
      <c r="V24" s="74">
        <f t="shared" si="6"/>
        <v>-9321.5</v>
      </c>
      <c r="W24" s="43">
        <f t="shared" si="7"/>
        <v>-1711.0378334344525</v>
      </c>
      <c r="X24" s="18">
        <f t="shared" si="8"/>
        <v>1126.1387581559379</v>
      </c>
      <c r="Y24" s="17">
        <f>W24/(1+'User Inputs'!$B$23)^'Electricity Costs'!I24</f>
        <v>-359.03672350024226</v>
      </c>
      <c r="Z24" s="17">
        <f t="shared" si="9"/>
        <v>385.17054497692675</v>
      </c>
      <c r="AB24" s="17">
        <f t="shared" si="10"/>
        <v>26.133821476684489</v>
      </c>
    </row>
    <row r="25" spans="1:28" x14ac:dyDescent="0.25">
      <c r="A25">
        <f t="shared" si="11"/>
        <v>2041</v>
      </c>
      <c r="B25" s="19">
        <f t="shared" si="0"/>
        <v>21</v>
      </c>
      <c r="C25" s="72">
        <f>'Simple Comparison'!$B$11</f>
        <v>10000</v>
      </c>
      <c r="D25" s="71">
        <f>D24*(1+'Simple Comparison'!$B$5)</f>
        <v>0.18722937189327271</v>
      </c>
      <c r="E25" s="18">
        <f t="shared" si="1"/>
        <v>1872.2937189327272</v>
      </c>
      <c r="F25" s="17">
        <f>E25/(1+'User Inputs'!$B$23)^'Electricity Costs'!B25</f>
        <v>363.36843865747807</v>
      </c>
      <c r="H25">
        <f t="shared" si="12"/>
        <v>2041</v>
      </c>
      <c r="I25" s="19">
        <f t="shared" si="2"/>
        <v>21</v>
      </c>
      <c r="J25" s="72">
        <v>9269.9999999999982</v>
      </c>
      <c r="K25" s="71">
        <f t="shared" si="13"/>
        <v>0.12201900399479669</v>
      </c>
      <c r="L25" s="18">
        <f t="shared" si="3"/>
        <v>1131.1161670317651</v>
      </c>
      <c r="M25" s="17">
        <f>L25/(1+'User Inputs'!$B$23)^'Electricity Costs'!I25</f>
        <v>219.52320375718335</v>
      </c>
      <c r="N25" s="17"/>
      <c r="P25" s="74">
        <f t="shared" si="4"/>
        <v>730.00000000000182</v>
      </c>
      <c r="R25" s="1">
        <f t="shared" si="14"/>
        <v>136.67744148208942</v>
      </c>
      <c r="S25" s="17">
        <f>Q25/(1+'User Inputs'!$B$23)^'Electricity Costs'!I25</f>
        <v>0</v>
      </c>
      <c r="T25" s="17">
        <f>R25/(1+'User Inputs'!$B$23)^'Electricity Costs'!I25</f>
        <v>26.525896021995962</v>
      </c>
      <c r="V25" s="74">
        <f t="shared" si="6"/>
        <v>-9269.9999999999982</v>
      </c>
      <c r="W25" s="43">
        <f t="shared" si="7"/>
        <v>-1735.6162774506377</v>
      </c>
      <c r="X25" s="18">
        <f t="shared" si="8"/>
        <v>1131.1161670317651</v>
      </c>
      <c r="Y25" s="17">
        <f>W25/(1+'User Inputs'!$B$23)^'Electricity Costs'!I25</f>
        <v>-336.84254263548206</v>
      </c>
      <c r="Z25" s="17">
        <f t="shared" si="9"/>
        <v>363.36843865747807</v>
      </c>
      <c r="AB25" s="17">
        <f t="shared" si="10"/>
        <v>26.525896021996004</v>
      </c>
    </row>
    <row r="26" spans="1:28" x14ac:dyDescent="0.25">
      <c r="A26">
        <f t="shared" si="11"/>
        <v>2042</v>
      </c>
      <c r="B26" s="19">
        <f t="shared" si="0"/>
        <v>22</v>
      </c>
      <c r="C26" s="72">
        <f>'Simple Comparison'!$B$11</f>
        <v>10000</v>
      </c>
      <c r="D26" s="71">
        <f>D25*(1+'Simple Comparison'!$B$5)</f>
        <v>0.19097395933113817</v>
      </c>
      <c r="E26" s="18">
        <f t="shared" si="1"/>
        <v>1909.7395933113817</v>
      </c>
      <c r="F26" s="17">
        <f>E26/(1+'User Inputs'!$B$23)^'Electricity Costs'!B26</f>
        <v>342.80041382780945</v>
      </c>
      <c r="H26">
        <f t="shared" si="12"/>
        <v>2042</v>
      </c>
      <c r="I26" s="19">
        <f t="shared" si="2"/>
        <v>22</v>
      </c>
      <c r="J26" s="72">
        <v>9218.4999999999982</v>
      </c>
      <c r="K26" s="71">
        <f t="shared" si="13"/>
        <v>0.12323919403474466</v>
      </c>
      <c r="L26" s="18">
        <f t="shared" si="3"/>
        <v>1136.0805102092934</v>
      </c>
      <c r="M26" s="17">
        <f>L26/(1+'User Inputs'!$B$23)^'Electricity Costs'!I26</f>
        <v>203.92773465316918</v>
      </c>
      <c r="N26" s="17"/>
      <c r="P26" s="74">
        <f t="shared" si="4"/>
        <v>781.50000000000182</v>
      </c>
      <c r="R26" s="1">
        <f t="shared" si="14"/>
        <v>149.24614921728482</v>
      </c>
      <c r="S26" s="17">
        <f>Q26/(1+'User Inputs'!$B$23)^'Electricity Costs'!I26</f>
        <v>0</v>
      </c>
      <c r="T26" s="17">
        <f>R26/(1+'User Inputs'!$B$23)^'Electricity Costs'!I26</f>
        <v>26.789852340643371</v>
      </c>
      <c r="V26" s="74">
        <f t="shared" si="6"/>
        <v>-9218.4999999999982</v>
      </c>
      <c r="W26" s="43">
        <f t="shared" si="7"/>
        <v>-1760.493444094097</v>
      </c>
      <c r="X26" s="18">
        <f t="shared" si="8"/>
        <v>1136.0805102092934</v>
      </c>
      <c r="Y26" s="17">
        <f>W26/(1+'User Inputs'!$B$23)^'Electricity Costs'!I26</f>
        <v>-316.01056148716611</v>
      </c>
      <c r="Z26" s="17">
        <f t="shared" si="9"/>
        <v>342.80041382780945</v>
      </c>
      <c r="AB26" s="17">
        <f t="shared" si="10"/>
        <v>26.789852340643336</v>
      </c>
    </row>
    <row r="27" spans="1:28" x14ac:dyDescent="0.25">
      <c r="A27">
        <f t="shared" si="11"/>
        <v>2043</v>
      </c>
      <c r="B27" s="19">
        <f t="shared" si="0"/>
        <v>23</v>
      </c>
      <c r="C27" s="72">
        <f>'Simple Comparison'!$B$11</f>
        <v>10000</v>
      </c>
      <c r="D27" s="71">
        <f>D26*(1+'Simple Comparison'!$B$5)</f>
        <v>0.19479343851776093</v>
      </c>
      <c r="E27" s="18">
        <f t="shared" si="1"/>
        <v>1947.9343851776093</v>
      </c>
      <c r="F27" s="17">
        <f>E27/(1+'User Inputs'!$B$23)^'Electricity Costs'!B27</f>
        <v>323.39661681868813</v>
      </c>
      <c r="H27">
        <f t="shared" si="12"/>
        <v>2043</v>
      </c>
      <c r="I27" s="19">
        <f t="shared" si="2"/>
        <v>23</v>
      </c>
      <c r="J27" s="72">
        <v>9166.9999999999982</v>
      </c>
      <c r="K27" s="71">
        <f t="shared" si="13"/>
        <v>0.12447158597509211</v>
      </c>
      <c r="L27" s="18">
        <f t="shared" si="3"/>
        <v>1141.0310286336692</v>
      </c>
      <c r="M27" s="17">
        <f>L27/(1+'User Inputs'!$B$23)^'Electricity Costs'!I27</f>
        <v>189.43429365647293</v>
      </c>
      <c r="N27" s="17"/>
      <c r="P27" s="74">
        <f t="shared" si="4"/>
        <v>833.00000000000182</v>
      </c>
      <c r="R27" s="1">
        <f t="shared" si="14"/>
        <v>162.26293428529522</v>
      </c>
      <c r="S27" s="17">
        <f>Q27/(1+'User Inputs'!$B$23)^'Electricity Costs'!I27</f>
        <v>0</v>
      </c>
      <c r="T27" s="17">
        <f>R27/(1+'User Inputs'!$B$23)^'Electricity Costs'!I27</f>
        <v>26.938938180996782</v>
      </c>
      <c r="V27" s="74">
        <f t="shared" si="6"/>
        <v>-9166.9999999999982</v>
      </c>
      <c r="W27" s="43">
        <f t="shared" si="7"/>
        <v>-1785.6714508923142</v>
      </c>
      <c r="X27" s="18">
        <f t="shared" si="8"/>
        <v>1141.0310286336692</v>
      </c>
      <c r="Y27" s="17">
        <f>W27/(1+'User Inputs'!$B$23)^'Electricity Costs'!I27</f>
        <v>-296.4576786376914</v>
      </c>
      <c r="Z27" s="17">
        <f t="shared" si="9"/>
        <v>323.39661681868813</v>
      </c>
      <c r="AB27" s="17">
        <f t="shared" si="10"/>
        <v>26.938938180996729</v>
      </c>
    </row>
    <row r="28" spans="1:28" x14ac:dyDescent="0.25">
      <c r="A28">
        <f t="shared" si="11"/>
        <v>2044</v>
      </c>
      <c r="B28" s="19">
        <f t="shared" si="0"/>
        <v>24</v>
      </c>
      <c r="C28" s="72">
        <f>'Simple Comparison'!$B$11</f>
        <v>10000</v>
      </c>
      <c r="D28" s="71">
        <f>D27*(1+'Simple Comparison'!$B$5)</f>
        <v>0.19868930728811615</v>
      </c>
      <c r="E28" s="18">
        <f t="shared" si="1"/>
        <v>1986.8930728811615</v>
      </c>
      <c r="F28" s="17">
        <f>E28/(1+'User Inputs'!$B$23)^'Electricity Costs'!B28</f>
        <v>305.0911479421585</v>
      </c>
      <c r="H28">
        <f t="shared" si="12"/>
        <v>2044</v>
      </c>
      <c r="I28" s="19">
        <f t="shared" si="2"/>
        <v>24</v>
      </c>
      <c r="J28" s="72">
        <v>9115.4999999999982</v>
      </c>
      <c r="K28" s="71">
        <f t="shared" si="13"/>
        <v>0.12571630183484303</v>
      </c>
      <c r="L28" s="18">
        <f t="shared" si="3"/>
        <v>1145.9669493755114</v>
      </c>
      <c r="M28" s="17">
        <f>L28/(1+'User Inputs'!$B$23)^'Electricity Costs'!I28</f>
        <v>175.96536867571015</v>
      </c>
      <c r="N28" s="17"/>
      <c r="P28" s="74">
        <f t="shared" si="4"/>
        <v>884.50000000000182</v>
      </c>
      <c r="R28" s="1">
        <f t="shared" si="14"/>
        <v>175.74069229633909</v>
      </c>
      <c r="S28" s="17">
        <f>Q28/(1+'User Inputs'!$B$23)^'Electricity Costs'!I28</f>
        <v>0</v>
      </c>
      <c r="T28" s="17">
        <f>R28/(1+'User Inputs'!$B$23)^'Electricity Costs'!I28</f>
        <v>26.985312035483975</v>
      </c>
      <c r="V28" s="74">
        <f t="shared" si="6"/>
        <v>-9115.4999999999982</v>
      </c>
      <c r="W28" s="43">
        <f t="shared" si="7"/>
        <v>-1811.1523805848224</v>
      </c>
      <c r="X28" s="18">
        <f t="shared" si="8"/>
        <v>1145.9669493755114</v>
      </c>
      <c r="Y28" s="17">
        <f>W28/(1+'User Inputs'!$B$23)^'Electricity Costs'!I28</f>
        <v>-278.10583590667454</v>
      </c>
      <c r="Z28" s="17">
        <f t="shared" si="9"/>
        <v>305.0911479421585</v>
      </c>
      <c r="AB28" s="17">
        <f t="shared" si="10"/>
        <v>26.985312035483958</v>
      </c>
    </row>
    <row r="29" spans="1:28" x14ac:dyDescent="0.25">
      <c r="A29">
        <f t="shared" si="11"/>
        <v>2045</v>
      </c>
      <c r="B29" s="19">
        <f t="shared" si="0"/>
        <v>25</v>
      </c>
      <c r="C29" s="72">
        <f>'Simple Comparison'!$B$11</f>
        <v>10000</v>
      </c>
      <c r="D29" s="71">
        <f>D28*(1+'Simple Comparison'!$B$5)</f>
        <v>0.20266309343387848</v>
      </c>
      <c r="E29" s="18">
        <f t="shared" si="1"/>
        <v>2026.6309343387848</v>
      </c>
      <c r="F29" s="17">
        <f>E29/(1+'User Inputs'!$B$23)^'Electricity Costs'!B29</f>
        <v>287.82183768128152</v>
      </c>
      <c r="H29">
        <f t="shared" si="12"/>
        <v>2045</v>
      </c>
      <c r="I29" s="19">
        <f t="shared" si="2"/>
        <v>25</v>
      </c>
      <c r="J29" s="72">
        <v>9063.9999999999982</v>
      </c>
      <c r="K29" s="71">
        <f t="shared" si="13"/>
        <v>0.12697346485319147</v>
      </c>
      <c r="L29" s="18">
        <f t="shared" si="3"/>
        <v>1150.8874854293272</v>
      </c>
      <c r="M29" s="17">
        <f>L29/(1+'User Inputs'!$B$23)^'Electricity Costs'!I29</f>
        <v>163.44887735009974</v>
      </c>
      <c r="N29" s="17"/>
      <c r="P29" s="74">
        <f t="shared" si="4"/>
        <v>936.00000000000182</v>
      </c>
      <c r="R29" s="1">
        <f t="shared" si="14"/>
        <v>189.69265545411062</v>
      </c>
      <c r="S29" s="17">
        <f>Q29/(1+'User Inputs'!$B$23)^'Electricity Costs'!I29</f>
        <v>0</v>
      </c>
      <c r="T29" s="17">
        <f>R29/(1+'User Inputs'!$B$23)^'Electricity Costs'!I29</f>
        <v>26.940124006968006</v>
      </c>
      <c r="V29" s="74">
        <f t="shared" si="6"/>
        <v>-9063.9999999999982</v>
      </c>
      <c r="W29" s="43">
        <f t="shared" si="7"/>
        <v>-1836.9382788846742</v>
      </c>
      <c r="X29" s="18">
        <f t="shared" si="8"/>
        <v>1150.8874854293272</v>
      </c>
      <c r="Y29" s="17">
        <f>W29/(1+'User Inputs'!$B$23)^'Electricity Costs'!I29</f>
        <v>-260.88171367431357</v>
      </c>
      <c r="Z29" s="17">
        <f t="shared" si="9"/>
        <v>287.82183768128152</v>
      </c>
      <c r="AB29" s="17">
        <f t="shared" si="10"/>
        <v>26.940124006967949</v>
      </c>
    </row>
    <row r="30" spans="1:28" x14ac:dyDescent="0.25">
      <c r="C30" s="72">
        <f>SUM(C5:C29)</f>
        <v>250000</v>
      </c>
      <c r="F30" s="78">
        <f>SUM(F5:F29)</f>
        <v>15791.204666096246</v>
      </c>
      <c r="J30" s="72">
        <f>SUM(J5:J29)</f>
        <v>242050</v>
      </c>
      <c r="M30" s="17">
        <f>SUM(M5:M29)</f>
        <v>11321.704461489682</v>
      </c>
      <c r="N30" s="17"/>
      <c r="Q30" s="43">
        <f>SUM(Q5:Q29)</f>
        <v>-62.628890649384005</v>
      </c>
      <c r="R30" s="1">
        <f>SUM(R5:R29)</f>
        <v>1630.2945172237164</v>
      </c>
      <c r="S30" s="78">
        <f>SUM(S5:S29)</f>
        <v>-51.193530758269418</v>
      </c>
      <c r="T30" s="78">
        <f>SUM(T5:T29)</f>
        <v>373.38645771186373</v>
      </c>
      <c r="W30" s="43">
        <f>SUM(W5:W29)</f>
        <v>-38861.632968322447</v>
      </c>
      <c r="X30">
        <f>SUM(X5:X29)</f>
        <v>27269.883771749584</v>
      </c>
      <c r="Y30" s="78">
        <f>SUM(Y5:Y29)</f>
        <v>-15527.146765596952</v>
      </c>
      <c r="Z30" s="78">
        <f>SUM(Z5:Z29)</f>
        <v>15791.204666096246</v>
      </c>
    </row>
    <row r="32" spans="1:28" x14ac:dyDescent="0.25">
      <c r="C32" s="9" t="s">
        <v>170</v>
      </c>
      <c r="D32" s="9" t="s">
        <v>171</v>
      </c>
      <c r="F32" s="78">
        <f>F30</f>
        <v>15791.204666096246</v>
      </c>
      <c r="L32" s="9" t="s">
        <v>148</v>
      </c>
      <c r="M32" s="78">
        <f>M30</f>
        <v>11321.704461489682</v>
      </c>
      <c r="N32" s="78"/>
      <c r="Q32" s="9" t="s">
        <v>86</v>
      </c>
      <c r="R32" s="79" t="s">
        <v>161</v>
      </c>
      <c r="S32" s="78">
        <f>S30</f>
        <v>-51.193530758269418</v>
      </c>
      <c r="T32" s="9"/>
      <c r="U32" s="9"/>
      <c r="V32" s="9"/>
      <c r="W32" s="9" t="s">
        <v>169</v>
      </c>
      <c r="X32" s="79" t="s">
        <v>161</v>
      </c>
      <c r="Y32" s="78">
        <f>Y30</f>
        <v>-15527.146765596952</v>
      </c>
    </row>
    <row r="33" spans="12:25" x14ac:dyDescent="0.25">
      <c r="L33" s="9" t="s">
        <v>149</v>
      </c>
      <c r="M33" s="78">
        <f>M32+S34</f>
        <v>11643.897388443276</v>
      </c>
      <c r="N33" s="78"/>
      <c r="Q33" s="9"/>
      <c r="R33" s="9" t="s">
        <v>145</v>
      </c>
      <c r="S33" s="78">
        <f>T30</f>
        <v>373.38645771186373</v>
      </c>
      <c r="T33" s="9"/>
      <c r="U33" s="9"/>
      <c r="V33" s="9"/>
      <c r="W33" s="9"/>
      <c r="X33" s="9" t="s">
        <v>145</v>
      </c>
      <c r="Y33" s="78">
        <f>Z30</f>
        <v>15791.204666096246</v>
      </c>
    </row>
    <row r="34" spans="12:25" x14ac:dyDescent="0.25">
      <c r="L34" s="9" t="s">
        <v>3</v>
      </c>
      <c r="M34" s="78">
        <f>F32-M33</f>
        <v>4147.3072776529698</v>
      </c>
      <c r="N34" s="78"/>
      <c r="P34" s="17"/>
      <c r="Q34" s="9"/>
      <c r="R34" s="9" t="s">
        <v>162</v>
      </c>
      <c r="S34" s="78">
        <f>S32+S33</f>
        <v>322.19292695359434</v>
      </c>
      <c r="V34" s="17"/>
      <c r="W34" s="9"/>
      <c r="X34" s="9" t="s">
        <v>162</v>
      </c>
      <c r="Y34" s="78">
        <f>Y32+Y33</f>
        <v>264.05790049929419</v>
      </c>
    </row>
    <row r="35" spans="12:25" x14ac:dyDescent="0.25">
      <c r="L35" s="9" t="s">
        <v>52</v>
      </c>
      <c r="M35" s="21">
        <v>0</v>
      </c>
      <c r="N35" s="21"/>
      <c r="P35" s="17"/>
    </row>
    <row r="37" spans="12:25" x14ac:dyDescent="0.25">
      <c r="R37" s="17"/>
    </row>
    <row r="38" spans="12:25" x14ac:dyDescent="0.25">
      <c r="R38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"/>
  <sheetViews>
    <sheetView workbookViewId="0">
      <selection activeCell="F2" sqref="F2"/>
    </sheetView>
  </sheetViews>
  <sheetFormatPr defaultRowHeight="15" x14ac:dyDescent="0.25"/>
  <cols>
    <col min="2" max="2" width="6.5703125" customWidth="1"/>
    <col min="3" max="3" width="9" bestFit="1" customWidth="1"/>
    <col min="4" max="4" width="8.42578125" bestFit="1" customWidth="1"/>
    <col min="5" max="5" width="14.5703125" bestFit="1" customWidth="1"/>
    <col min="6" max="6" width="15.28515625" bestFit="1" customWidth="1"/>
    <col min="7" max="7" width="19.28515625" bestFit="1" customWidth="1"/>
    <col min="8" max="8" width="16.42578125" bestFit="1" customWidth="1"/>
    <col min="9" max="9" width="18.85546875" bestFit="1" customWidth="1"/>
    <col min="10" max="10" width="25.140625" bestFit="1" customWidth="1"/>
    <col min="11" max="11" width="12.7109375" bestFit="1" customWidth="1"/>
    <col min="12" max="12" width="6.42578125" bestFit="1" customWidth="1"/>
    <col min="16" max="16" width="8.42578125" bestFit="1" customWidth="1"/>
    <col min="17" max="17" width="14.5703125" bestFit="1" customWidth="1"/>
    <col min="18" max="18" width="15.28515625" bestFit="1" customWidth="1"/>
    <col min="19" max="19" width="19.28515625" bestFit="1" customWidth="1"/>
    <col min="20" max="20" width="16.42578125" bestFit="1" customWidth="1"/>
    <col min="21" max="21" width="18.85546875" bestFit="1" customWidth="1"/>
    <col min="22" max="22" width="25.140625" bestFit="1" customWidth="1"/>
    <col min="23" max="23" width="12.7109375" bestFit="1" customWidth="1"/>
    <col min="24" max="24" width="6.42578125" bestFit="1" customWidth="1"/>
  </cols>
  <sheetData>
    <row r="1" spans="1:24" x14ac:dyDescent="0.25">
      <c r="B1" s="9" t="s">
        <v>30</v>
      </c>
      <c r="D1" s="18"/>
      <c r="E1" s="18"/>
      <c r="I1" s="1"/>
      <c r="J1" s="1"/>
      <c r="K1" s="2"/>
      <c r="L1" s="2"/>
    </row>
    <row r="2" spans="1:24" x14ac:dyDescent="0.25">
      <c r="B2" t="s">
        <v>39</v>
      </c>
      <c r="C2">
        <v>1</v>
      </c>
      <c r="D2" s="18"/>
      <c r="E2" s="18"/>
      <c r="I2" s="1"/>
      <c r="J2" s="1"/>
      <c r="K2" s="2"/>
      <c r="L2" s="2"/>
      <c r="N2" s="9" t="s">
        <v>41</v>
      </c>
      <c r="P2" s="18"/>
      <c r="Q2" s="18"/>
      <c r="U2" s="1"/>
      <c r="V2" s="1"/>
      <c r="W2" s="2"/>
    </row>
    <row r="3" spans="1:24" x14ac:dyDescent="0.25">
      <c r="C3" s="20" t="s">
        <v>23</v>
      </c>
      <c r="D3" s="23" t="s">
        <v>24</v>
      </c>
      <c r="E3" s="18"/>
      <c r="I3" s="21" t="s">
        <v>5</v>
      </c>
      <c r="J3" s="1"/>
      <c r="K3" s="2"/>
      <c r="L3" s="2"/>
      <c r="O3" s="20" t="s">
        <v>23</v>
      </c>
      <c r="P3" s="23" t="s">
        <v>24</v>
      </c>
      <c r="Q3" s="18"/>
      <c r="U3" s="21" t="s">
        <v>44</v>
      </c>
      <c r="V3" s="1"/>
      <c r="W3" s="2"/>
    </row>
    <row r="4" spans="1:24" x14ac:dyDescent="0.25">
      <c r="A4" t="s">
        <v>58</v>
      </c>
      <c r="B4" s="11" t="s">
        <v>0</v>
      </c>
      <c r="D4" s="22" t="s">
        <v>2</v>
      </c>
      <c r="E4" s="22" t="s">
        <v>22</v>
      </c>
      <c r="F4" s="9" t="s">
        <v>42</v>
      </c>
      <c r="G4" s="9" t="s">
        <v>25</v>
      </c>
      <c r="H4" s="9" t="s">
        <v>26</v>
      </c>
      <c r="I4" s="21" t="s">
        <v>43</v>
      </c>
      <c r="J4" s="21" t="s">
        <v>29</v>
      </c>
      <c r="K4" s="24" t="s">
        <v>3</v>
      </c>
      <c r="L4" s="24" t="s">
        <v>0</v>
      </c>
      <c r="N4" s="11" t="s">
        <v>0</v>
      </c>
      <c r="P4" s="22" t="s">
        <v>2</v>
      </c>
      <c r="Q4" s="22" t="s">
        <v>22</v>
      </c>
      <c r="R4" s="9" t="s">
        <v>42</v>
      </c>
      <c r="S4" s="9" t="s">
        <v>25</v>
      </c>
      <c r="T4" s="9" t="s">
        <v>26</v>
      </c>
      <c r="U4" s="21" t="s">
        <v>43</v>
      </c>
      <c r="V4" s="21" t="s">
        <v>29</v>
      </c>
      <c r="W4" s="24" t="s">
        <v>3</v>
      </c>
      <c r="X4" s="24" t="s">
        <v>0</v>
      </c>
    </row>
    <row r="5" spans="1:24" x14ac:dyDescent="0.25">
      <c r="A5">
        <v>2020</v>
      </c>
      <c r="B5" s="19">
        <v>1</v>
      </c>
      <c r="C5" s="10">
        <f>'Simple Comparison'!B31</f>
        <v>25107.199999999997</v>
      </c>
      <c r="D5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5" s="18">
        <f>'Simple Comparison'!$B$16*'PV Degrad. &amp; SPV'!C2*$C$2*(1-'Simple Comparison'!$B$13)</f>
        <v>4120</v>
      </c>
      <c r="F5" s="18">
        <f t="shared" ref="F5:F14" si="0">D5+E5</f>
        <v>5423.2539999999999</v>
      </c>
      <c r="G5" s="18">
        <f>D5+E5</f>
        <v>5423.2539999999999</v>
      </c>
      <c r="H5" s="18">
        <f>SUM($C$5:C5)</f>
        <v>25107.199999999997</v>
      </c>
      <c r="I5" s="1" t="str">
        <f>IF(G5-H5&gt;0,"Yes","No")</f>
        <v>No</v>
      </c>
      <c r="J5" s="1">
        <f>'Simple Comparison'!$B$31*('Simple Comparison'!$B$27-B5)/'Simple Comparison'!$B$27</f>
        <v>24102.911999999997</v>
      </c>
      <c r="K5" s="18">
        <f t="shared" ref="K5:K14" si="1">G5-H5+J5</f>
        <v>4418.9660000000003</v>
      </c>
      <c r="L5" s="19">
        <f t="shared" ref="L5:L14" si="2">B5</f>
        <v>1</v>
      </c>
      <c r="N5" s="19">
        <v>1</v>
      </c>
      <c r="O5" s="10">
        <f>'Simple Comparison'!B31</f>
        <v>25107.199999999997</v>
      </c>
      <c r="P5" s="18">
        <f>IF('Simple Comparison'!$B$26&lt;'Simple Comparison'!$B$11,('Simple Comparison'!$B$26*(1))*('Simple Comparison'!$B$3*(1+'Simple Comparison'!$B$5*$C$2))*'PV Degrad. &amp; SPV'!D2,('Simple Comparison'!$B$11*(1))*('Simple Comparison'!$B$3*(1+'Simple Comparison'!$B$5*$C$2))*'PV Degrad. &amp; SPV'!D2+('Simple Comparison'!$B$26-'Simple Comparison'!$B$11*(1))*('Simple Comparison'!$B$4*(1+'Simple Comparison'!$B$5*$C$2))*'PV Degrad. &amp; SPV'!D2)</f>
        <v>1229.4849056603773</v>
      </c>
      <c r="Q5" s="18">
        <f>E5*'PV Degrad. &amp; SPV'!D2</f>
        <v>3886.7924528301883</v>
      </c>
      <c r="R5" s="18">
        <f t="shared" ref="R5:R14" si="3">P5+Q5</f>
        <v>5116.2773584905653</v>
      </c>
      <c r="S5" s="18">
        <f>P5+Q5</f>
        <v>5116.2773584905653</v>
      </c>
      <c r="T5" s="18">
        <f>SUM($O$5:O5)</f>
        <v>25107.199999999997</v>
      </c>
      <c r="U5" s="1" t="str">
        <f>IF(S5-T5&gt;0,"Yes","No")</f>
        <v>No</v>
      </c>
      <c r="V5" s="1">
        <f>'Simple Comparison'!$B$31*(('Simple Comparison'!$B$27-N5)/'Simple Comparison'!$B$27)*'PV Degrad. &amp; SPV'!D2</f>
        <v>22738.596226415088</v>
      </c>
      <c r="W5" s="18">
        <f t="shared" ref="W5:W14" si="4">S5-T5+V5</f>
        <v>2747.6735849056568</v>
      </c>
      <c r="X5" s="19">
        <f t="shared" ref="X5:X14" si="5">N5</f>
        <v>1</v>
      </c>
    </row>
    <row r="6" spans="1:24" x14ac:dyDescent="0.25">
      <c r="A6">
        <f>A5+1</f>
        <v>2021</v>
      </c>
      <c r="B6" s="19">
        <f t="shared" ref="B6:B29" si="6">B5+1</f>
        <v>2</v>
      </c>
      <c r="C6" s="10">
        <v>0</v>
      </c>
      <c r="D6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6" s="18">
        <f>'Simple Comparison'!$B$16*'PV Degrad. &amp; SPV'!C3*$C$2*(1-'Simple Comparison'!$B$13)</f>
        <v>4099.3999999999996</v>
      </c>
      <c r="F6" s="18">
        <f t="shared" si="0"/>
        <v>5402.6539999999995</v>
      </c>
      <c r="G6" s="18">
        <f t="shared" ref="G6:G14" si="7">D6+E6+G5</f>
        <v>10825.907999999999</v>
      </c>
      <c r="H6" s="18">
        <f>SUM($C$5:C6)</f>
        <v>25107.199999999997</v>
      </c>
      <c r="I6" s="1" t="str">
        <f t="shared" ref="I6:I29" si="8">IF(G6-H6&gt;0,"Yes","No")</f>
        <v>No</v>
      </c>
      <c r="J6" s="1">
        <f>'Simple Comparison'!$B$31*('Simple Comparison'!$B$27-B6)/'Simple Comparison'!$B$27</f>
        <v>23098.624</v>
      </c>
      <c r="K6" s="18">
        <f t="shared" si="1"/>
        <v>8817.3320000000022</v>
      </c>
      <c r="L6" s="19">
        <f t="shared" si="2"/>
        <v>2</v>
      </c>
      <c r="N6" s="19">
        <f t="shared" ref="N6:N29" si="9">N5+1</f>
        <v>2</v>
      </c>
      <c r="O6" s="10">
        <v>0</v>
      </c>
      <c r="P6" s="18">
        <f>IF('Simple Comparison'!$B$26&lt;'Simple Comparison'!$B$11,('Simple Comparison'!$B$26*(1))*('Simple Comparison'!$B$3*(1+'Simple Comparison'!$B$5*$C$2))*'PV Degrad. &amp; SPV'!D3,('Simple Comparison'!$B$11*(1))*('Simple Comparison'!$B$3*(1+'Simple Comparison'!$B$5*$C$2))*'PV Degrad. &amp; SPV'!D3+('Simple Comparison'!$B$26-'Simple Comparison'!$B$11*(1))*('Simple Comparison'!$B$4*(1+'Simple Comparison'!$B$5*$C$2))*'PV Degrad. &amp; SPV'!D3)</f>
        <v>1159.8914204343182</v>
      </c>
      <c r="Q6" s="18">
        <f>E6*'PV Degrad. &amp; SPV'!D3</f>
        <v>3648.4514061943746</v>
      </c>
      <c r="R6" s="18">
        <f t="shared" si="3"/>
        <v>4808.3428266286928</v>
      </c>
      <c r="S6" s="18">
        <f t="shared" ref="S6:S14" si="10">P6+Q6+S5</f>
        <v>9924.6201851192582</v>
      </c>
      <c r="T6" s="18">
        <f>SUM($O$5:O6)</f>
        <v>25107.199999999997</v>
      </c>
      <c r="U6" s="1" t="str">
        <f t="shared" ref="U6:U29" si="11">IF(S6-T6&gt;0,"Yes","No")</f>
        <v>No</v>
      </c>
      <c r="V6" s="1">
        <f>'Simple Comparison'!$B$31*(('Simple Comparison'!$B$27-N6)/'Simple Comparison'!$B$27)*'PV Degrad. &amp; SPV'!D3</f>
        <v>20557.693129227482</v>
      </c>
      <c r="W6" s="18">
        <f t="shared" si="4"/>
        <v>5375.1133143467432</v>
      </c>
      <c r="X6" s="19">
        <f t="shared" si="5"/>
        <v>2</v>
      </c>
    </row>
    <row r="7" spans="1:24" x14ac:dyDescent="0.25">
      <c r="A7">
        <f t="shared" ref="A7:A29" si="12">A6+1</f>
        <v>2022</v>
      </c>
      <c r="B7" s="19">
        <f t="shared" si="6"/>
        <v>3</v>
      </c>
      <c r="C7" s="10">
        <v>0</v>
      </c>
      <c r="D7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7" s="18">
        <f>'Simple Comparison'!$B$16*'PV Degrad. &amp; SPV'!C4*$C$2*(1-'Simple Comparison'!$B$13)</f>
        <v>4078.9029999999998</v>
      </c>
      <c r="F7" s="18">
        <f t="shared" si="0"/>
        <v>5382.1570000000002</v>
      </c>
      <c r="G7" s="18">
        <f t="shared" si="7"/>
        <v>16208.064999999999</v>
      </c>
      <c r="H7" s="18">
        <f>SUM($C$5:C7)</f>
        <v>25107.199999999997</v>
      </c>
      <c r="I7" s="1" t="str">
        <f t="shared" si="8"/>
        <v>No</v>
      </c>
      <c r="J7" s="1">
        <f>'Simple Comparison'!$B$31*('Simple Comparison'!$B$27-B7)/'Simple Comparison'!$B$27</f>
        <v>22094.335999999996</v>
      </c>
      <c r="K7" s="18">
        <f t="shared" si="1"/>
        <v>13195.200999999997</v>
      </c>
      <c r="L7" s="19">
        <f t="shared" si="2"/>
        <v>3</v>
      </c>
      <c r="N7" s="19">
        <f t="shared" si="9"/>
        <v>3</v>
      </c>
      <c r="O7" s="10">
        <v>0</v>
      </c>
      <c r="P7" s="18">
        <f>IF('Simple Comparison'!$B$26&lt;'Simple Comparison'!$B$11,('Simple Comparison'!$B$26*(1))*('Simple Comparison'!$B$3*(1+'Simple Comparison'!$B$5*$C$2))*'PV Degrad. &amp; SPV'!D4,('Simple Comparison'!$B$11*(1))*('Simple Comparison'!$B$3*(1+'Simple Comparison'!$B$5*$C$2))*'PV Degrad. &amp; SPV'!D4+('Simple Comparison'!$B$26-'Simple Comparison'!$B$11*(1))*('Simple Comparison'!$B$4*(1+'Simple Comparison'!$B$5*$C$2))*'PV Degrad. &amp; SPV'!D4)</f>
        <v>1094.2371890889792</v>
      </c>
      <c r="Q7" s="18">
        <f>E7*'PV Degrad. &amp; SPV'!D4</f>
        <v>3424.7256124183041</v>
      </c>
      <c r="R7" s="18">
        <f t="shared" si="3"/>
        <v>4518.9628015072831</v>
      </c>
      <c r="S7" s="18">
        <f t="shared" si="10"/>
        <v>14443.582986626541</v>
      </c>
      <c r="T7" s="18">
        <f>SUM($O$5:O7)</f>
        <v>25107.199999999997</v>
      </c>
      <c r="U7" s="1" t="str">
        <f t="shared" si="11"/>
        <v>No</v>
      </c>
      <c r="V7" s="1">
        <f>'Simple Comparison'!$B$31*(('Simple Comparison'!$B$27-N7)/'Simple Comparison'!$B$27)*'PV Degrad. &amp; SPV'!D4</f>
        <v>18550.830551394771</v>
      </c>
      <c r="W7" s="18">
        <f t="shared" si="4"/>
        <v>7887.2135380213149</v>
      </c>
      <c r="X7" s="19">
        <f t="shared" si="5"/>
        <v>3</v>
      </c>
    </row>
    <row r="8" spans="1:24" x14ac:dyDescent="0.25">
      <c r="A8">
        <f t="shared" si="12"/>
        <v>2023</v>
      </c>
      <c r="B8" s="19">
        <f t="shared" si="6"/>
        <v>4</v>
      </c>
      <c r="C8" s="10">
        <v>0</v>
      </c>
      <c r="D8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8" s="18">
        <f>'Simple Comparison'!$B$17*'PV Degrad. &amp; SPV'!C5*$C$2*(1-'Simple Comparison'!$B$13)</f>
        <v>3551.194924375</v>
      </c>
      <c r="F8" s="18">
        <f t="shared" si="0"/>
        <v>4854.4489243750004</v>
      </c>
      <c r="G8" s="18">
        <f t="shared" si="7"/>
        <v>21062.513924374998</v>
      </c>
      <c r="H8" s="18">
        <f>SUM($C$5:C8)</f>
        <v>25107.199999999997</v>
      </c>
      <c r="I8" s="1" t="str">
        <f t="shared" si="8"/>
        <v>No</v>
      </c>
      <c r="J8" s="1">
        <f>'Simple Comparison'!$B$31*('Simple Comparison'!$B$27-B8)/'Simple Comparison'!$B$27</f>
        <v>21090.047999999999</v>
      </c>
      <c r="K8" s="18">
        <f t="shared" si="1"/>
        <v>17045.361924375</v>
      </c>
      <c r="L8" s="19">
        <f t="shared" si="2"/>
        <v>4</v>
      </c>
      <c r="N8" s="19">
        <f t="shared" si="9"/>
        <v>4</v>
      </c>
      <c r="O8" s="10">
        <v>0</v>
      </c>
      <c r="P8" s="18">
        <f>IF('Simple Comparison'!$B$26&lt;'Simple Comparison'!$B$11,('Simple Comparison'!$B$26*(1))*('Simple Comparison'!$B$3*(1+'Simple Comparison'!$B$5*$C$2))*'PV Degrad. &amp; SPV'!D5,('Simple Comparison'!$B$11*(1))*('Simple Comparison'!$B$3*(1+'Simple Comparison'!$B$5*$C$2))*'PV Degrad. &amp; SPV'!D5+('Simple Comparison'!$B$26-'Simple Comparison'!$B$11*(1))*('Simple Comparison'!$B$4*(1+'Simple Comparison'!$B$5*$C$2))*'PV Degrad. &amp; SPV'!D5)</f>
        <v>1032.2992349896031</v>
      </c>
      <c r="Q8" s="18">
        <f>E8*'PV Degrad. &amp; SPV'!D5</f>
        <v>2812.8789965204587</v>
      </c>
      <c r="R8" s="18">
        <f t="shared" si="3"/>
        <v>3845.1782315100618</v>
      </c>
      <c r="S8" s="18">
        <f t="shared" si="10"/>
        <v>18288.761218136602</v>
      </c>
      <c r="T8" s="18">
        <f>SUM($O$5:O8)</f>
        <v>25107.199999999997</v>
      </c>
      <c r="U8" s="1" t="str">
        <f t="shared" si="11"/>
        <v>No</v>
      </c>
      <c r="V8" s="1">
        <f>'Simple Comparison'!$B$31*(('Simple Comparison'!$B$27-N8)/'Simple Comparison'!$B$27)*'PV Degrad. &amp; SPV'!D5</f>
        <v>16705.293378185681</v>
      </c>
      <c r="W8" s="18">
        <f t="shared" si="4"/>
        <v>9886.8545963222859</v>
      </c>
      <c r="X8" s="19">
        <f t="shared" si="5"/>
        <v>4</v>
      </c>
    </row>
    <row r="9" spans="1:24" x14ac:dyDescent="0.25">
      <c r="A9">
        <f t="shared" si="12"/>
        <v>2024</v>
      </c>
      <c r="B9" s="19">
        <f t="shared" si="6"/>
        <v>5</v>
      </c>
      <c r="C9" s="10">
        <v>0</v>
      </c>
      <c r="D9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9" s="18">
        <f>'Simple Comparison'!$B$17*'PV Degrad. &amp; SPV'!C6*$C$2*(1-'Simple Comparison'!$B$13)</f>
        <v>3533.4389497531251</v>
      </c>
      <c r="F9" s="18">
        <f t="shared" si="0"/>
        <v>4836.6929497531255</v>
      </c>
      <c r="G9" s="18">
        <f t="shared" si="7"/>
        <v>25899.206874128125</v>
      </c>
      <c r="H9" s="18">
        <f>SUM($C$5:C9)</f>
        <v>25107.199999999997</v>
      </c>
      <c r="I9" s="1" t="str">
        <f t="shared" si="8"/>
        <v>Yes</v>
      </c>
      <c r="J9" s="1">
        <f>'Simple Comparison'!$B$31*('Simple Comparison'!$B$27-B9)/'Simple Comparison'!$B$27</f>
        <v>20085.759999999998</v>
      </c>
      <c r="K9" s="18">
        <f t="shared" si="1"/>
        <v>20877.766874128127</v>
      </c>
      <c r="L9" s="19">
        <f t="shared" si="2"/>
        <v>5</v>
      </c>
      <c r="N9" s="19">
        <f t="shared" si="9"/>
        <v>5</v>
      </c>
      <c r="O9" s="10">
        <v>0</v>
      </c>
      <c r="P9" s="18">
        <f>IF('Simple Comparison'!$B$26&lt;'Simple Comparison'!$B$11,('Simple Comparison'!$B$26*(1))*('Simple Comparison'!$B$3*(1+'Simple Comparison'!$B$5*$C$2))*'PV Degrad. &amp; SPV'!D6,('Simple Comparison'!$B$11*(1))*('Simple Comparison'!$B$3*(1+'Simple Comparison'!$B$5*$C$2))*'PV Degrad. &amp; SPV'!D6+('Simple Comparison'!$B$26-'Simple Comparison'!$B$11*(1))*('Simple Comparison'!$B$4*(1+'Simple Comparison'!$B$5*$C$2))*'PV Degrad. &amp; SPV'!D6)</f>
        <v>973.86720282038016</v>
      </c>
      <c r="Q9" s="18">
        <f>E9*'PV Degrad. &amp; SPV'!D6</f>
        <v>2640.3911335262792</v>
      </c>
      <c r="R9" s="18">
        <f t="shared" si="3"/>
        <v>3614.2583363466592</v>
      </c>
      <c r="S9" s="18">
        <f t="shared" si="10"/>
        <v>21903.01955448326</v>
      </c>
      <c r="T9" s="18">
        <f>SUM($O$5:O9)</f>
        <v>25107.199999999997</v>
      </c>
      <c r="U9" s="1" t="str">
        <f t="shared" si="11"/>
        <v>No</v>
      </c>
      <c r="V9" s="1">
        <f>'Simple Comparison'!$B$31*(('Simple Comparison'!$B$27-N9)/'Simple Comparison'!$B$27)*'PV Degrad. &amp; SPV'!D6</f>
        <v>15009.248318226129</v>
      </c>
      <c r="W9" s="18">
        <f t="shared" si="4"/>
        <v>11805.067872709393</v>
      </c>
      <c r="X9" s="19">
        <f t="shared" si="5"/>
        <v>5</v>
      </c>
    </row>
    <row r="10" spans="1:24" x14ac:dyDescent="0.25">
      <c r="A10">
        <f t="shared" si="12"/>
        <v>2025</v>
      </c>
      <c r="B10" s="19">
        <f t="shared" si="6"/>
        <v>6</v>
      </c>
      <c r="C10" s="10">
        <v>0</v>
      </c>
      <c r="D10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0" s="18">
        <f>'Simple Comparison'!$B$17*'PV Degrad. &amp; SPV'!C7*$C$2*(1-'Simple Comparison'!$B$13)</f>
        <v>3515.7717550043594</v>
      </c>
      <c r="F10" s="18">
        <f t="shared" si="0"/>
        <v>4819.0257550043598</v>
      </c>
      <c r="G10" s="18">
        <f t="shared" si="7"/>
        <v>30718.232629132486</v>
      </c>
      <c r="H10" s="18">
        <f>SUM($C$5:C10)</f>
        <v>25107.199999999997</v>
      </c>
      <c r="I10" s="1" t="str">
        <f t="shared" si="8"/>
        <v>Yes</v>
      </c>
      <c r="J10" s="1">
        <f>'Simple Comparison'!$B$31*('Simple Comparison'!$B$27-B10)/'Simple Comparison'!$B$27</f>
        <v>19081.471999999998</v>
      </c>
      <c r="K10" s="18">
        <f t="shared" si="1"/>
        <v>24692.504629132487</v>
      </c>
      <c r="L10" s="19">
        <f t="shared" si="2"/>
        <v>6</v>
      </c>
      <c r="N10" s="19">
        <f t="shared" si="9"/>
        <v>6</v>
      </c>
      <c r="O10" s="10">
        <v>0</v>
      </c>
      <c r="P10" s="18">
        <f>IF('Simple Comparison'!$B$26&lt;'Simple Comparison'!$B$11,('Simple Comparison'!$B$26*(1))*('Simple Comparison'!$B$3*(1+'Simple Comparison'!$B$5*$C$2))*'PV Degrad. &amp; SPV'!D7,('Simple Comparison'!$B$11*(1))*('Simple Comparison'!$B$3*(1+'Simple Comparison'!$B$5*$C$2))*'PV Degrad. &amp; SPV'!D7+('Simple Comparison'!$B$26-'Simple Comparison'!$B$11*(1))*('Simple Comparison'!$B$4*(1+'Simple Comparison'!$B$5*$C$2))*'PV Degrad. &amp; SPV'!D7)</f>
        <v>918.74264417016991</v>
      </c>
      <c r="Q10" s="18">
        <f>E10*'PV Degrad. &amp; SPV'!D7</f>
        <v>2478.4803564704225</v>
      </c>
      <c r="R10" s="18">
        <f t="shared" si="3"/>
        <v>3397.2230006405925</v>
      </c>
      <c r="S10" s="18">
        <f t="shared" si="10"/>
        <v>25300.242555123852</v>
      </c>
      <c r="T10" s="18">
        <f>SUM($O$5:O10)</f>
        <v>25107.199999999997</v>
      </c>
      <c r="U10" s="1" t="str">
        <f t="shared" si="11"/>
        <v>Yes</v>
      </c>
      <c r="V10" s="1">
        <f>'Simple Comparison'!$B$31*(('Simple Comparison'!$B$27-N10)/'Simple Comparison'!$B$27)*'PV Degrad. &amp; SPV'!D7</f>
        <v>13451.684813504549</v>
      </c>
      <c r="W10" s="18">
        <f t="shared" si="4"/>
        <v>13644.727368628404</v>
      </c>
      <c r="X10" s="19">
        <f t="shared" si="5"/>
        <v>6</v>
      </c>
    </row>
    <row r="11" spans="1:24" x14ac:dyDescent="0.25">
      <c r="A11">
        <f t="shared" si="12"/>
        <v>2026</v>
      </c>
      <c r="B11" s="19">
        <f t="shared" si="6"/>
        <v>7</v>
      </c>
      <c r="C11" s="10">
        <v>0</v>
      </c>
      <c r="D11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1" s="18">
        <f>'Simple Comparison'!$B$17*'PV Degrad. &amp; SPV'!C8*$C$2*(1-'Simple Comparison'!$B$13)</f>
        <v>3498.1928962293382</v>
      </c>
      <c r="F11" s="18">
        <f t="shared" si="0"/>
        <v>4801.4468962293386</v>
      </c>
      <c r="G11" s="18">
        <f t="shared" si="7"/>
        <v>35519.679525361826</v>
      </c>
      <c r="H11" s="18">
        <f>SUM($C$5:C11)</f>
        <v>25107.199999999997</v>
      </c>
      <c r="I11" s="1" t="str">
        <f t="shared" si="8"/>
        <v>Yes</v>
      </c>
      <c r="J11" s="1">
        <f>'Simple Comparison'!$B$31*('Simple Comparison'!$B$27-B11)/'Simple Comparison'!$B$27</f>
        <v>18077.183999999997</v>
      </c>
      <c r="K11" s="18">
        <f t="shared" si="1"/>
        <v>28489.663525361826</v>
      </c>
      <c r="L11" s="19">
        <f t="shared" si="2"/>
        <v>7</v>
      </c>
      <c r="N11" s="19">
        <f t="shared" si="9"/>
        <v>7</v>
      </c>
      <c r="O11" s="10">
        <v>0</v>
      </c>
      <c r="P11" s="18">
        <f>IF('Simple Comparison'!$B$26&lt;'Simple Comparison'!$B$11,('Simple Comparison'!$B$26*(1))*('Simple Comparison'!$B$3*(1+'Simple Comparison'!$B$5*$C$2))*'PV Degrad. &amp; SPV'!D8,('Simple Comparison'!$B$11*(1))*('Simple Comparison'!$B$3*(1+'Simple Comparison'!$B$5*$C$2))*'PV Degrad. &amp; SPV'!D8+('Simple Comparison'!$B$26-'Simple Comparison'!$B$11*(1))*('Simple Comparison'!$B$4*(1+'Simple Comparison'!$B$5*$C$2))*'PV Degrad. &amp; SPV'!D8)</f>
        <v>866.73834355676388</v>
      </c>
      <c r="Q11" s="18">
        <f>E11*'PV Degrad. &amp; SPV'!D8</f>
        <v>2326.4980704604436</v>
      </c>
      <c r="R11" s="18">
        <f t="shared" si="3"/>
        <v>3193.2364140172076</v>
      </c>
      <c r="S11" s="18">
        <f t="shared" si="10"/>
        <v>28493.478969141059</v>
      </c>
      <c r="T11" s="18">
        <f>SUM($O$5:O11)</f>
        <v>25107.199999999997</v>
      </c>
      <c r="U11" s="1" t="str">
        <f t="shared" si="11"/>
        <v>Yes</v>
      </c>
      <c r="V11" s="1">
        <f>'Simple Comparison'!$B$31*(('Simple Comparison'!$B$27-N11)/'Simple Comparison'!$B$27)*'PV Degrad. &amp; SPV'!D8</f>
        <v>12022.359813459872</v>
      </c>
      <c r="W11" s="18">
        <f t="shared" si="4"/>
        <v>15408.638782600934</v>
      </c>
      <c r="X11" s="19">
        <f t="shared" si="5"/>
        <v>7</v>
      </c>
    </row>
    <row r="12" spans="1:24" x14ac:dyDescent="0.25">
      <c r="A12">
        <f t="shared" si="12"/>
        <v>2027</v>
      </c>
      <c r="B12" s="19">
        <f t="shared" si="6"/>
        <v>8</v>
      </c>
      <c r="C12" s="10">
        <v>0</v>
      </c>
      <c r="D12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2" s="18">
        <f>'Simple Comparison'!$B$17*'PV Degrad. &amp; SPV'!C9*$C$2*(1-'Simple Comparison'!$B$13)</f>
        <v>3480.7019317481904</v>
      </c>
      <c r="F12" s="18">
        <f t="shared" si="0"/>
        <v>4783.9559317481908</v>
      </c>
      <c r="G12" s="18">
        <f t="shared" si="7"/>
        <v>40303.635457110016</v>
      </c>
      <c r="H12" s="18">
        <f>SUM($C$5:C12)</f>
        <v>25107.199999999997</v>
      </c>
      <c r="I12" s="1" t="str">
        <f t="shared" si="8"/>
        <v>Yes</v>
      </c>
      <c r="J12" s="1">
        <f>'Simple Comparison'!$B$31*('Simple Comparison'!$B$27-B12)/'Simple Comparison'!$B$27</f>
        <v>17072.895999999997</v>
      </c>
      <c r="K12" s="18">
        <f t="shared" si="1"/>
        <v>32269.331457110016</v>
      </c>
      <c r="L12" s="19">
        <f t="shared" si="2"/>
        <v>8</v>
      </c>
      <c r="N12" s="19">
        <f t="shared" si="9"/>
        <v>8</v>
      </c>
      <c r="O12" s="10">
        <v>0</v>
      </c>
      <c r="P12" s="18">
        <f>IF('Simple Comparison'!$B$26&lt;'Simple Comparison'!$B$11,('Simple Comparison'!$B$26*(1))*('Simple Comparison'!$B$3*(1+'Simple Comparison'!$B$5*$C$2))*'PV Degrad. &amp; SPV'!D9,('Simple Comparison'!$B$11*(1))*('Simple Comparison'!$B$3*(1+'Simple Comparison'!$B$5*$C$2))*'PV Degrad. &amp; SPV'!D9+('Simple Comparison'!$B$26-'Simple Comparison'!$B$11*(1))*('Simple Comparison'!$B$4*(1+'Simple Comparison'!$B$5*$C$2))*'PV Degrad. &amp; SPV'!D9)</f>
        <v>817.67768260072069</v>
      </c>
      <c r="Q12" s="18">
        <f>E12*'PV Degrad. &amp; SPV'!D9</f>
        <v>2183.8354529322082</v>
      </c>
      <c r="R12" s="18">
        <f t="shared" si="3"/>
        <v>3001.513135532929</v>
      </c>
      <c r="S12" s="18">
        <f t="shared" si="10"/>
        <v>31494.992104673987</v>
      </c>
      <c r="T12" s="18">
        <f>SUM($O$5:O12)</f>
        <v>25107.199999999997</v>
      </c>
      <c r="U12" s="1" t="str">
        <f t="shared" si="11"/>
        <v>Yes</v>
      </c>
      <c r="V12" s="1">
        <f>'Simple Comparison'!$B$31*(('Simple Comparison'!$B$27-N12)/'Simple Comparison'!$B$27)*'PV Degrad. &amp; SPV'!D9</f>
        <v>10711.746165032384</v>
      </c>
      <c r="W12" s="18">
        <f t="shared" si="4"/>
        <v>17099.538269706376</v>
      </c>
      <c r="X12" s="19">
        <f t="shared" si="5"/>
        <v>8</v>
      </c>
    </row>
    <row r="13" spans="1:24" x14ac:dyDescent="0.25">
      <c r="A13">
        <f t="shared" si="12"/>
        <v>2028</v>
      </c>
      <c r="B13" s="19">
        <f t="shared" si="6"/>
        <v>9</v>
      </c>
      <c r="C13" s="10">
        <v>0</v>
      </c>
      <c r="D13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3" s="18">
        <f>'Simple Comparison'!$B$17*'PV Degrad. &amp; SPV'!C10*$C$2*(1-'Simple Comparison'!$B$13)</f>
        <v>3463.29842208945</v>
      </c>
      <c r="F13" s="18">
        <f t="shared" si="0"/>
        <v>4766.5524220894504</v>
      </c>
      <c r="G13" s="18">
        <f t="shared" si="7"/>
        <v>45070.187879199468</v>
      </c>
      <c r="H13" s="18">
        <f>SUM($C$5:C13)</f>
        <v>25107.199999999997</v>
      </c>
      <c r="I13" s="1" t="str">
        <f t="shared" si="8"/>
        <v>Yes</v>
      </c>
      <c r="J13" s="1">
        <f>'Simple Comparison'!$B$31*('Simple Comparison'!$B$27-B13)/'Simple Comparison'!$B$27</f>
        <v>16068.607999999998</v>
      </c>
      <c r="K13" s="18">
        <f t="shared" si="1"/>
        <v>36031.595879199471</v>
      </c>
      <c r="L13" s="19">
        <f t="shared" si="2"/>
        <v>9</v>
      </c>
      <c r="N13" s="19">
        <f t="shared" si="9"/>
        <v>9</v>
      </c>
      <c r="O13" s="10">
        <v>0</v>
      </c>
      <c r="P13" s="18">
        <f>IF('Simple Comparison'!$B$26&lt;'Simple Comparison'!$B$11,('Simple Comparison'!$B$26*(1))*('Simple Comparison'!$B$3*(1+'Simple Comparison'!$B$5*$C$2))*'PV Degrad. &amp; SPV'!D10,('Simple Comparison'!$B$11*(1))*('Simple Comparison'!$B$3*(1+'Simple Comparison'!$B$5*$C$2))*'PV Degrad. &amp; SPV'!D10+('Simple Comparison'!$B$26-'Simple Comparison'!$B$11*(1))*('Simple Comparison'!$B$4*(1+'Simple Comparison'!$B$5*$C$2))*'PV Degrad. &amp; SPV'!D10)</f>
        <v>771.3940401893592</v>
      </c>
      <c r="Q13" s="18">
        <f>E13*'PV Degrad. &amp; SPV'!D10</f>
        <v>2049.9210147807053</v>
      </c>
      <c r="R13" s="18">
        <f t="shared" si="3"/>
        <v>2821.3150549700645</v>
      </c>
      <c r="S13" s="18">
        <f t="shared" si="10"/>
        <v>34316.30715964405</v>
      </c>
      <c r="T13" s="18">
        <f>SUM($O$5:O13)</f>
        <v>25107.199999999997</v>
      </c>
      <c r="U13" s="1" t="str">
        <f t="shared" si="11"/>
        <v>Yes</v>
      </c>
      <c r="V13" s="1">
        <f>'Simple Comparison'!$B$31*(('Simple Comparison'!$B$27-N13)/'Simple Comparison'!$B$27)*'PV Degrad. &amp; SPV'!D10</f>
        <v>9510.9843862662656</v>
      </c>
      <c r="W13" s="18">
        <f t="shared" si="4"/>
        <v>18720.09154591032</v>
      </c>
      <c r="X13" s="19">
        <f t="shared" si="5"/>
        <v>9</v>
      </c>
    </row>
    <row r="14" spans="1:24" x14ac:dyDescent="0.25">
      <c r="A14">
        <f t="shared" si="12"/>
        <v>2029</v>
      </c>
      <c r="B14" s="19">
        <f t="shared" si="6"/>
        <v>10</v>
      </c>
      <c r="C14" s="10">
        <v>0</v>
      </c>
      <c r="D14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4" s="18">
        <f>'Simple Comparison'!$B$17*'PV Degrad. &amp; SPV'!C11*$C$2*(1-'Simple Comparison'!$B$13)</f>
        <v>3445.9819299790029</v>
      </c>
      <c r="F14" s="18">
        <f t="shared" si="0"/>
        <v>4749.2359299790032</v>
      </c>
      <c r="G14" s="18">
        <f t="shared" si="7"/>
        <v>49819.423809178472</v>
      </c>
      <c r="H14" s="18">
        <f>SUM($C$5:C14)</f>
        <v>25107.199999999997</v>
      </c>
      <c r="I14" s="1" t="str">
        <f t="shared" si="8"/>
        <v>Yes</v>
      </c>
      <c r="J14" s="1">
        <f>'Simple Comparison'!$B$31*('Simple Comparison'!$B$27-B14)/'Simple Comparison'!$B$27</f>
        <v>15064.319999999998</v>
      </c>
      <c r="K14" s="18">
        <f t="shared" si="1"/>
        <v>39776.543809178474</v>
      </c>
      <c r="L14" s="19">
        <f t="shared" si="2"/>
        <v>10</v>
      </c>
      <c r="N14" s="19">
        <f t="shared" si="9"/>
        <v>10</v>
      </c>
      <c r="O14" s="10">
        <v>0</v>
      </c>
      <c r="P14" s="18">
        <f>IF('Simple Comparison'!$B$26&lt;'Simple Comparison'!$B$11,('Simple Comparison'!$B$26*(1))*('Simple Comparison'!$B$3*(1+'Simple Comparison'!$B$5*$C$2))*'PV Degrad. &amp; SPV'!D11,('Simple Comparison'!$B$11*(1))*('Simple Comparison'!$B$3*(1+'Simple Comparison'!$B$5*$C$2))*'PV Degrad. &amp; SPV'!D11+('Simple Comparison'!$B$26-'Simple Comparison'!$B$11*(1))*('Simple Comparison'!$B$4*(1+'Simple Comparison'!$B$5*$C$2))*'PV Degrad. &amp; SPV'!D11)</f>
        <v>727.7302265937351</v>
      </c>
      <c r="Q14" s="18">
        <f>E14*'PV Degrad. &amp; SPV'!D11</f>
        <v>1924.2183110441526</v>
      </c>
      <c r="R14" s="18">
        <f t="shared" si="3"/>
        <v>2651.948537637888</v>
      </c>
      <c r="S14" s="18">
        <f t="shared" si="10"/>
        <v>36968.255697281937</v>
      </c>
      <c r="T14" s="18">
        <f>SUM($O$5:O14)</f>
        <v>25107.199999999997</v>
      </c>
      <c r="U14" s="1" t="str">
        <f t="shared" si="11"/>
        <v>Yes</v>
      </c>
      <c r="V14" s="1">
        <f>'Simple Comparison'!$B$31*(('Simple Comparison'!$B$27-N14)/'Simple Comparison'!$B$27)*'PV Degrad. &amp; SPV'!D11</f>
        <v>8411.8376057779478</v>
      </c>
      <c r="W14" s="18">
        <f t="shared" si="4"/>
        <v>20272.893303059886</v>
      </c>
      <c r="X14" s="19">
        <f t="shared" si="5"/>
        <v>10</v>
      </c>
    </row>
    <row r="15" spans="1:24" x14ac:dyDescent="0.25">
      <c r="A15">
        <f t="shared" si="12"/>
        <v>2030</v>
      </c>
      <c r="B15" s="19">
        <f t="shared" si="6"/>
        <v>11</v>
      </c>
      <c r="C15" s="10">
        <v>0</v>
      </c>
      <c r="D15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5" s="18">
        <f>'Simple Comparison'!$B$18*'PV Degrad. &amp; SPV'!C12*$C$2*(1-'Simple Comparison'!$B$13)</f>
        <v>0</v>
      </c>
      <c r="F15" s="18">
        <f t="shared" ref="F15:F19" si="13">D15+E15</f>
        <v>1303.2540000000001</v>
      </c>
      <c r="G15" s="18">
        <f t="shared" ref="G15:G19" si="14">D15+E15+G14</f>
        <v>51122.677809178473</v>
      </c>
      <c r="H15" s="18">
        <f>SUM($C$5:C15)</f>
        <v>25107.199999999997</v>
      </c>
      <c r="I15" s="1" t="str">
        <f t="shared" si="8"/>
        <v>Yes</v>
      </c>
      <c r="J15" s="1">
        <f>'Simple Comparison'!$B$31*('Simple Comparison'!$B$27-B15)/'Simple Comparison'!$B$27</f>
        <v>14060.031999999997</v>
      </c>
      <c r="K15" s="18">
        <f t="shared" ref="K15:K19" si="15">G15-H15+J15</f>
        <v>40075.509809178475</v>
      </c>
      <c r="L15" s="19">
        <f t="shared" ref="L15:L19" si="16">B15</f>
        <v>11</v>
      </c>
      <c r="N15" s="19">
        <f t="shared" si="9"/>
        <v>11</v>
      </c>
      <c r="O15" s="10">
        <v>0</v>
      </c>
      <c r="P15" s="18">
        <f>IF('Simple Comparison'!$B$26&lt;'Simple Comparison'!$B$11,('Simple Comparison'!$B$26*(1))*('Simple Comparison'!$B$3*(1+'Simple Comparison'!$B$5*$C$2))*'PV Degrad. &amp; SPV'!D12,('Simple Comparison'!$B$11*(1))*('Simple Comparison'!$B$3*(1+'Simple Comparison'!$B$5*$C$2))*'PV Degrad. &amp; SPV'!D12+('Simple Comparison'!$B$26-'Simple Comparison'!$B$11*(1))*('Simple Comparison'!$B$4*(1+'Simple Comparison'!$B$5*$C$2))*'PV Degrad. &amp; SPV'!D12)</f>
        <v>686.537949616731</v>
      </c>
      <c r="Q15" s="18">
        <f>E15*'PV Degrad. &amp; SPV'!D12</f>
        <v>0</v>
      </c>
      <c r="R15" s="18">
        <f t="shared" ref="R15:R27" si="17">P15+Q15</f>
        <v>686.537949616731</v>
      </c>
      <c r="S15" s="18">
        <f t="shared" ref="S15:S27" si="18">P15+Q15+S14</f>
        <v>37654.793646898666</v>
      </c>
      <c r="T15" s="18">
        <f>SUM($O$5:O15)</f>
        <v>25107.199999999997</v>
      </c>
      <c r="U15" s="1" t="str">
        <f t="shared" si="11"/>
        <v>Yes</v>
      </c>
      <c r="V15" s="1">
        <f>'Simple Comparison'!$B$31*(('Simple Comparison'!$B$27-N15)/'Simple Comparison'!$B$27)*'PV Degrad. &amp; SPV'!D12</f>
        <v>7406.6494642069974</v>
      </c>
      <c r="W15" s="18">
        <f t="shared" ref="W15:W27" si="19">S15-T15+V15</f>
        <v>19954.243111105665</v>
      </c>
      <c r="X15" s="19">
        <f t="shared" ref="X15:X27" si="20">N15</f>
        <v>11</v>
      </c>
    </row>
    <row r="16" spans="1:24" x14ac:dyDescent="0.25">
      <c r="A16">
        <f t="shared" si="12"/>
        <v>2031</v>
      </c>
      <c r="B16" s="19">
        <f t="shared" si="6"/>
        <v>12</v>
      </c>
      <c r="C16" s="10">
        <v>0</v>
      </c>
      <c r="D16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6" s="18">
        <f>'Simple Comparison'!$B$18*'PV Degrad. &amp; SPV'!C13*$C$2*(1-'Simple Comparison'!$B$13)</f>
        <v>0</v>
      </c>
      <c r="F16" s="18">
        <f t="shared" si="13"/>
        <v>1303.2540000000001</v>
      </c>
      <c r="G16" s="18">
        <f t="shared" si="14"/>
        <v>52425.931809178473</v>
      </c>
      <c r="H16" s="18">
        <f>SUM($C$5:C16)</f>
        <v>25107.199999999997</v>
      </c>
      <c r="I16" s="1" t="str">
        <f t="shared" si="8"/>
        <v>Yes</v>
      </c>
      <c r="J16" s="1">
        <f>'Simple Comparison'!$B$31*('Simple Comparison'!$B$27-B16)/'Simple Comparison'!$B$27</f>
        <v>13055.743999999999</v>
      </c>
      <c r="K16" s="18">
        <f t="shared" si="15"/>
        <v>40374.475809178475</v>
      </c>
      <c r="L16" s="19">
        <f t="shared" si="16"/>
        <v>12</v>
      </c>
      <c r="N16" s="19">
        <f t="shared" si="9"/>
        <v>12</v>
      </c>
      <c r="O16" s="10">
        <v>0</v>
      </c>
      <c r="P16" s="18">
        <f>IF('Simple Comparison'!$B$26&lt;'Simple Comparison'!$B$11,('Simple Comparison'!$B$26*(1))*('Simple Comparison'!$B$3*(1+'Simple Comparison'!$B$5*$C$2))*'PV Degrad. &amp; SPV'!D13,('Simple Comparison'!$B$11*(1))*('Simple Comparison'!$B$3*(1+'Simple Comparison'!$B$5*$C$2))*'PV Degrad. &amp; SPV'!D13+('Simple Comparison'!$B$26-'Simple Comparison'!$B$11*(1))*('Simple Comparison'!$B$4*(1+'Simple Comparison'!$B$5*$C$2))*'PV Degrad. &amp; SPV'!D13)</f>
        <v>647.6773109591802</v>
      </c>
      <c r="Q16" s="18">
        <f>E16*'PV Degrad. &amp; SPV'!D13</f>
        <v>0</v>
      </c>
      <c r="R16" s="18">
        <f t="shared" si="17"/>
        <v>647.6773109591802</v>
      </c>
      <c r="S16" s="18">
        <f t="shared" si="18"/>
        <v>38302.470957857848</v>
      </c>
      <c r="T16" s="18">
        <f>SUM($O$5:O16)</f>
        <v>25107.199999999997</v>
      </c>
      <c r="U16" s="1" t="str">
        <f t="shared" si="11"/>
        <v>Yes</v>
      </c>
      <c r="V16" s="1">
        <f>'Simple Comparison'!$B$31*(('Simple Comparison'!$B$27-N16)/'Simple Comparison'!$B$27)*'PV Degrad. &amp; SPV'!D13</f>
        <v>6488.3047867042424</v>
      </c>
      <c r="W16" s="18">
        <f t="shared" si="19"/>
        <v>19683.575744562091</v>
      </c>
      <c r="X16" s="19">
        <f t="shared" si="20"/>
        <v>12</v>
      </c>
    </row>
    <row r="17" spans="1:24" x14ac:dyDescent="0.25">
      <c r="A17">
        <f t="shared" si="12"/>
        <v>2032</v>
      </c>
      <c r="B17" s="19">
        <f t="shared" si="6"/>
        <v>13</v>
      </c>
      <c r="C17" s="10">
        <v>0</v>
      </c>
      <c r="D17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7" s="18">
        <f>'Simple Comparison'!$B$18*'PV Degrad. &amp; SPV'!C14*$C$2*(1-'Simple Comparison'!$B$13)</f>
        <v>0</v>
      </c>
      <c r="F17" s="18">
        <f t="shared" si="13"/>
        <v>1303.2540000000001</v>
      </c>
      <c r="G17" s="18">
        <f t="shared" si="14"/>
        <v>53729.185809178474</v>
      </c>
      <c r="H17" s="18">
        <f>SUM($C$5:C17)</f>
        <v>25107.199999999997</v>
      </c>
      <c r="I17" s="1" t="str">
        <f t="shared" si="8"/>
        <v>Yes</v>
      </c>
      <c r="J17" s="1">
        <f>'Simple Comparison'!$B$31*('Simple Comparison'!$B$27-B17)/'Simple Comparison'!$B$27</f>
        <v>12051.455999999998</v>
      </c>
      <c r="K17" s="18">
        <f t="shared" si="15"/>
        <v>40673.441809178476</v>
      </c>
      <c r="L17" s="19">
        <f t="shared" si="16"/>
        <v>13</v>
      </c>
      <c r="N17" s="19">
        <f t="shared" si="9"/>
        <v>13</v>
      </c>
      <c r="O17" s="10">
        <v>0</v>
      </c>
      <c r="P17" s="18">
        <f>IF('Simple Comparison'!$B$26&lt;'Simple Comparison'!$B$11,('Simple Comparison'!$B$26*(1))*('Simple Comparison'!$B$3*(1+'Simple Comparison'!$B$5*$C$2))*'PV Degrad. &amp; SPV'!D14,('Simple Comparison'!$B$11*(1))*('Simple Comparison'!$B$3*(1+'Simple Comparison'!$B$5*$C$2))*'PV Degrad. &amp; SPV'!D14+('Simple Comparison'!$B$26-'Simple Comparison'!$B$11*(1))*('Simple Comparison'!$B$4*(1+'Simple Comparison'!$B$5*$C$2))*'PV Degrad. &amp; SPV'!D14)</f>
        <v>611.01633109356624</v>
      </c>
      <c r="Q17" s="18">
        <f>E17*'PV Degrad. &amp; SPV'!D14</f>
        <v>0</v>
      </c>
      <c r="R17" s="18">
        <f t="shared" si="17"/>
        <v>611.01633109356624</v>
      </c>
      <c r="S17" s="18">
        <f t="shared" si="18"/>
        <v>38913.487288951415</v>
      </c>
      <c r="T17" s="18">
        <f>SUM($O$5:O17)</f>
        <v>25107.199999999997</v>
      </c>
      <c r="U17" s="1" t="str">
        <f t="shared" si="11"/>
        <v>Yes</v>
      </c>
      <c r="V17" s="1">
        <f>'Simple Comparison'!$B$31*(('Simple Comparison'!$B$27-N17)/'Simple Comparison'!$B$27)*'PV Degrad. &amp; SPV'!D14</f>
        <v>5650.1928476379462</v>
      </c>
      <c r="W17" s="18">
        <f t="shared" si="19"/>
        <v>19456.480136589365</v>
      </c>
      <c r="X17" s="19">
        <f t="shared" si="20"/>
        <v>13</v>
      </c>
    </row>
    <row r="18" spans="1:24" x14ac:dyDescent="0.25">
      <c r="A18">
        <f t="shared" si="12"/>
        <v>2033</v>
      </c>
      <c r="B18" s="19">
        <f t="shared" si="6"/>
        <v>14</v>
      </c>
      <c r="C18" s="10">
        <v>0</v>
      </c>
      <c r="D18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8" s="18">
        <f>'Simple Comparison'!$B$18*'PV Degrad. &amp; SPV'!C15*$C$2*(1-'Simple Comparison'!$B$13)</f>
        <v>0</v>
      </c>
      <c r="F18" s="18">
        <f t="shared" si="13"/>
        <v>1303.2540000000001</v>
      </c>
      <c r="G18" s="18">
        <f t="shared" si="14"/>
        <v>55032.439809178475</v>
      </c>
      <c r="H18" s="18">
        <f>SUM($C$5:C18)</f>
        <v>25107.199999999997</v>
      </c>
      <c r="I18" s="1" t="str">
        <f t="shared" si="8"/>
        <v>Yes</v>
      </c>
      <c r="J18" s="1">
        <f>'Simple Comparison'!$B$31*('Simple Comparison'!$B$27-B18)/'Simple Comparison'!$B$27</f>
        <v>11047.167999999998</v>
      </c>
      <c r="K18" s="18">
        <f t="shared" si="15"/>
        <v>40972.407809178476</v>
      </c>
      <c r="L18" s="19">
        <f t="shared" si="16"/>
        <v>14</v>
      </c>
      <c r="N18" s="19">
        <f t="shared" si="9"/>
        <v>14</v>
      </c>
      <c r="O18" s="10">
        <v>0</v>
      </c>
      <c r="P18" s="18">
        <f>IF('Simple Comparison'!$B$26&lt;'Simple Comparison'!$B$11,('Simple Comparison'!$B$26*(1))*('Simple Comparison'!$B$3*(1+'Simple Comparison'!$B$5*$C$2))*'PV Degrad. &amp; SPV'!D15,('Simple Comparison'!$B$11*(1))*('Simple Comparison'!$B$3*(1+'Simple Comparison'!$B$5*$C$2))*'PV Degrad. &amp; SPV'!D15+('Simple Comparison'!$B$26-'Simple Comparison'!$B$11*(1))*('Simple Comparison'!$B$4*(1+'Simple Comparison'!$B$5*$C$2))*'PV Degrad. &amp; SPV'!D15)</f>
        <v>576.43050103166627</v>
      </c>
      <c r="Q18" s="18">
        <f>E18*'PV Degrad. &amp; SPV'!D15</f>
        <v>0</v>
      </c>
      <c r="R18" s="18">
        <f t="shared" si="17"/>
        <v>576.43050103166627</v>
      </c>
      <c r="S18" s="18">
        <f t="shared" si="18"/>
        <v>39489.917789983083</v>
      </c>
      <c r="T18" s="18">
        <f>SUM($O$5:O18)</f>
        <v>25107.199999999997</v>
      </c>
      <c r="U18" s="1" t="str">
        <f t="shared" si="11"/>
        <v>Yes</v>
      </c>
      <c r="V18" s="1">
        <f>'Simple Comparison'!$B$31*(('Simple Comparison'!$B$27-N18)/'Simple Comparison'!$B$27)*'PV Degrad. &amp; SPV'!D15</f>
        <v>4886.1730600642622</v>
      </c>
      <c r="W18" s="18">
        <f t="shared" si="19"/>
        <v>19268.890850047348</v>
      </c>
      <c r="X18" s="19">
        <f t="shared" si="20"/>
        <v>14</v>
      </c>
    </row>
    <row r="19" spans="1:24" x14ac:dyDescent="0.25">
      <c r="A19">
        <f t="shared" si="12"/>
        <v>2034</v>
      </c>
      <c r="B19" s="19">
        <f t="shared" si="6"/>
        <v>15</v>
      </c>
      <c r="C19" s="10">
        <v>0</v>
      </c>
      <c r="D19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9" s="18">
        <f>'Simple Comparison'!$B$18*'PV Degrad. &amp; SPV'!C16*$C$2*(1-'Simple Comparison'!$B$13)</f>
        <v>0</v>
      </c>
      <c r="F19" s="18">
        <f t="shared" si="13"/>
        <v>1303.2540000000001</v>
      </c>
      <c r="G19" s="18">
        <f t="shared" si="14"/>
        <v>56335.693809178476</v>
      </c>
      <c r="H19" s="18">
        <f>SUM($C$5:C19)</f>
        <v>25107.199999999997</v>
      </c>
      <c r="I19" s="1" t="str">
        <f t="shared" si="8"/>
        <v>Yes</v>
      </c>
      <c r="J19" s="1">
        <f>'Simple Comparison'!$B$31*('Simple Comparison'!$B$27-B19)/'Simple Comparison'!$B$27</f>
        <v>10042.879999999999</v>
      </c>
      <c r="K19" s="18">
        <f t="shared" si="15"/>
        <v>41271.373809178476</v>
      </c>
      <c r="L19" s="19">
        <f t="shared" si="16"/>
        <v>15</v>
      </c>
      <c r="N19" s="19">
        <f t="shared" si="9"/>
        <v>15</v>
      </c>
      <c r="O19" s="10">
        <v>0</v>
      </c>
      <c r="P19" s="18">
        <f>IF('Simple Comparison'!$B$26&lt;'Simple Comparison'!$B$11,('Simple Comparison'!$B$26*(1))*('Simple Comparison'!$B$3*(1+'Simple Comparison'!$B$5*$C$2))*'PV Degrad. &amp; SPV'!D16,('Simple Comparison'!$B$11*(1))*('Simple Comparison'!$B$3*(1+'Simple Comparison'!$B$5*$C$2))*'PV Degrad. &amp; SPV'!D16+('Simple Comparison'!$B$26-'Simple Comparison'!$B$11*(1))*('Simple Comparison'!$B$4*(1+'Simple Comparison'!$B$5*$C$2))*'PV Degrad. &amp; SPV'!D16)</f>
        <v>543.80235946383596</v>
      </c>
      <c r="Q19" s="18">
        <f>E19*'PV Degrad. &amp; SPV'!D16</f>
        <v>0</v>
      </c>
      <c r="R19" s="18">
        <f t="shared" si="17"/>
        <v>543.80235946383596</v>
      </c>
      <c r="S19" s="18">
        <f t="shared" si="18"/>
        <v>40033.720149446919</v>
      </c>
      <c r="T19" s="18">
        <f>SUM($O$5:O19)</f>
        <v>25107.199999999997</v>
      </c>
      <c r="U19" s="1" t="str">
        <f t="shared" si="11"/>
        <v>Yes</v>
      </c>
      <c r="V19" s="1">
        <f>'Simple Comparison'!$B$31*(('Simple Comparison'!$B$27-N19)/'Simple Comparison'!$B$27)*'PV Degrad. &amp; SPV'!D16</f>
        <v>4190.5429331597434</v>
      </c>
      <c r="W19" s="18">
        <f t="shared" si="19"/>
        <v>19117.063082606666</v>
      </c>
      <c r="X19" s="19">
        <f t="shared" si="20"/>
        <v>15</v>
      </c>
    </row>
    <row r="20" spans="1:24" x14ac:dyDescent="0.25">
      <c r="A20">
        <f t="shared" si="12"/>
        <v>2035</v>
      </c>
      <c r="B20" s="19">
        <f t="shared" si="6"/>
        <v>16</v>
      </c>
      <c r="C20" s="10">
        <v>0</v>
      </c>
      <c r="D20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0" s="18">
        <f>'Simple Comparison'!$B$18*'PV Degrad. &amp; SPV'!C17*$C$2*(1-'Simple Comparison'!$B$13)</f>
        <v>0</v>
      </c>
      <c r="F20" s="18">
        <f t="shared" ref="F20:F27" si="21">D20+E20</f>
        <v>1303.2540000000001</v>
      </c>
      <c r="G20" s="18">
        <f t="shared" ref="G20:G27" si="22">D20+E20+G19</f>
        <v>57638.947809178477</v>
      </c>
      <c r="H20" s="18">
        <f>SUM($C$5:C20)</f>
        <v>25107.199999999997</v>
      </c>
      <c r="I20" s="1" t="str">
        <f t="shared" si="8"/>
        <v>Yes</v>
      </c>
      <c r="J20" s="1">
        <f>'Simple Comparison'!$B$31*('Simple Comparison'!$B$27-B20)/'Simple Comparison'!$B$27</f>
        <v>9038.5919999999987</v>
      </c>
      <c r="K20" s="18">
        <f t="shared" ref="K20:K26" si="23">G20-H20+J20</f>
        <v>41570.339809178477</v>
      </c>
      <c r="L20" s="19">
        <f t="shared" ref="L20:L27" si="24">B20</f>
        <v>16</v>
      </c>
      <c r="N20" s="19">
        <f t="shared" si="9"/>
        <v>16</v>
      </c>
      <c r="O20" s="10">
        <v>0</v>
      </c>
      <c r="P20" s="18">
        <f>IF('Simple Comparison'!$B$26&lt;'Simple Comparison'!$B$11,('Simple Comparison'!$B$26*(1))*('Simple Comparison'!$B$3*(1+'Simple Comparison'!$B$5*$C$2))*'PV Degrad. &amp; SPV'!D17,('Simple Comparison'!$B$11*(1))*('Simple Comparison'!$B$3*(1+'Simple Comparison'!$B$5*$C$2))*'PV Degrad. &amp; SPV'!D17+('Simple Comparison'!$B$26-'Simple Comparison'!$B$11*(1))*('Simple Comparison'!$B$4*(1+'Simple Comparison'!$B$5*$C$2))*'PV Degrad. &amp; SPV'!D17)</f>
        <v>513.02109383380764</v>
      </c>
      <c r="Q20" s="18">
        <f>E20*'PV Degrad. &amp; SPV'!D17</f>
        <v>0</v>
      </c>
      <c r="R20" s="18">
        <f t="shared" si="17"/>
        <v>513.02109383380764</v>
      </c>
      <c r="S20" s="18">
        <f t="shared" si="18"/>
        <v>40546.741243280725</v>
      </c>
      <c r="T20" s="18">
        <f>SUM($O$5:O20)</f>
        <v>25107.199999999997</v>
      </c>
      <c r="U20" s="1" t="str">
        <f t="shared" si="11"/>
        <v>Yes</v>
      </c>
      <c r="V20" s="1">
        <f>'Simple Comparison'!$B$31*(('Simple Comparison'!$B$27-N20)/'Simple Comparison'!$B$27)*'PV Degrad. &amp; SPV'!D17</f>
        <v>3558.0081507960094</v>
      </c>
      <c r="W20" s="18">
        <f t="shared" si="19"/>
        <v>18997.549394076737</v>
      </c>
      <c r="X20" s="19">
        <f t="shared" si="20"/>
        <v>16</v>
      </c>
    </row>
    <row r="21" spans="1:24" x14ac:dyDescent="0.25">
      <c r="A21">
        <f t="shared" si="12"/>
        <v>2036</v>
      </c>
      <c r="B21" s="19">
        <f t="shared" si="6"/>
        <v>17</v>
      </c>
      <c r="C21" s="10">
        <v>0</v>
      </c>
      <c r="D21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1" s="18">
        <f>'Simple Comparison'!$B$18*'PV Degrad. &amp; SPV'!C18*$C$2*(1-'Simple Comparison'!$B$13)</f>
        <v>0</v>
      </c>
      <c r="F21" s="18">
        <f t="shared" si="21"/>
        <v>1303.2540000000001</v>
      </c>
      <c r="G21" s="18">
        <f t="shared" si="22"/>
        <v>58942.201809178478</v>
      </c>
      <c r="H21" s="18">
        <f>SUM($C$5:C21)</f>
        <v>25107.199999999997</v>
      </c>
      <c r="I21" s="1" t="str">
        <f t="shared" si="8"/>
        <v>Yes</v>
      </c>
      <c r="J21" s="1">
        <f>'Simple Comparison'!$B$31*('Simple Comparison'!$B$27-B21)/'Simple Comparison'!$B$27</f>
        <v>8034.3039999999992</v>
      </c>
      <c r="K21" s="18">
        <f t="shared" si="23"/>
        <v>41869.305809178477</v>
      </c>
      <c r="L21" s="19">
        <f t="shared" si="24"/>
        <v>17</v>
      </c>
      <c r="N21" s="19">
        <f t="shared" si="9"/>
        <v>17</v>
      </c>
      <c r="O21" s="10">
        <v>0</v>
      </c>
      <c r="P21" s="18">
        <f>IF('Simple Comparison'!$B$26&lt;'Simple Comparison'!$B$11,('Simple Comparison'!$B$26*(1))*('Simple Comparison'!$B$3*(1+'Simple Comparison'!$B$5*$C$2))*'PV Degrad. &amp; SPV'!D18,('Simple Comparison'!$B$11*(1))*('Simple Comparison'!$B$3*(1+'Simple Comparison'!$B$5*$C$2))*'PV Degrad. &amp; SPV'!D18+('Simple Comparison'!$B$26-'Simple Comparison'!$B$11*(1))*('Simple Comparison'!$B$4*(1+'Simple Comparison'!$B$5*$C$2))*'PV Degrad. &amp; SPV'!D18)</f>
        <v>483.98216399415804</v>
      </c>
      <c r="Q21" s="18">
        <f>E21*'PV Degrad. &amp; SPV'!D18</f>
        <v>0</v>
      </c>
      <c r="R21" s="18">
        <f t="shared" si="17"/>
        <v>483.98216399415804</v>
      </c>
      <c r="S21" s="18">
        <f t="shared" si="18"/>
        <v>41030.723407274883</v>
      </c>
      <c r="T21" s="18">
        <f>SUM($O$5:O21)</f>
        <v>25107.199999999997</v>
      </c>
      <c r="U21" s="1" t="str">
        <f t="shared" si="11"/>
        <v>Yes</v>
      </c>
      <c r="V21" s="1">
        <f>'Simple Comparison'!$B$31*(('Simple Comparison'!$B$27-N21)/'Simple Comparison'!$B$27)*'PV Degrad. &amp; SPV'!D18</f>
        <v>2983.6546337912023</v>
      </c>
      <c r="W21" s="18">
        <f t="shared" si="19"/>
        <v>18907.178041066087</v>
      </c>
      <c r="X21" s="19">
        <f t="shared" si="20"/>
        <v>17</v>
      </c>
    </row>
    <row r="22" spans="1:24" x14ac:dyDescent="0.25">
      <c r="A22">
        <f t="shared" si="12"/>
        <v>2037</v>
      </c>
      <c r="B22" s="19">
        <f t="shared" si="6"/>
        <v>18</v>
      </c>
      <c r="C22" s="10">
        <v>0</v>
      </c>
      <c r="D22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2" s="18">
        <f>'Simple Comparison'!$B$18*'PV Degrad. &amp; SPV'!C19*$C$2*(1-'Simple Comparison'!$B$13)</f>
        <v>0</v>
      </c>
      <c r="F22" s="18">
        <f t="shared" si="21"/>
        <v>1303.2540000000001</v>
      </c>
      <c r="G22" s="18">
        <f t="shared" si="22"/>
        <v>60245.455809178478</v>
      </c>
      <c r="H22" s="18">
        <f>SUM($C$5:C22)</f>
        <v>25107.199999999997</v>
      </c>
      <c r="I22" s="1" t="str">
        <f t="shared" si="8"/>
        <v>Yes</v>
      </c>
      <c r="J22" s="1">
        <f>'Simple Comparison'!$B$31*('Simple Comparison'!$B$27-B22)/'Simple Comparison'!$B$27</f>
        <v>7030.0159999999987</v>
      </c>
      <c r="K22" s="18">
        <f t="shared" si="23"/>
        <v>42168.271809178477</v>
      </c>
      <c r="L22" s="19">
        <f t="shared" si="24"/>
        <v>18</v>
      </c>
      <c r="N22" s="19">
        <f t="shared" si="9"/>
        <v>18</v>
      </c>
      <c r="O22" s="10">
        <v>0</v>
      </c>
      <c r="P22" s="18">
        <f>IF('Simple Comparison'!$B$26&lt;'Simple Comparison'!$B$11,('Simple Comparison'!$B$26*(1))*('Simple Comparison'!$B$3*(1+'Simple Comparison'!$B$5*$C$2))*'PV Degrad. &amp; SPV'!D19,('Simple Comparison'!$B$11*(1))*('Simple Comparison'!$B$3*(1+'Simple Comparison'!$B$5*$C$2))*'PV Degrad. &amp; SPV'!D19+('Simple Comparison'!$B$26-'Simple Comparison'!$B$11*(1))*('Simple Comparison'!$B$4*(1+'Simple Comparison'!$B$5*$C$2))*'PV Degrad. &amp; SPV'!D19)</f>
        <v>456.58694716430006</v>
      </c>
      <c r="Q22" s="18">
        <f>E22*'PV Degrad. &amp; SPV'!D19</f>
        <v>0</v>
      </c>
      <c r="R22" s="18">
        <f t="shared" si="17"/>
        <v>456.58694716430006</v>
      </c>
      <c r="S22" s="18">
        <f t="shared" si="18"/>
        <v>41487.310354439185</v>
      </c>
      <c r="T22" s="18">
        <f>SUM($O$5:O22)</f>
        <v>25107.199999999997</v>
      </c>
      <c r="U22" s="1" t="str">
        <f t="shared" si="11"/>
        <v>Yes</v>
      </c>
      <c r="V22" s="1">
        <f>'Simple Comparison'!$B$31*(('Simple Comparison'!$B$27-N22)/'Simple Comparison'!$B$27)*'PV Degrad. &amp; SPV'!D19</f>
        <v>2462.9224571389645</v>
      </c>
      <c r="W22" s="18">
        <f t="shared" si="19"/>
        <v>18843.032811578152</v>
      </c>
      <c r="X22" s="19">
        <f t="shared" si="20"/>
        <v>18</v>
      </c>
    </row>
    <row r="23" spans="1:24" x14ac:dyDescent="0.25">
      <c r="A23">
        <f t="shared" si="12"/>
        <v>2038</v>
      </c>
      <c r="B23" s="19">
        <f t="shared" si="6"/>
        <v>19</v>
      </c>
      <c r="C23" s="10">
        <v>0</v>
      </c>
      <c r="D23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3" s="18">
        <f>'Simple Comparison'!$B$18*'PV Degrad. &amp; SPV'!C20*$C$2*(1-'Simple Comparison'!$B$13)</f>
        <v>0</v>
      </c>
      <c r="F23" s="18">
        <f t="shared" si="21"/>
        <v>1303.2540000000001</v>
      </c>
      <c r="G23" s="18">
        <f t="shared" si="22"/>
        <v>61548.709809178479</v>
      </c>
      <c r="H23" s="18">
        <f>SUM($C$5:C23)</f>
        <v>25107.199999999997</v>
      </c>
      <c r="I23" s="1" t="str">
        <f t="shared" si="8"/>
        <v>Yes</v>
      </c>
      <c r="J23" s="1">
        <f>'Simple Comparison'!$B$31*('Simple Comparison'!$B$27-B23)/'Simple Comparison'!$B$27</f>
        <v>6025.7279999999992</v>
      </c>
      <c r="K23" s="18">
        <f t="shared" si="23"/>
        <v>42467.237809178478</v>
      </c>
      <c r="L23" s="19">
        <f t="shared" si="24"/>
        <v>19</v>
      </c>
      <c r="N23" s="19">
        <f t="shared" si="9"/>
        <v>19</v>
      </c>
      <c r="O23" s="10">
        <v>0</v>
      </c>
      <c r="P23" s="18">
        <f>IF('Simple Comparison'!$B$26&lt;'Simple Comparison'!$B$11,('Simple Comparison'!$B$26*(1))*('Simple Comparison'!$B$3*(1+'Simple Comparison'!$B$5*$C$2))*'PV Degrad. &amp; SPV'!D20,('Simple Comparison'!$B$11*(1))*('Simple Comparison'!$B$3*(1+'Simple Comparison'!$B$5*$C$2))*'PV Degrad. &amp; SPV'!D20+('Simple Comparison'!$B$26-'Simple Comparison'!$B$11*(1))*('Simple Comparison'!$B$4*(1+'Simple Comparison'!$B$5*$C$2))*'PV Degrad. &amp; SPV'!D20)</f>
        <v>430.74240298518868</v>
      </c>
      <c r="Q23" s="18">
        <f>E23*'PV Degrad. &amp; SPV'!D20</f>
        <v>0</v>
      </c>
      <c r="R23" s="18">
        <f t="shared" si="17"/>
        <v>430.74240298518868</v>
      </c>
      <c r="S23" s="18">
        <f t="shared" si="18"/>
        <v>41918.052757424375</v>
      </c>
      <c r="T23" s="18">
        <f>SUM($O$5:O23)</f>
        <v>25107.199999999997</v>
      </c>
      <c r="U23" s="1" t="str">
        <f t="shared" si="11"/>
        <v>Yes</v>
      </c>
      <c r="V23" s="1">
        <f>'Simple Comparison'!$B$31*(('Simple Comparison'!$B$27-N23)/'Simple Comparison'!$B$27)*'PV Degrad. &amp; SPV'!D20</f>
        <v>1991.5815017296202</v>
      </c>
      <c r="W23" s="18">
        <f t="shared" si="19"/>
        <v>18802.434259153997</v>
      </c>
      <c r="X23" s="19">
        <f t="shared" si="20"/>
        <v>19</v>
      </c>
    </row>
    <row r="24" spans="1:24" x14ac:dyDescent="0.25">
      <c r="A24">
        <f t="shared" si="12"/>
        <v>2039</v>
      </c>
      <c r="B24" s="19">
        <f t="shared" si="6"/>
        <v>20</v>
      </c>
      <c r="C24" s="10">
        <v>0</v>
      </c>
      <c r="D24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4" s="18">
        <f>'Simple Comparison'!$B$18*'PV Degrad. &amp; SPV'!C21*$C$2*(1-'Simple Comparison'!$B$13)</f>
        <v>0</v>
      </c>
      <c r="F24" s="18">
        <f t="shared" si="21"/>
        <v>1303.2540000000001</v>
      </c>
      <c r="G24" s="18">
        <f t="shared" si="22"/>
        <v>62851.96380917848</v>
      </c>
      <c r="H24" s="18">
        <f>SUM($C$5:C24)</f>
        <v>25107.199999999997</v>
      </c>
      <c r="I24" s="1" t="str">
        <f t="shared" si="8"/>
        <v>Yes</v>
      </c>
      <c r="J24" s="1">
        <f>'Simple Comparison'!$B$31*('Simple Comparison'!$B$27-B24)/'Simple Comparison'!$B$27</f>
        <v>5021.4399999999996</v>
      </c>
      <c r="K24" s="18">
        <f t="shared" si="23"/>
        <v>42766.203809178485</v>
      </c>
      <c r="L24" s="19">
        <f t="shared" si="24"/>
        <v>20</v>
      </c>
      <c r="N24" s="19">
        <f t="shared" si="9"/>
        <v>20</v>
      </c>
      <c r="O24" s="10">
        <v>0</v>
      </c>
      <c r="P24" s="18">
        <f>IF('Simple Comparison'!$B$26&lt;'Simple Comparison'!$B$11,('Simple Comparison'!$B$26*(1))*('Simple Comparison'!$B$3*(1+'Simple Comparison'!$B$5*$C$2))*'PV Degrad. &amp; SPV'!D21,('Simple Comparison'!$B$11*(1))*('Simple Comparison'!$B$3*(1+'Simple Comparison'!$B$5*$C$2))*'PV Degrad. &amp; SPV'!D21+('Simple Comparison'!$B$26-'Simple Comparison'!$B$11*(1))*('Simple Comparison'!$B$4*(1+'Simple Comparison'!$B$5*$C$2))*'PV Degrad. &amp; SPV'!D21)</f>
        <v>406.36075753319693</v>
      </c>
      <c r="Q24" s="18">
        <f>E24*'PV Degrad. &amp; SPV'!D21</f>
        <v>0</v>
      </c>
      <c r="R24" s="18">
        <f t="shared" si="17"/>
        <v>406.36075753319693</v>
      </c>
      <c r="S24" s="18">
        <f t="shared" si="18"/>
        <v>42324.413514957574</v>
      </c>
      <c r="T24" s="18">
        <f>SUM($O$5:O24)</f>
        <v>25107.199999999997</v>
      </c>
      <c r="U24" s="1" t="str">
        <f t="shared" si="11"/>
        <v>Yes</v>
      </c>
      <c r="V24" s="1">
        <f>'Simple Comparison'!$B$31*(('Simple Comparison'!$B$27-N24)/'Simple Comparison'!$B$27)*'PV Degrad. &amp; SPV'!D21</f>
        <v>1565.708727774859</v>
      </c>
      <c r="W24" s="18">
        <f t="shared" si="19"/>
        <v>18782.922242732435</v>
      </c>
      <c r="X24" s="19">
        <f t="shared" si="20"/>
        <v>20</v>
      </c>
    </row>
    <row r="25" spans="1:24" x14ac:dyDescent="0.25">
      <c r="A25">
        <f t="shared" si="12"/>
        <v>2040</v>
      </c>
      <c r="B25" s="19">
        <f t="shared" si="6"/>
        <v>21</v>
      </c>
      <c r="C25" s="10">
        <v>0</v>
      </c>
      <c r="D25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5" s="18">
        <f>'Simple Comparison'!$B$18*'PV Degrad. &amp; SPV'!C22*$C$2*(1-'Simple Comparison'!$B$13)</f>
        <v>0</v>
      </c>
      <c r="F25" s="18">
        <f t="shared" si="21"/>
        <v>1303.2540000000001</v>
      </c>
      <c r="G25" s="18">
        <f t="shared" si="22"/>
        <v>64155.217809178481</v>
      </c>
      <c r="H25" s="18">
        <f>SUM($C$5:C25)</f>
        <v>25107.199999999997</v>
      </c>
      <c r="I25" s="1" t="str">
        <f t="shared" si="8"/>
        <v>Yes</v>
      </c>
      <c r="J25" s="1">
        <f>'Simple Comparison'!$B$31*('Simple Comparison'!$B$27-B25)/'Simple Comparison'!$B$27</f>
        <v>4017.1519999999996</v>
      </c>
      <c r="K25" s="18">
        <f t="shared" si="23"/>
        <v>43065.169809178486</v>
      </c>
      <c r="L25" s="19">
        <f t="shared" si="24"/>
        <v>21</v>
      </c>
      <c r="N25" s="19">
        <f t="shared" si="9"/>
        <v>21</v>
      </c>
      <c r="O25" s="10">
        <v>0</v>
      </c>
      <c r="P25" s="18">
        <f>IF('Simple Comparison'!$B$26&lt;'Simple Comparison'!$B$11,('Simple Comparison'!$B$26*(1))*('Simple Comparison'!$B$3*(1+'Simple Comparison'!$B$5*$C$2))*'PV Degrad. &amp; SPV'!D22,('Simple Comparison'!$B$11*(1))*('Simple Comparison'!$B$3*(1+'Simple Comparison'!$B$5*$C$2))*'PV Degrad. &amp; SPV'!D22+('Simple Comparison'!$B$26-'Simple Comparison'!$B$11*(1))*('Simple Comparison'!$B$4*(1+'Simple Comparison'!$B$5*$C$2))*'PV Degrad. &amp; SPV'!D22)</f>
        <v>383.35920521999697</v>
      </c>
      <c r="Q25" s="18">
        <f>E25*'PV Degrad. &amp; SPV'!D22</f>
        <v>0</v>
      </c>
      <c r="R25" s="18">
        <f t="shared" si="17"/>
        <v>383.35920521999697</v>
      </c>
      <c r="S25" s="18">
        <f t="shared" si="18"/>
        <v>42707.772720177571</v>
      </c>
      <c r="T25" s="18">
        <f>SUM($O$5:O25)</f>
        <v>25107.199999999997</v>
      </c>
      <c r="U25" s="1" t="str">
        <f t="shared" si="11"/>
        <v>Yes</v>
      </c>
      <c r="V25" s="1">
        <f>'Simple Comparison'!$B$31*(('Simple Comparison'!$B$27-N25)/'Simple Comparison'!$B$27)*'PV Degrad. &amp; SPV'!D22</f>
        <v>1181.6669643583839</v>
      </c>
      <c r="W25" s="18">
        <f t="shared" si="19"/>
        <v>18782.239684535958</v>
      </c>
      <c r="X25" s="19">
        <f t="shared" si="20"/>
        <v>21</v>
      </c>
    </row>
    <row r="26" spans="1:24" x14ac:dyDescent="0.25">
      <c r="A26">
        <f t="shared" si="12"/>
        <v>2041</v>
      </c>
      <c r="B26" s="19">
        <f t="shared" si="6"/>
        <v>22</v>
      </c>
      <c r="C26" s="10">
        <v>0</v>
      </c>
      <c r="D26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6" s="18">
        <f>'Simple Comparison'!$B$18*'PV Degrad. &amp; SPV'!C23*$C$2*(1-'Simple Comparison'!$B$13)</f>
        <v>0</v>
      </c>
      <c r="F26" s="18">
        <f t="shared" si="21"/>
        <v>1303.2540000000001</v>
      </c>
      <c r="G26" s="18">
        <f t="shared" si="22"/>
        <v>65458.471809178482</v>
      </c>
      <c r="H26" s="18">
        <f>SUM($C$5:C26)</f>
        <v>25107.199999999997</v>
      </c>
      <c r="I26" s="1" t="str">
        <f t="shared" si="8"/>
        <v>Yes</v>
      </c>
      <c r="J26" s="1">
        <f>'Simple Comparison'!$B$31*('Simple Comparison'!$B$27-B26)/'Simple Comparison'!$B$27</f>
        <v>3012.8639999999996</v>
      </c>
      <c r="K26" s="18">
        <f t="shared" si="23"/>
        <v>43364.135809178486</v>
      </c>
      <c r="L26" s="19">
        <f t="shared" si="24"/>
        <v>22</v>
      </c>
      <c r="N26" s="19">
        <f t="shared" si="9"/>
        <v>22</v>
      </c>
      <c r="O26" s="10">
        <v>0</v>
      </c>
      <c r="P26" s="18">
        <f>IF('Simple Comparison'!$B$26&lt;'Simple Comparison'!$B$11,('Simple Comparison'!$B$26*(1))*('Simple Comparison'!$B$3*(1+'Simple Comparison'!$B$5*$C$2))*'PV Degrad. &amp; SPV'!D23,('Simple Comparison'!$B$11*(1))*('Simple Comparison'!$B$3*(1+'Simple Comparison'!$B$5*$C$2))*'PV Degrad. &amp; SPV'!D23+('Simple Comparison'!$B$26-'Simple Comparison'!$B$11*(1))*('Simple Comparison'!$B$4*(1+'Simple Comparison'!$B$5*$C$2))*'PV Degrad. &amp; SPV'!D23)</f>
        <v>361.65962756603489</v>
      </c>
      <c r="Q26" s="18">
        <f>E26*'PV Degrad. &amp; SPV'!D23</f>
        <v>0</v>
      </c>
      <c r="R26" s="18">
        <f t="shared" si="17"/>
        <v>361.65962756603489</v>
      </c>
      <c r="S26" s="18">
        <f t="shared" si="18"/>
        <v>43069.432347743605</v>
      </c>
      <c r="T26" s="18">
        <f>SUM($O$5:O26)</f>
        <v>25107.199999999997</v>
      </c>
      <c r="U26" s="1" t="str">
        <f t="shared" si="11"/>
        <v>Yes</v>
      </c>
      <c r="V26" s="1">
        <f>'Simple Comparison'!$B$31*(('Simple Comparison'!$B$27-N26)/'Simple Comparison'!$B$27)*'PV Degrad. &amp; SPV'!D23</f>
        <v>836.08511629130919</v>
      </c>
      <c r="W26" s="18">
        <f t="shared" si="19"/>
        <v>18798.317464034917</v>
      </c>
      <c r="X26" s="19">
        <f t="shared" si="20"/>
        <v>22</v>
      </c>
    </row>
    <row r="27" spans="1:24" x14ac:dyDescent="0.25">
      <c r="A27">
        <f t="shared" si="12"/>
        <v>2042</v>
      </c>
      <c r="B27" s="19">
        <f t="shared" si="6"/>
        <v>23</v>
      </c>
      <c r="C27" s="10">
        <v>0</v>
      </c>
      <c r="D27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7" s="18">
        <f>'Simple Comparison'!$B$18*'PV Degrad. &amp; SPV'!C24*$C$2*(1-'Simple Comparison'!$B$13)</f>
        <v>0</v>
      </c>
      <c r="F27" s="18">
        <f t="shared" si="21"/>
        <v>1303.2540000000001</v>
      </c>
      <c r="G27" s="18">
        <f t="shared" si="22"/>
        <v>66761.725809178475</v>
      </c>
      <c r="H27" s="18">
        <f>SUM($C$5:C27)</f>
        <v>25107.199999999997</v>
      </c>
      <c r="I27" s="1" t="str">
        <f t="shared" si="8"/>
        <v>Yes</v>
      </c>
      <c r="J27" s="1">
        <f>'Simple Comparison'!$B$31*('Simple Comparison'!$B$27-B27)/'Simple Comparison'!$B$27</f>
        <v>2008.5759999999998</v>
      </c>
      <c r="K27" s="18">
        <f>G27-H27+J27</f>
        <v>43663.101809178479</v>
      </c>
      <c r="L27" s="19">
        <f t="shared" si="24"/>
        <v>23</v>
      </c>
      <c r="N27" s="19">
        <f t="shared" si="9"/>
        <v>23</v>
      </c>
      <c r="O27" s="10">
        <v>0</v>
      </c>
      <c r="P27" s="18">
        <f>IF('Simple Comparison'!$B$26&lt;'Simple Comparison'!$B$11,('Simple Comparison'!$B$26*(1))*('Simple Comparison'!$B$3*(1+'Simple Comparison'!$B$5*$C$2))*'PV Degrad. &amp; SPV'!D24,('Simple Comparison'!$B$11*(1))*('Simple Comparison'!$B$3*(1+'Simple Comparison'!$B$5*$C$2))*'PV Degrad. &amp; SPV'!D24+('Simple Comparison'!$B$26-'Simple Comparison'!$B$11*(1))*('Simple Comparison'!$B$4*(1+'Simple Comparison'!$B$5*$C$2))*'PV Degrad. &amp; SPV'!D24)</f>
        <v>341.18832789248574</v>
      </c>
      <c r="Q27" s="18">
        <f>E27*'PV Degrad. &amp; SPV'!D24</f>
        <v>0</v>
      </c>
      <c r="R27" s="18">
        <f t="shared" si="17"/>
        <v>341.18832789248574</v>
      </c>
      <c r="S27" s="18">
        <f t="shared" si="18"/>
        <v>43410.620675636092</v>
      </c>
      <c r="T27" s="18">
        <f>SUM($O$5:O27)</f>
        <v>25107.199999999997</v>
      </c>
      <c r="U27" s="1" t="str">
        <f t="shared" si="11"/>
        <v>Yes</v>
      </c>
      <c r="V27" s="1">
        <f>'Simple Comparison'!$B$31*(('Simple Comparison'!$B$27-N27)/'Simple Comparison'!$B$27)*'PV Degrad. &amp; SPV'!D24</f>
        <v>525.83969578069764</v>
      </c>
      <c r="W27" s="18">
        <f t="shared" si="19"/>
        <v>18829.260371416793</v>
      </c>
      <c r="X27" s="19">
        <f t="shared" si="20"/>
        <v>23</v>
      </c>
    </row>
    <row r="28" spans="1:24" x14ac:dyDescent="0.25">
      <c r="A28">
        <f t="shared" si="12"/>
        <v>2043</v>
      </c>
      <c r="B28" s="19">
        <f t="shared" si="6"/>
        <v>24</v>
      </c>
      <c r="C28" s="10">
        <v>0</v>
      </c>
      <c r="D28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8" s="18">
        <f>'Simple Comparison'!$B$18*'PV Degrad. &amp; SPV'!C25*$C$2*(1-'Simple Comparison'!$B$13)</f>
        <v>0</v>
      </c>
      <c r="F28" s="18">
        <f t="shared" ref="F28:F29" si="25">D28+E28</f>
        <v>1303.2540000000001</v>
      </c>
      <c r="G28" s="18">
        <f t="shared" ref="G28:G29" si="26">D28+E28+G27</f>
        <v>68064.979809178476</v>
      </c>
      <c r="H28" s="18">
        <f>SUM($C$5:C28)</f>
        <v>25107.199999999997</v>
      </c>
      <c r="I28" s="1" t="str">
        <f t="shared" si="8"/>
        <v>Yes</v>
      </c>
      <c r="J28" s="1">
        <f>'Simple Comparison'!$B$31*('Simple Comparison'!$B$27-B28)/'Simple Comparison'!$B$27</f>
        <v>1004.2879999999999</v>
      </c>
      <c r="K28" s="18">
        <f t="shared" ref="K28:K29" si="27">G28-H28+J28</f>
        <v>43962.067809178479</v>
      </c>
      <c r="L28" s="19">
        <f t="shared" ref="L28:L29" si="28">B28</f>
        <v>24</v>
      </c>
      <c r="N28" s="19">
        <f t="shared" si="9"/>
        <v>24</v>
      </c>
      <c r="O28" s="10">
        <v>0</v>
      </c>
      <c r="P28" s="18">
        <f>IF('Simple Comparison'!$B$26&lt;'Simple Comparison'!$B$11,('Simple Comparison'!$B$26*(1))*('Simple Comparison'!$B$3*(1+'Simple Comparison'!$B$5*$C$2))*'PV Degrad. &amp; SPV'!D25,('Simple Comparison'!$B$11*(1))*('Simple Comparison'!$B$3*(1+'Simple Comparison'!$B$5*$C$2))*'PV Degrad. &amp; SPV'!D25+('Simple Comparison'!$B$26-'Simple Comparison'!$B$11*(1))*('Simple Comparison'!$B$4*(1+'Simple Comparison'!$B$5*$C$2))*'PV Degrad. &amp; SPV'!D25)</f>
        <v>321.87578103064692</v>
      </c>
      <c r="Q28" s="18">
        <f>E28*'PV Degrad. &amp; SPV'!D25</f>
        <v>0</v>
      </c>
      <c r="R28" s="18">
        <f t="shared" ref="R28:R29" si="29">P28+Q28</f>
        <v>321.87578103064692</v>
      </c>
      <c r="S28" s="18">
        <f t="shared" ref="S28:S29" si="30">P28+Q28+S27</f>
        <v>43732.49645666674</v>
      </c>
      <c r="T28" s="18">
        <f>SUM($O$5:O28)</f>
        <v>25107.199999999997</v>
      </c>
      <c r="U28" s="1" t="str">
        <f t="shared" si="11"/>
        <v>Yes</v>
      </c>
      <c r="V28" s="1">
        <f>'Simple Comparison'!$B$31*(('Simple Comparison'!$B$27-N28)/'Simple Comparison'!$B$27)*'PV Degrad. &amp; SPV'!D25</f>
        <v>248.03759234938568</v>
      </c>
      <c r="W28" s="18">
        <f t="shared" ref="W28" si="31">S28-T28+V28</f>
        <v>18873.334049016128</v>
      </c>
      <c r="X28" s="19">
        <f t="shared" ref="X28:X29" si="32">N28</f>
        <v>24</v>
      </c>
    </row>
    <row r="29" spans="1:24" x14ac:dyDescent="0.25">
      <c r="A29">
        <f t="shared" si="12"/>
        <v>2044</v>
      </c>
      <c r="B29" s="19">
        <f t="shared" si="6"/>
        <v>25</v>
      </c>
      <c r="C29" s="10">
        <v>0</v>
      </c>
      <c r="D29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9" s="18">
        <f>'Simple Comparison'!$B$18*'PV Degrad. &amp; SPV'!C26*$C$2*(1-'Simple Comparison'!$B$13)</f>
        <v>0</v>
      </c>
      <c r="F29" s="18">
        <f t="shared" si="25"/>
        <v>1303.2540000000001</v>
      </c>
      <c r="G29" s="18">
        <f t="shared" si="26"/>
        <v>69368.233809178477</v>
      </c>
      <c r="H29" s="18">
        <f>SUM($C$5:C29)</f>
        <v>25107.199999999997</v>
      </c>
      <c r="I29" s="1" t="str">
        <f t="shared" si="8"/>
        <v>Yes</v>
      </c>
      <c r="J29" s="1">
        <f>'Simple Comparison'!$B$31*('Simple Comparison'!$B$27-B29)/'Simple Comparison'!$B$27</f>
        <v>0</v>
      </c>
      <c r="K29" s="18">
        <f t="shared" si="27"/>
        <v>44261.03380917848</v>
      </c>
      <c r="L29" s="19">
        <f t="shared" si="28"/>
        <v>25</v>
      </c>
      <c r="N29" s="19">
        <f t="shared" si="9"/>
        <v>25</v>
      </c>
      <c r="O29" s="10">
        <v>0</v>
      </c>
      <c r="P29" s="18">
        <f>IF('Simple Comparison'!$B$26&lt;'Simple Comparison'!$B$11,('Simple Comparison'!$B$26*(1))*('Simple Comparison'!$B$3*(1+'Simple Comparison'!$B$5*$C$2))*'PV Degrad. &amp; SPV'!D26,('Simple Comparison'!$B$11*(1))*('Simple Comparison'!$B$3*(1+'Simple Comparison'!$B$5*$C$2))*'PV Degrad. &amp; SPV'!D26+('Simple Comparison'!$B$26-'Simple Comparison'!$B$11*(1))*('Simple Comparison'!$B$4*(1+'Simple Comparison'!$B$5*$C$2))*'PV Degrad. &amp; SPV'!D26)</f>
        <v>303.65639719872354</v>
      </c>
      <c r="Q29" s="18">
        <f>E29*'PV Degrad. &amp; SPV'!D26</f>
        <v>0</v>
      </c>
      <c r="R29" s="18">
        <f t="shared" si="29"/>
        <v>303.65639719872354</v>
      </c>
      <c r="S29" s="18">
        <f t="shared" si="30"/>
        <v>44036.152853865467</v>
      </c>
      <c r="T29" s="18">
        <f>SUM($O$5:O29)</f>
        <v>25107.199999999997</v>
      </c>
      <c r="U29" s="1" t="str">
        <f t="shared" si="11"/>
        <v>Yes</v>
      </c>
      <c r="V29" s="1">
        <f>'Simple Comparison'!$B$31*(('Simple Comparison'!$B$27-N29)/'Simple Comparison'!$B$27)*'PV Degrad. &amp; SPV'!D26</f>
        <v>0</v>
      </c>
      <c r="W29" s="18">
        <f>S29-T29+V29</f>
        <v>18928.95285386547</v>
      </c>
      <c r="X29" s="19">
        <f t="shared" si="32"/>
        <v>25</v>
      </c>
    </row>
    <row r="30" spans="1:24" x14ac:dyDescent="0.25">
      <c r="B30" s="19"/>
      <c r="P30" s="18">
        <f>SUM(P5:P29)</f>
        <v>16659.960046687924</v>
      </c>
      <c r="Q30" s="18">
        <f>SUM(Q5:Q29)</f>
        <v>27376.192807177536</v>
      </c>
      <c r="S30" s="18">
        <f>P30+Q30</f>
        <v>44036.15285386546</v>
      </c>
    </row>
    <row r="31" spans="1:24" x14ac:dyDescent="0.25">
      <c r="S31" s="18">
        <f>S30-O5</f>
        <v>18928.952853865463</v>
      </c>
      <c r="T31" s="18">
        <f>S31+19459</f>
        <v>38387.952853865463</v>
      </c>
    </row>
    <row r="32" spans="1:24" x14ac:dyDescent="0.25">
      <c r="P32" s="18">
        <f>P30+Q30</f>
        <v>44036.15285386546</v>
      </c>
      <c r="S32">
        <f>S30/O5</f>
        <v>1.753925282543074</v>
      </c>
    </row>
    <row r="33" spans="8:19" x14ac:dyDescent="0.25">
      <c r="H33">
        <f>56198.84/25107</f>
        <v>2.2383733620105946</v>
      </c>
      <c r="R33" s="18"/>
      <c r="S33" s="73">
        <f>(1+'Simple Comparison'!B10)*('Cash Flow - Purchase Cash'!S32)^(1/'Cash Flow - Purchase Cash'!$N$29)-1</f>
        <v>8.4092422414321577E-2</v>
      </c>
    </row>
    <row r="34" spans="8:19" x14ac:dyDescent="0.25">
      <c r="H34">
        <f>(1+0.06)*(H33)^(1/25)-1</f>
        <v>9.4720287137220804E-2</v>
      </c>
      <c r="P34" s="18">
        <f>P32-O5</f>
        <v>18928.952853865463</v>
      </c>
      <c r="Q34" s="17">
        <f>P34+19458.84</f>
        <v>38387.792853865467</v>
      </c>
    </row>
  </sheetData>
  <conditionalFormatting sqref="I5:I29">
    <cfRule type="containsText" dxfId="3" priority="3" operator="containsText" text="Yes">
      <formula>NOT(ISERROR(SEARCH("Yes",I5)))</formula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U29">
    <cfRule type="containsText" dxfId="2" priority="1" operator="containsText" text="Yes">
      <formula>NOT(ISERROR(SEARCH("Yes",U5)))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3F12-885D-40AC-910E-66C0D580C8A8}">
  <dimension ref="A1:X37"/>
  <sheetViews>
    <sheetView topLeftCell="L10" workbookViewId="0">
      <selection activeCell="P30" sqref="P30"/>
    </sheetView>
  </sheetViews>
  <sheetFormatPr defaultRowHeight="15" x14ac:dyDescent="0.25"/>
  <cols>
    <col min="2" max="2" width="6.5703125" customWidth="1"/>
    <col min="3" max="3" width="9" bestFit="1" customWidth="1"/>
    <col min="4" max="4" width="8.42578125" bestFit="1" customWidth="1"/>
    <col min="5" max="5" width="14.5703125" bestFit="1" customWidth="1"/>
    <col min="6" max="6" width="15.28515625" bestFit="1" customWidth="1"/>
    <col min="7" max="7" width="19.28515625" bestFit="1" customWidth="1"/>
    <col min="8" max="8" width="16.42578125" bestFit="1" customWidth="1"/>
    <col min="9" max="9" width="18.85546875" bestFit="1" customWidth="1"/>
    <col min="10" max="10" width="25.140625" bestFit="1" customWidth="1"/>
    <col min="11" max="11" width="12.7109375" bestFit="1" customWidth="1"/>
    <col min="12" max="12" width="6.42578125" bestFit="1" customWidth="1"/>
    <col min="15" max="15" width="12.28515625" bestFit="1" customWidth="1"/>
    <col min="16" max="16" width="8.42578125" bestFit="1" customWidth="1"/>
    <col min="17" max="17" width="14.5703125" bestFit="1" customWidth="1"/>
    <col min="18" max="18" width="15.28515625" bestFit="1" customWidth="1"/>
    <col min="19" max="19" width="19.28515625" bestFit="1" customWidth="1"/>
    <col min="20" max="20" width="16.42578125" bestFit="1" customWidth="1"/>
    <col min="21" max="21" width="18.85546875" bestFit="1" customWidth="1"/>
    <col min="22" max="22" width="25.140625" bestFit="1" customWidth="1"/>
    <col min="23" max="23" width="12.7109375" bestFit="1" customWidth="1"/>
    <col min="24" max="24" width="6.42578125" bestFit="1" customWidth="1"/>
  </cols>
  <sheetData>
    <row r="1" spans="1:24" x14ac:dyDescent="0.25">
      <c r="B1" s="9" t="s">
        <v>30</v>
      </c>
      <c r="D1" s="18"/>
      <c r="E1" s="18"/>
      <c r="I1" s="1"/>
      <c r="J1" s="1"/>
      <c r="K1" s="2"/>
      <c r="L1" s="2"/>
    </row>
    <row r="2" spans="1:24" x14ac:dyDescent="0.25">
      <c r="B2" t="s">
        <v>39</v>
      </c>
      <c r="C2">
        <v>1</v>
      </c>
      <c r="D2" s="18"/>
      <c r="E2" s="18"/>
      <c r="I2" s="1"/>
      <c r="J2" s="1"/>
      <c r="K2" s="2"/>
      <c r="L2" s="2"/>
      <c r="N2" s="9" t="s">
        <v>41</v>
      </c>
      <c r="P2" s="18"/>
      <c r="Q2" s="18"/>
      <c r="U2" s="1"/>
      <c r="V2" s="1"/>
      <c r="W2" s="2"/>
    </row>
    <row r="3" spans="1:24" x14ac:dyDescent="0.25">
      <c r="C3" s="20" t="s">
        <v>23</v>
      </c>
      <c r="D3" s="23" t="s">
        <v>24</v>
      </c>
      <c r="E3" s="18"/>
      <c r="I3" s="21" t="s">
        <v>5</v>
      </c>
      <c r="J3" s="1"/>
      <c r="K3" s="2"/>
      <c r="L3" s="2"/>
      <c r="O3" s="20" t="s">
        <v>23</v>
      </c>
      <c r="P3" s="23" t="s">
        <v>24</v>
      </c>
      <c r="Q3" s="18"/>
      <c r="U3" s="21" t="s">
        <v>44</v>
      </c>
      <c r="V3" s="1"/>
      <c r="W3" s="2"/>
    </row>
    <row r="4" spans="1:24" x14ac:dyDescent="0.25">
      <c r="A4" t="s">
        <v>58</v>
      </c>
      <c r="B4" s="11" t="s">
        <v>0</v>
      </c>
      <c r="D4" s="22" t="s">
        <v>2</v>
      </c>
      <c r="E4" s="22" t="s">
        <v>22</v>
      </c>
      <c r="F4" s="9" t="s">
        <v>42</v>
      </c>
      <c r="G4" s="9" t="s">
        <v>25</v>
      </c>
      <c r="H4" s="9" t="s">
        <v>26</v>
      </c>
      <c r="I4" s="21" t="s">
        <v>43</v>
      </c>
      <c r="J4" s="21" t="s">
        <v>29</v>
      </c>
      <c r="K4" s="24" t="s">
        <v>3</v>
      </c>
      <c r="L4" s="24" t="s">
        <v>0</v>
      </c>
      <c r="N4" s="11" t="s">
        <v>0</v>
      </c>
      <c r="P4" s="22" t="s">
        <v>2</v>
      </c>
      <c r="Q4" s="22" t="s">
        <v>22</v>
      </c>
      <c r="R4" s="9" t="s">
        <v>42</v>
      </c>
      <c r="S4" s="9" t="s">
        <v>25</v>
      </c>
      <c r="T4" s="9" t="s">
        <v>26</v>
      </c>
      <c r="U4" s="21" t="s">
        <v>43</v>
      </c>
      <c r="V4" s="21" t="s">
        <v>29</v>
      </c>
      <c r="W4" s="24" t="s">
        <v>3</v>
      </c>
      <c r="X4" s="24" t="s">
        <v>0</v>
      </c>
    </row>
    <row r="5" spans="1:24" x14ac:dyDescent="0.25">
      <c r="A5">
        <v>2020</v>
      </c>
      <c r="B5" s="19">
        <v>1</v>
      </c>
      <c r="C5" s="10">
        <v>3311.76</v>
      </c>
      <c r="D5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5" s="18">
        <f>'Simple Comparison'!$B$16*'PV Degrad. &amp; SPV'!C2*$C$2*(1-'Simple Comparison'!$B$13)</f>
        <v>4120</v>
      </c>
      <c r="F5" s="18">
        <f t="shared" ref="F5:F29" si="0">D5+E5</f>
        <v>5423.2539999999999</v>
      </c>
      <c r="G5" s="18">
        <f>D5+E5</f>
        <v>5423.2539999999999</v>
      </c>
      <c r="H5" s="18">
        <f>SUM($C$5:C5)</f>
        <v>3311.76</v>
      </c>
      <c r="I5" s="1" t="str">
        <f>IF(G5-H5&gt;0,"Yes","No")</f>
        <v>Yes</v>
      </c>
      <c r="J5" s="1">
        <f>'Simple Comparison'!$B$31*('Simple Comparison'!$B$27-B5)/'Simple Comparison'!$B$27</f>
        <v>24102.911999999997</v>
      </c>
      <c r="K5" s="18">
        <f t="shared" ref="K5:K26" si="1">G5-H5+J5</f>
        <v>26214.405999999995</v>
      </c>
      <c r="L5" s="19">
        <f t="shared" ref="L5:L29" si="2">B5</f>
        <v>1</v>
      </c>
      <c r="N5" s="19">
        <v>1</v>
      </c>
      <c r="O5" s="10">
        <f>C5*'PV Degrad. &amp; SPV'!D2</f>
        <v>3124.3018867924529</v>
      </c>
      <c r="P5" s="18">
        <f>IF('Simple Comparison'!$B$26&lt;'Simple Comparison'!$B$11,('Simple Comparison'!$B$26*(1))*('Simple Comparison'!$B$3*(1+'Simple Comparison'!$B$5*$C$2))*'PV Degrad. &amp; SPV'!D2,('Simple Comparison'!$B$11*(1))*('Simple Comparison'!$B$3*(1+'Simple Comparison'!$B$5*$C$2))*'PV Degrad. &amp; SPV'!D2+('Simple Comparison'!$B$26-'Simple Comparison'!$B$11*(1))*('Simple Comparison'!$B$4*(1+'Simple Comparison'!$B$5*$C$2))*'PV Degrad. &amp; SPV'!D2)</f>
        <v>1229.4849056603773</v>
      </c>
      <c r="Q5" s="18">
        <f>E5*'PV Degrad. &amp; SPV'!D2</f>
        <v>3886.7924528301883</v>
      </c>
      <c r="R5" s="18">
        <f t="shared" ref="R5:R29" si="3">P5+Q5</f>
        <v>5116.2773584905653</v>
      </c>
      <c r="S5" s="18">
        <f>P5+Q5</f>
        <v>5116.2773584905653</v>
      </c>
      <c r="T5" s="18">
        <f>SUM($O$5:O5)</f>
        <v>3124.3018867924529</v>
      </c>
      <c r="U5" s="1" t="str">
        <f>IF(S5-T5&gt;0,"Yes","No")</f>
        <v>Yes</v>
      </c>
      <c r="V5" s="1">
        <f>'Simple Comparison'!$B$31*(('Simple Comparison'!$B$27-N5)/'Simple Comparison'!$B$27)*'PV Degrad. &amp; SPV'!D2</f>
        <v>22738.596226415088</v>
      </c>
      <c r="W5" s="18">
        <f t="shared" ref="W5:W28" si="4">S5-T5+V5</f>
        <v>24730.571698113199</v>
      </c>
      <c r="X5" s="19">
        <f t="shared" ref="X5:X29" si="5">N5</f>
        <v>1</v>
      </c>
    </row>
    <row r="6" spans="1:24" x14ac:dyDescent="0.25">
      <c r="A6">
        <f>A5+1</f>
        <v>2021</v>
      </c>
      <c r="B6" s="19">
        <f t="shared" ref="B6:B29" si="6">B5+1</f>
        <v>2</v>
      </c>
      <c r="C6" s="10">
        <v>3311.76</v>
      </c>
      <c r="D6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6" s="18">
        <f>'Simple Comparison'!$B$16*'PV Degrad. &amp; SPV'!C3*$C$2*(1-'Simple Comparison'!$B$13)</f>
        <v>4099.3999999999996</v>
      </c>
      <c r="F6" s="18">
        <f t="shared" si="0"/>
        <v>5402.6539999999995</v>
      </c>
      <c r="G6" s="18">
        <f t="shared" ref="G6:G29" si="7">D6+E6+G5</f>
        <v>10825.907999999999</v>
      </c>
      <c r="H6" s="18">
        <f>SUM($C$5:C6)</f>
        <v>6623.52</v>
      </c>
      <c r="I6" s="1" t="str">
        <f t="shared" ref="I6:I29" si="8">IF(G6-H6&gt;0,"Yes","No")</f>
        <v>Yes</v>
      </c>
      <c r="J6" s="1">
        <f>'Simple Comparison'!$B$31*('Simple Comparison'!$B$27-B6)/'Simple Comparison'!$B$27</f>
        <v>23098.624</v>
      </c>
      <c r="K6" s="18">
        <f t="shared" si="1"/>
        <v>27301.011999999999</v>
      </c>
      <c r="L6" s="19">
        <f t="shared" si="2"/>
        <v>2</v>
      </c>
      <c r="N6" s="19">
        <f t="shared" ref="N6:N29" si="9">N5+1</f>
        <v>2</v>
      </c>
      <c r="O6" s="10">
        <f>C6*'PV Degrad. &amp; SPV'!D3</f>
        <v>2947.454610181559</v>
      </c>
      <c r="P6" s="18">
        <f>IF('Simple Comparison'!$B$26&lt;'Simple Comparison'!$B$11,('Simple Comparison'!$B$26*(1))*('Simple Comparison'!$B$3*(1+'Simple Comparison'!$B$5*$C$2))*'PV Degrad. &amp; SPV'!D3,('Simple Comparison'!$B$11*(1))*('Simple Comparison'!$B$3*(1+'Simple Comparison'!$B$5*$C$2))*'PV Degrad. &amp; SPV'!D3+('Simple Comparison'!$B$26-'Simple Comparison'!$B$11*(1))*('Simple Comparison'!$B$4*(1+'Simple Comparison'!$B$5*$C$2))*'PV Degrad. &amp; SPV'!D3)</f>
        <v>1159.8914204343182</v>
      </c>
      <c r="Q6" s="18">
        <f>E6*'PV Degrad. &amp; SPV'!D3</f>
        <v>3648.4514061943746</v>
      </c>
      <c r="R6" s="18">
        <f t="shared" si="3"/>
        <v>4808.3428266286928</v>
      </c>
      <c r="S6" s="18">
        <f t="shared" ref="S6:S29" si="10">P6+Q6+S5</f>
        <v>9924.6201851192582</v>
      </c>
      <c r="T6" s="18">
        <f>SUM($O$5:O6)</f>
        <v>6071.7564969740124</v>
      </c>
      <c r="U6" s="1" t="str">
        <f t="shared" ref="U6:U29" si="11">IF(S6-T6&gt;0,"Yes","No")</f>
        <v>Yes</v>
      </c>
      <c r="V6" s="1">
        <f>'Simple Comparison'!$B$31*(('Simple Comparison'!$B$27-N6)/'Simple Comparison'!$B$27)*'PV Degrad. &amp; SPV'!D3</f>
        <v>20557.693129227482</v>
      </c>
      <c r="W6" s="18">
        <f t="shared" si="4"/>
        <v>24410.55681737273</v>
      </c>
      <c r="X6" s="19">
        <f t="shared" si="5"/>
        <v>2</v>
      </c>
    </row>
    <row r="7" spans="1:24" x14ac:dyDescent="0.25">
      <c r="A7">
        <f t="shared" ref="A7:A29" si="12">A6+1</f>
        <v>2022</v>
      </c>
      <c r="B7" s="19">
        <f t="shared" si="6"/>
        <v>3</v>
      </c>
      <c r="C7" s="10">
        <v>3311.76</v>
      </c>
      <c r="D7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7" s="18">
        <f>'Simple Comparison'!$B$16*'PV Degrad. &amp; SPV'!C4*$C$2*(1-'Simple Comparison'!$B$13)</f>
        <v>4078.9029999999998</v>
      </c>
      <c r="F7" s="18">
        <f t="shared" si="0"/>
        <v>5382.1570000000002</v>
      </c>
      <c r="G7" s="18">
        <f t="shared" si="7"/>
        <v>16208.064999999999</v>
      </c>
      <c r="H7" s="18">
        <f>SUM($C$5:C7)</f>
        <v>9935.2800000000007</v>
      </c>
      <c r="I7" s="1" t="str">
        <f t="shared" si="8"/>
        <v>Yes</v>
      </c>
      <c r="J7" s="1">
        <f>'Simple Comparison'!$B$31*('Simple Comparison'!$B$27-B7)/'Simple Comparison'!$B$27</f>
        <v>22094.335999999996</v>
      </c>
      <c r="K7" s="18">
        <f t="shared" si="1"/>
        <v>28367.120999999992</v>
      </c>
      <c r="L7" s="19">
        <f t="shared" si="2"/>
        <v>3</v>
      </c>
      <c r="N7" s="19">
        <f t="shared" si="9"/>
        <v>3</v>
      </c>
      <c r="O7" s="10">
        <f>C7*'PV Degrad. &amp; SPV'!D4</f>
        <v>2780.6175567750552</v>
      </c>
      <c r="P7" s="18">
        <f>IF('Simple Comparison'!$B$26&lt;'Simple Comparison'!$B$11,('Simple Comparison'!$B$26*(1))*('Simple Comparison'!$B$3*(1+'Simple Comparison'!$B$5*$C$2))*'PV Degrad. &amp; SPV'!D4,('Simple Comparison'!$B$11*(1))*('Simple Comparison'!$B$3*(1+'Simple Comparison'!$B$5*$C$2))*'PV Degrad. &amp; SPV'!D4+('Simple Comparison'!$B$26-'Simple Comparison'!$B$11*(1))*('Simple Comparison'!$B$4*(1+'Simple Comparison'!$B$5*$C$2))*'PV Degrad. &amp; SPV'!D4)</f>
        <v>1094.2371890889792</v>
      </c>
      <c r="Q7" s="18">
        <f>E7*'PV Degrad. &amp; SPV'!D4</f>
        <v>3424.7256124183041</v>
      </c>
      <c r="R7" s="18">
        <f t="shared" si="3"/>
        <v>4518.9628015072831</v>
      </c>
      <c r="S7" s="18">
        <f t="shared" si="10"/>
        <v>14443.582986626541</v>
      </c>
      <c r="T7" s="18">
        <f>SUM($O$5:O7)</f>
        <v>8852.3740537490667</v>
      </c>
      <c r="U7" s="1" t="str">
        <f t="shared" si="11"/>
        <v>Yes</v>
      </c>
      <c r="V7" s="1">
        <f>'Simple Comparison'!$B$31*(('Simple Comparison'!$B$27-N7)/'Simple Comparison'!$B$27)*'PV Degrad. &amp; SPV'!D4</f>
        <v>18550.830551394771</v>
      </c>
      <c r="W7" s="18">
        <f t="shared" si="4"/>
        <v>24142.039484272245</v>
      </c>
      <c r="X7" s="19">
        <f t="shared" si="5"/>
        <v>3</v>
      </c>
    </row>
    <row r="8" spans="1:24" x14ac:dyDescent="0.25">
      <c r="A8">
        <f t="shared" si="12"/>
        <v>2023</v>
      </c>
      <c r="B8" s="19">
        <f t="shared" si="6"/>
        <v>4</v>
      </c>
      <c r="C8" s="10">
        <v>3311.76</v>
      </c>
      <c r="D8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8" s="18">
        <f>'Simple Comparison'!$B$17*'PV Degrad. &amp; SPV'!C5*$C$2*(1-'Simple Comparison'!$B$13)</f>
        <v>3551.194924375</v>
      </c>
      <c r="F8" s="18">
        <f t="shared" si="0"/>
        <v>4854.4489243750004</v>
      </c>
      <c r="G8" s="18">
        <f t="shared" si="7"/>
        <v>21062.513924374998</v>
      </c>
      <c r="H8" s="18">
        <f>SUM($C$5:C8)</f>
        <v>13247.04</v>
      </c>
      <c r="I8" s="1" t="str">
        <f t="shared" si="8"/>
        <v>Yes</v>
      </c>
      <c r="J8" s="1">
        <f>'Simple Comparison'!$B$31*('Simple Comparison'!$B$27-B8)/'Simple Comparison'!$B$27</f>
        <v>21090.047999999999</v>
      </c>
      <c r="K8" s="18">
        <f t="shared" si="1"/>
        <v>28905.521924374996</v>
      </c>
      <c r="L8" s="19">
        <f t="shared" si="2"/>
        <v>4</v>
      </c>
      <c r="N8" s="19">
        <f t="shared" si="9"/>
        <v>4</v>
      </c>
      <c r="O8" s="10">
        <f>C8*'PV Degrad. &amp; SPV'!D5</f>
        <v>2623.2241101651466</v>
      </c>
      <c r="P8" s="18">
        <f>IF('Simple Comparison'!$B$26&lt;'Simple Comparison'!$B$11,('Simple Comparison'!$B$26*(1))*('Simple Comparison'!$B$3*(1+'Simple Comparison'!$B$5*$C$2))*'PV Degrad. &amp; SPV'!D5,('Simple Comparison'!$B$11*(1))*('Simple Comparison'!$B$3*(1+'Simple Comparison'!$B$5*$C$2))*'PV Degrad. &amp; SPV'!D5+('Simple Comparison'!$B$26-'Simple Comparison'!$B$11*(1))*('Simple Comparison'!$B$4*(1+'Simple Comparison'!$B$5*$C$2))*'PV Degrad. &amp; SPV'!D5)</f>
        <v>1032.2992349896031</v>
      </c>
      <c r="Q8" s="18">
        <f>E8*'PV Degrad. &amp; SPV'!D5</f>
        <v>2812.8789965204587</v>
      </c>
      <c r="R8" s="18">
        <f t="shared" si="3"/>
        <v>3845.1782315100618</v>
      </c>
      <c r="S8" s="18">
        <f t="shared" si="10"/>
        <v>18288.761218136602</v>
      </c>
      <c r="T8" s="18">
        <f>SUM($O$5:O8)</f>
        <v>11475.598163914214</v>
      </c>
      <c r="U8" s="1" t="str">
        <f t="shared" si="11"/>
        <v>Yes</v>
      </c>
      <c r="V8" s="1">
        <f>'Simple Comparison'!$B$31*(('Simple Comparison'!$B$27-N8)/'Simple Comparison'!$B$27)*'PV Degrad. &amp; SPV'!D5</f>
        <v>16705.293378185681</v>
      </c>
      <c r="W8" s="18">
        <f t="shared" si="4"/>
        <v>23518.456432408071</v>
      </c>
      <c r="X8" s="19">
        <f t="shared" si="5"/>
        <v>4</v>
      </c>
    </row>
    <row r="9" spans="1:24" x14ac:dyDescent="0.25">
      <c r="A9">
        <f t="shared" si="12"/>
        <v>2024</v>
      </c>
      <c r="B9" s="19">
        <f t="shared" si="6"/>
        <v>5</v>
      </c>
      <c r="C9" s="10">
        <v>3311.76</v>
      </c>
      <c r="D9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9" s="18">
        <f>'Simple Comparison'!$B$17*'PV Degrad. &amp; SPV'!C6*$C$2*(1-'Simple Comparison'!$B$13)</f>
        <v>3533.4389497531251</v>
      </c>
      <c r="F9" s="18">
        <f t="shared" si="0"/>
        <v>4836.6929497531255</v>
      </c>
      <c r="G9" s="18">
        <f t="shared" si="7"/>
        <v>25899.206874128125</v>
      </c>
      <c r="H9" s="18">
        <f>SUM($C$5:C9)</f>
        <v>16558.800000000003</v>
      </c>
      <c r="I9" s="1" t="str">
        <f t="shared" si="8"/>
        <v>Yes</v>
      </c>
      <c r="J9" s="1">
        <f>'Simple Comparison'!$B$31*('Simple Comparison'!$B$27-B9)/'Simple Comparison'!$B$27</f>
        <v>20085.759999999998</v>
      </c>
      <c r="K9" s="18">
        <f t="shared" si="1"/>
        <v>29426.166874128121</v>
      </c>
      <c r="L9" s="19">
        <f t="shared" si="2"/>
        <v>5</v>
      </c>
      <c r="N9" s="19">
        <f t="shared" si="9"/>
        <v>5</v>
      </c>
      <c r="O9" s="10">
        <f>C9*'PV Degrad. &amp; SPV'!D6</f>
        <v>2474.7397265708928</v>
      </c>
      <c r="P9" s="18">
        <f>IF('Simple Comparison'!$B$26&lt;'Simple Comparison'!$B$11,('Simple Comparison'!$B$26*(1))*('Simple Comparison'!$B$3*(1+'Simple Comparison'!$B$5*$C$2))*'PV Degrad. &amp; SPV'!D6,('Simple Comparison'!$B$11*(1))*('Simple Comparison'!$B$3*(1+'Simple Comparison'!$B$5*$C$2))*'PV Degrad. &amp; SPV'!D6+('Simple Comparison'!$B$26-'Simple Comparison'!$B$11*(1))*('Simple Comparison'!$B$4*(1+'Simple Comparison'!$B$5*$C$2))*'PV Degrad. &amp; SPV'!D6)</f>
        <v>973.86720282038016</v>
      </c>
      <c r="Q9" s="18">
        <f>E9*'PV Degrad. &amp; SPV'!D6</f>
        <v>2640.3911335262792</v>
      </c>
      <c r="R9" s="18">
        <f t="shared" si="3"/>
        <v>3614.2583363466592</v>
      </c>
      <c r="S9" s="18">
        <f t="shared" si="10"/>
        <v>21903.01955448326</v>
      </c>
      <c r="T9" s="18">
        <f>SUM($O$5:O9)</f>
        <v>13950.337890485107</v>
      </c>
      <c r="U9" s="1" t="str">
        <f t="shared" si="11"/>
        <v>Yes</v>
      </c>
      <c r="V9" s="1">
        <f>'Simple Comparison'!$B$31*(('Simple Comparison'!$B$27-N9)/'Simple Comparison'!$B$27)*'PV Degrad. &amp; SPV'!D6</f>
        <v>15009.248318226129</v>
      </c>
      <c r="W9" s="18">
        <f t="shared" si="4"/>
        <v>22961.929982224283</v>
      </c>
      <c r="X9" s="19">
        <f t="shared" si="5"/>
        <v>5</v>
      </c>
    </row>
    <row r="10" spans="1:24" x14ac:dyDescent="0.25">
      <c r="A10">
        <f t="shared" si="12"/>
        <v>2025</v>
      </c>
      <c r="B10" s="19">
        <f t="shared" si="6"/>
        <v>6</v>
      </c>
      <c r="C10" s="10">
        <v>3311.76</v>
      </c>
      <c r="D10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0" s="18">
        <f>'Simple Comparison'!$B$17*'PV Degrad. &amp; SPV'!C7*$C$2*(1-'Simple Comparison'!$B$13)</f>
        <v>3515.7717550043594</v>
      </c>
      <c r="F10" s="18">
        <f t="shared" si="0"/>
        <v>4819.0257550043598</v>
      </c>
      <c r="G10" s="18">
        <f t="shared" si="7"/>
        <v>30718.232629132486</v>
      </c>
      <c r="H10" s="18">
        <f>SUM($C$5:C10)</f>
        <v>19870.560000000005</v>
      </c>
      <c r="I10" s="1" t="str">
        <f t="shared" si="8"/>
        <v>Yes</v>
      </c>
      <c r="J10" s="1">
        <f>'Simple Comparison'!$B$31*('Simple Comparison'!$B$27-B10)/'Simple Comparison'!$B$27</f>
        <v>19081.471999999998</v>
      </c>
      <c r="K10" s="18">
        <f t="shared" si="1"/>
        <v>29929.144629132479</v>
      </c>
      <c r="L10" s="19">
        <f t="shared" si="2"/>
        <v>6</v>
      </c>
      <c r="N10" s="19">
        <f t="shared" si="9"/>
        <v>6</v>
      </c>
      <c r="O10" s="10">
        <f>C10*'PV Degrad. &amp; SPV'!D7</f>
        <v>2334.6601194065024</v>
      </c>
      <c r="P10" s="18">
        <f>IF('Simple Comparison'!$B$26&lt;'Simple Comparison'!$B$11,('Simple Comparison'!$B$26*(1))*('Simple Comparison'!$B$3*(1+'Simple Comparison'!$B$5*$C$2))*'PV Degrad. &amp; SPV'!D7,('Simple Comparison'!$B$11*(1))*('Simple Comparison'!$B$3*(1+'Simple Comparison'!$B$5*$C$2))*'PV Degrad. &amp; SPV'!D7+('Simple Comparison'!$B$26-'Simple Comparison'!$B$11*(1))*('Simple Comparison'!$B$4*(1+'Simple Comparison'!$B$5*$C$2))*'PV Degrad. &amp; SPV'!D7)</f>
        <v>918.74264417016991</v>
      </c>
      <c r="Q10" s="18">
        <f>E10*'PV Degrad. &amp; SPV'!D7</f>
        <v>2478.4803564704225</v>
      </c>
      <c r="R10" s="18">
        <f t="shared" si="3"/>
        <v>3397.2230006405925</v>
      </c>
      <c r="S10" s="18">
        <f t="shared" si="10"/>
        <v>25300.242555123852</v>
      </c>
      <c r="T10" s="18">
        <f>SUM($O$5:O10)</f>
        <v>16284.998009891609</v>
      </c>
      <c r="U10" s="1" t="str">
        <f t="shared" si="11"/>
        <v>Yes</v>
      </c>
      <c r="V10" s="1">
        <f>'Simple Comparison'!$B$31*(('Simple Comparison'!$B$27-N10)/'Simple Comparison'!$B$27)*'PV Degrad. &amp; SPV'!D7</f>
        <v>13451.684813504549</v>
      </c>
      <c r="W10" s="18">
        <f t="shared" si="4"/>
        <v>22466.929358736794</v>
      </c>
      <c r="X10" s="19">
        <f t="shared" si="5"/>
        <v>6</v>
      </c>
    </row>
    <row r="11" spans="1:24" x14ac:dyDescent="0.25">
      <c r="A11">
        <f t="shared" si="12"/>
        <v>2026</v>
      </c>
      <c r="B11" s="19">
        <f t="shared" si="6"/>
        <v>7</v>
      </c>
      <c r="C11" s="10">
        <v>3311.76</v>
      </c>
      <c r="D11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1" s="18">
        <f>'Simple Comparison'!$B$17*'PV Degrad. &amp; SPV'!C8*$C$2*(1-'Simple Comparison'!$B$13)</f>
        <v>3498.1928962293382</v>
      </c>
      <c r="F11" s="18">
        <f t="shared" si="0"/>
        <v>4801.4468962293386</v>
      </c>
      <c r="G11" s="18">
        <f t="shared" si="7"/>
        <v>35519.679525361826</v>
      </c>
      <c r="H11" s="18">
        <f>SUM($C$5:C11)</f>
        <v>23182.320000000007</v>
      </c>
      <c r="I11" s="1" t="str">
        <f t="shared" si="8"/>
        <v>Yes</v>
      </c>
      <c r="J11" s="1">
        <f>'Simple Comparison'!$B$31*('Simple Comparison'!$B$27-B11)/'Simple Comparison'!$B$27</f>
        <v>18077.183999999997</v>
      </c>
      <c r="K11" s="18">
        <f t="shared" si="1"/>
        <v>30414.543525361816</v>
      </c>
      <c r="L11" s="19">
        <f t="shared" si="2"/>
        <v>7</v>
      </c>
      <c r="N11" s="19">
        <f t="shared" si="9"/>
        <v>7</v>
      </c>
      <c r="O11" s="10">
        <f>C11*'PV Degrad. &amp; SPV'!D8</f>
        <v>2202.5095466099074</v>
      </c>
      <c r="P11" s="18">
        <f>IF('Simple Comparison'!$B$26&lt;'Simple Comparison'!$B$11,('Simple Comparison'!$B$26*(1))*('Simple Comparison'!$B$3*(1+'Simple Comparison'!$B$5*$C$2))*'PV Degrad. &amp; SPV'!D8,('Simple Comparison'!$B$11*(1))*('Simple Comparison'!$B$3*(1+'Simple Comparison'!$B$5*$C$2))*'PV Degrad. &amp; SPV'!D8+('Simple Comparison'!$B$26-'Simple Comparison'!$B$11*(1))*('Simple Comparison'!$B$4*(1+'Simple Comparison'!$B$5*$C$2))*'PV Degrad. &amp; SPV'!D8)</f>
        <v>866.73834355676388</v>
      </c>
      <c r="Q11" s="18">
        <f>E11*'PV Degrad. &amp; SPV'!D8</f>
        <v>2326.4980704604436</v>
      </c>
      <c r="R11" s="18">
        <f t="shared" si="3"/>
        <v>3193.2364140172076</v>
      </c>
      <c r="S11" s="18">
        <f t="shared" si="10"/>
        <v>28493.478969141059</v>
      </c>
      <c r="T11" s="18">
        <f>SUM($O$5:O11)</f>
        <v>18487.507556501518</v>
      </c>
      <c r="U11" s="1" t="str">
        <f t="shared" si="11"/>
        <v>Yes</v>
      </c>
      <c r="V11" s="1">
        <f>'Simple Comparison'!$B$31*(('Simple Comparison'!$B$27-N11)/'Simple Comparison'!$B$27)*'PV Degrad. &amp; SPV'!D8</f>
        <v>12022.359813459872</v>
      </c>
      <c r="W11" s="18">
        <f t="shared" si="4"/>
        <v>22028.331226099413</v>
      </c>
      <c r="X11" s="19">
        <f t="shared" si="5"/>
        <v>7</v>
      </c>
    </row>
    <row r="12" spans="1:24" x14ac:dyDescent="0.25">
      <c r="A12">
        <f t="shared" si="12"/>
        <v>2027</v>
      </c>
      <c r="B12" s="19">
        <f t="shared" si="6"/>
        <v>8</v>
      </c>
      <c r="C12" s="10">
        <v>3311.76</v>
      </c>
      <c r="D12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2" s="18">
        <f>'Simple Comparison'!$B$17*'PV Degrad. &amp; SPV'!C9*$C$2*(1-'Simple Comparison'!$B$13)</f>
        <v>3480.7019317481904</v>
      </c>
      <c r="F12" s="18">
        <f t="shared" si="0"/>
        <v>4783.9559317481908</v>
      </c>
      <c r="G12" s="18">
        <f t="shared" si="7"/>
        <v>40303.635457110016</v>
      </c>
      <c r="H12" s="18">
        <f>SUM($C$5:C12)</f>
        <v>26494.080000000009</v>
      </c>
      <c r="I12" s="1" t="str">
        <f t="shared" si="8"/>
        <v>Yes</v>
      </c>
      <c r="J12" s="1">
        <f>'Simple Comparison'!$B$31*('Simple Comparison'!$B$27-B12)/'Simple Comparison'!$B$27</f>
        <v>17072.895999999997</v>
      </c>
      <c r="K12" s="18">
        <f t="shared" si="1"/>
        <v>30882.451457110004</v>
      </c>
      <c r="L12" s="19">
        <f t="shared" si="2"/>
        <v>8</v>
      </c>
      <c r="N12" s="19">
        <f t="shared" si="9"/>
        <v>8</v>
      </c>
      <c r="O12" s="10">
        <f>C12*'PV Degrad. &amp; SPV'!D9</f>
        <v>2077.8391949150073</v>
      </c>
      <c r="P12" s="18">
        <f>IF('Simple Comparison'!$B$26&lt;'Simple Comparison'!$B$11,('Simple Comparison'!$B$26*(1))*('Simple Comparison'!$B$3*(1+'Simple Comparison'!$B$5*$C$2))*'PV Degrad. &amp; SPV'!D9,('Simple Comparison'!$B$11*(1))*('Simple Comparison'!$B$3*(1+'Simple Comparison'!$B$5*$C$2))*'PV Degrad. &amp; SPV'!D9+('Simple Comparison'!$B$26-'Simple Comparison'!$B$11*(1))*('Simple Comparison'!$B$4*(1+'Simple Comparison'!$B$5*$C$2))*'PV Degrad. &amp; SPV'!D9)</f>
        <v>817.67768260072069</v>
      </c>
      <c r="Q12" s="18">
        <f>E12*'PV Degrad. &amp; SPV'!D9</f>
        <v>2183.8354529322082</v>
      </c>
      <c r="R12" s="18">
        <f t="shared" si="3"/>
        <v>3001.513135532929</v>
      </c>
      <c r="S12" s="18">
        <f t="shared" si="10"/>
        <v>31494.992104673987</v>
      </c>
      <c r="T12" s="18">
        <f>SUM($O$5:O12)</f>
        <v>20565.346751416524</v>
      </c>
      <c r="U12" s="1" t="str">
        <f t="shared" si="11"/>
        <v>Yes</v>
      </c>
      <c r="V12" s="1">
        <f>'Simple Comparison'!$B$31*(('Simple Comparison'!$B$27-N12)/'Simple Comparison'!$B$27)*'PV Degrad. &amp; SPV'!D9</f>
        <v>10711.746165032384</v>
      </c>
      <c r="W12" s="18">
        <f t="shared" si="4"/>
        <v>21641.391518289849</v>
      </c>
      <c r="X12" s="19">
        <f t="shared" si="5"/>
        <v>8</v>
      </c>
    </row>
    <row r="13" spans="1:24" x14ac:dyDescent="0.25">
      <c r="A13">
        <f t="shared" si="12"/>
        <v>2028</v>
      </c>
      <c r="B13" s="19">
        <f t="shared" si="6"/>
        <v>9</v>
      </c>
      <c r="C13" s="10">
        <v>3311.76</v>
      </c>
      <c r="D13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3" s="18">
        <f>'Simple Comparison'!$B$17*'PV Degrad. &amp; SPV'!C10*$C$2*(1-'Simple Comparison'!$B$13)</f>
        <v>3463.29842208945</v>
      </c>
      <c r="F13" s="18">
        <f t="shared" si="0"/>
        <v>4766.5524220894504</v>
      </c>
      <c r="G13" s="18">
        <f t="shared" si="7"/>
        <v>45070.187879199468</v>
      </c>
      <c r="H13" s="18">
        <f>SUM($C$5:C13)</f>
        <v>29805.840000000011</v>
      </c>
      <c r="I13" s="1" t="str">
        <f t="shared" si="8"/>
        <v>Yes</v>
      </c>
      <c r="J13" s="1">
        <f>'Simple Comparison'!$B$31*('Simple Comparison'!$B$27-B13)/'Simple Comparison'!$B$27</f>
        <v>16068.607999999998</v>
      </c>
      <c r="K13" s="18">
        <f t="shared" si="1"/>
        <v>31332.955879199457</v>
      </c>
      <c r="L13" s="19">
        <f t="shared" si="2"/>
        <v>9</v>
      </c>
      <c r="N13" s="19">
        <f t="shared" si="9"/>
        <v>9</v>
      </c>
      <c r="O13" s="10">
        <f>C13*'PV Degrad. &amp; SPV'!D10</f>
        <v>1960.2256555801955</v>
      </c>
      <c r="P13" s="18">
        <f>IF('Simple Comparison'!$B$26&lt;'Simple Comparison'!$B$11,('Simple Comparison'!$B$26*(1))*('Simple Comparison'!$B$3*(1+'Simple Comparison'!$B$5*$C$2))*'PV Degrad. &amp; SPV'!D10,('Simple Comparison'!$B$11*(1))*('Simple Comparison'!$B$3*(1+'Simple Comparison'!$B$5*$C$2))*'PV Degrad. &amp; SPV'!D10+('Simple Comparison'!$B$26-'Simple Comparison'!$B$11*(1))*('Simple Comparison'!$B$4*(1+'Simple Comparison'!$B$5*$C$2))*'PV Degrad. &amp; SPV'!D10)</f>
        <v>771.3940401893592</v>
      </c>
      <c r="Q13" s="18">
        <f>E13*'PV Degrad. &amp; SPV'!D10</f>
        <v>2049.9210147807053</v>
      </c>
      <c r="R13" s="18">
        <f t="shared" si="3"/>
        <v>2821.3150549700645</v>
      </c>
      <c r="S13" s="18">
        <f t="shared" si="10"/>
        <v>34316.30715964405</v>
      </c>
      <c r="T13" s="18">
        <f>SUM($O$5:O13)</f>
        <v>22525.572406996718</v>
      </c>
      <c r="U13" s="1" t="str">
        <f t="shared" si="11"/>
        <v>Yes</v>
      </c>
      <c r="V13" s="1">
        <f>'Simple Comparison'!$B$31*(('Simple Comparison'!$B$27-N13)/'Simple Comparison'!$B$27)*'PV Degrad. &amp; SPV'!D10</f>
        <v>9510.9843862662656</v>
      </c>
      <c r="W13" s="18">
        <f t="shared" si="4"/>
        <v>21301.719138913599</v>
      </c>
      <c r="X13" s="19">
        <f t="shared" si="5"/>
        <v>9</v>
      </c>
    </row>
    <row r="14" spans="1:24" x14ac:dyDescent="0.25">
      <c r="A14">
        <f t="shared" si="12"/>
        <v>2029</v>
      </c>
      <c r="B14" s="19">
        <f t="shared" si="6"/>
        <v>10</v>
      </c>
      <c r="C14" s="10">
        <v>3311.76</v>
      </c>
      <c r="D14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4" s="18">
        <f>'Simple Comparison'!$B$17*'PV Degrad. &amp; SPV'!C11*$C$2*(1-'Simple Comparison'!$B$13)</f>
        <v>3445.9819299790029</v>
      </c>
      <c r="F14" s="18">
        <f t="shared" si="0"/>
        <v>4749.2359299790032</v>
      </c>
      <c r="G14" s="18">
        <f t="shared" si="7"/>
        <v>49819.423809178472</v>
      </c>
      <c r="H14" s="18">
        <f>SUM($C$5:C14)</f>
        <v>33117.600000000013</v>
      </c>
      <c r="I14" s="1" t="str">
        <f t="shared" si="8"/>
        <v>Yes</v>
      </c>
      <c r="J14" s="1">
        <f>'Simple Comparison'!$B$31*('Simple Comparison'!$B$27-B14)/'Simple Comparison'!$B$27</f>
        <v>15064.319999999998</v>
      </c>
      <c r="K14" s="18">
        <f t="shared" si="1"/>
        <v>31766.143809178458</v>
      </c>
      <c r="L14" s="19">
        <f t="shared" si="2"/>
        <v>10</v>
      </c>
      <c r="N14" s="19">
        <f t="shared" si="9"/>
        <v>10</v>
      </c>
      <c r="O14" s="10">
        <f>C14*'PV Degrad. &amp; SPV'!D11</f>
        <v>1849.2694863964109</v>
      </c>
      <c r="P14" s="18">
        <f>IF('Simple Comparison'!$B$26&lt;'Simple Comparison'!$B$11,('Simple Comparison'!$B$26*(1))*('Simple Comparison'!$B$3*(1+'Simple Comparison'!$B$5*$C$2))*'PV Degrad. &amp; SPV'!D11,('Simple Comparison'!$B$11*(1))*('Simple Comparison'!$B$3*(1+'Simple Comparison'!$B$5*$C$2))*'PV Degrad. &amp; SPV'!D11+('Simple Comparison'!$B$26-'Simple Comparison'!$B$11*(1))*('Simple Comparison'!$B$4*(1+'Simple Comparison'!$B$5*$C$2))*'PV Degrad. &amp; SPV'!D11)</f>
        <v>727.7302265937351</v>
      </c>
      <c r="Q14" s="18">
        <f>E14*'PV Degrad. &amp; SPV'!D11</f>
        <v>1924.2183110441526</v>
      </c>
      <c r="R14" s="18">
        <f t="shared" si="3"/>
        <v>2651.948537637888</v>
      </c>
      <c r="S14" s="18">
        <f t="shared" si="10"/>
        <v>36968.255697281937</v>
      </c>
      <c r="T14" s="18">
        <f>SUM($O$5:O14)</f>
        <v>24374.841893393128</v>
      </c>
      <c r="U14" s="1" t="str">
        <f t="shared" si="11"/>
        <v>Yes</v>
      </c>
      <c r="V14" s="1">
        <f>'Simple Comparison'!$B$31*(('Simple Comparison'!$B$27-N14)/'Simple Comparison'!$B$27)*'PV Degrad. &amp; SPV'!D11</f>
        <v>8411.8376057779478</v>
      </c>
      <c r="W14" s="18">
        <f t="shared" si="4"/>
        <v>21005.251409666758</v>
      </c>
      <c r="X14" s="19">
        <f t="shared" si="5"/>
        <v>10</v>
      </c>
    </row>
    <row r="15" spans="1:24" x14ac:dyDescent="0.25">
      <c r="A15">
        <f t="shared" si="12"/>
        <v>2030</v>
      </c>
      <c r="B15" s="19">
        <f t="shared" si="6"/>
        <v>11</v>
      </c>
      <c r="C15" s="10">
        <v>3311.76</v>
      </c>
      <c r="D15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5" s="18">
        <f>'Simple Comparison'!$B$18*'PV Degrad. &amp; SPV'!C12*$C$2*(1-'Simple Comparison'!$B$13)</f>
        <v>0</v>
      </c>
      <c r="F15" s="18">
        <f t="shared" si="0"/>
        <v>1303.2540000000001</v>
      </c>
      <c r="G15" s="18">
        <f t="shared" si="7"/>
        <v>51122.677809178473</v>
      </c>
      <c r="H15" s="18">
        <f>SUM($C$5:C15)</f>
        <v>36429.360000000015</v>
      </c>
      <c r="I15" s="1" t="str">
        <f t="shared" si="8"/>
        <v>Yes</v>
      </c>
      <c r="J15" s="1">
        <f>'Simple Comparison'!$B$31*('Simple Comparison'!$B$27-B15)/'Simple Comparison'!$B$27</f>
        <v>14060.031999999997</v>
      </c>
      <c r="K15" s="18">
        <f t="shared" si="1"/>
        <v>28753.349809178457</v>
      </c>
      <c r="L15" s="19">
        <f t="shared" si="2"/>
        <v>11</v>
      </c>
      <c r="N15" s="19">
        <f t="shared" si="9"/>
        <v>11</v>
      </c>
      <c r="O15" s="10">
        <f>C15*'PV Degrad. &amp; SPV'!D12</f>
        <v>1744.5938550909534</v>
      </c>
      <c r="P15" s="18">
        <f>IF('Simple Comparison'!$B$26&lt;'Simple Comparison'!$B$11,('Simple Comparison'!$B$26*(1))*('Simple Comparison'!$B$3*(1+'Simple Comparison'!$B$5*$C$2))*'PV Degrad. &amp; SPV'!D12,('Simple Comparison'!$B$11*(1))*('Simple Comparison'!$B$3*(1+'Simple Comparison'!$B$5*$C$2))*'PV Degrad. &amp; SPV'!D12+('Simple Comparison'!$B$26-'Simple Comparison'!$B$11*(1))*('Simple Comparison'!$B$4*(1+'Simple Comparison'!$B$5*$C$2))*'PV Degrad. &amp; SPV'!D12)</f>
        <v>686.537949616731</v>
      </c>
      <c r="Q15" s="18">
        <f>E15*'PV Degrad. &amp; SPV'!D12</f>
        <v>0</v>
      </c>
      <c r="R15" s="18">
        <f t="shared" si="3"/>
        <v>686.537949616731</v>
      </c>
      <c r="S15" s="18">
        <f t="shared" si="10"/>
        <v>37654.793646898666</v>
      </c>
      <c r="T15" s="18">
        <f>SUM($O$5:O15)</f>
        <v>26119.43574848408</v>
      </c>
      <c r="U15" s="1" t="str">
        <f t="shared" si="11"/>
        <v>Yes</v>
      </c>
      <c r="V15" s="1">
        <f>'Simple Comparison'!$B$31*(('Simple Comparison'!$B$27-N15)/'Simple Comparison'!$B$27)*'PV Degrad. &amp; SPV'!D12</f>
        <v>7406.6494642069974</v>
      </c>
      <c r="W15" s="18">
        <f t="shared" si="4"/>
        <v>18942.007362621582</v>
      </c>
      <c r="X15" s="19">
        <f t="shared" si="5"/>
        <v>11</v>
      </c>
    </row>
    <row r="16" spans="1:24" x14ac:dyDescent="0.25">
      <c r="A16">
        <f t="shared" si="12"/>
        <v>2031</v>
      </c>
      <c r="B16" s="19">
        <f t="shared" si="6"/>
        <v>12</v>
      </c>
      <c r="C16" s="10">
        <v>3311.76</v>
      </c>
      <c r="D16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6" s="18">
        <f>'Simple Comparison'!$B$18*'PV Degrad. &amp; SPV'!C13*$C$2*(1-'Simple Comparison'!$B$13)</f>
        <v>0</v>
      </c>
      <c r="F16" s="18">
        <f t="shared" si="0"/>
        <v>1303.2540000000001</v>
      </c>
      <c r="G16" s="18">
        <f t="shared" si="7"/>
        <v>52425.931809178473</v>
      </c>
      <c r="H16" s="18">
        <f>SUM($C$5:C16)</f>
        <v>39741.120000000017</v>
      </c>
      <c r="I16" s="1" t="str">
        <f t="shared" si="8"/>
        <v>Yes</v>
      </c>
      <c r="J16" s="1">
        <f>'Simple Comparison'!$B$31*('Simple Comparison'!$B$27-B16)/'Simple Comparison'!$B$27</f>
        <v>13055.743999999999</v>
      </c>
      <c r="K16" s="18">
        <f t="shared" si="1"/>
        <v>25740.555809178455</v>
      </c>
      <c r="L16" s="19">
        <f t="shared" si="2"/>
        <v>12</v>
      </c>
      <c r="N16" s="19">
        <f t="shared" si="9"/>
        <v>12</v>
      </c>
      <c r="O16" s="10">
        <f>C16*'PV Degrad. &amp; SPV'!D13</f>
        <v>1645.8432595197673</v>
      </c>
      <c r="P16" s="18">
        <f>IF('Simple Comparison'!$B$26&lt;'Simple Comparison'!$B$11,('Simple Comparison'!$B$26*(1))*('Simple Comparison'!$B$3*(1+'Simple Comparison'!$B$5*$C$2))*'PV Degrad. &amp; SPV'!D13,('Simple Comparison'!$B$11*(1))*('Simple Comparison'!$B$3*(1+'Simple Comparison'!$B$5*$C$2))*'PV Degrad. &amp; SPV'!D13+('Simple Comparison'!$B$26-'Simple Comparison'!$B$11*(1))*('Simple Comparison'!$B$4*(1+'Simple Comparison'!$B$5*$C$2))*'PV Degrad. &amp; SPV'!D13)</f>
        <v>647.6773109591802</v>
      </c>
      <c r="Q16" s="18">
        <f>E16*'PV Degrad. &amp; SPV'!D13</f>
        <v>0</v>
      </c>
      <c r="R16" s="18">
        <f t="shared" si="3"/>
        <v>647.6773109591802</v>
      </c>
      <c r="S16" s="18">
        <f t="shared" si="10"/>
        <v>38302.470957857848</v>
      </c>
      <c r="T16" s="18">
        <f>SUM($O$5:O16)</f>
        <v>27765.279008003847</v>
      </c>
      <c r="U16" s="1" t="str">
        <f t="shared" si="11"/>
        <v>Yes</v>
      </c>
      <c r="V16" s="1">
        <f>'Simple Comparison'!$B$31*(('Simple Comparison'!$B$27-N16)/'Simple Comparison'!$B$27)*'PV Degrad. &amp; SPV'!D13</f>
        <v>6488.3047867042424</v>
      </c>
      <c r="W16" s="18">
        <f t="shared" si="4"/>
        <v>17025.496736558242</v>
      </c>
      <c r="X16" s="19">
        <f t="shared" si="5"/>
        <v>12</v>
      </c>
    </row>
    <row r="17" spans="1:24" x14ac:dyDescent="0.25">
      <c r="A17">
        <f t="shared" si="12"/>
        <v>2032</v>
      </c>
      <c r="B17" s="19">
        <f t="shared" si="6"/>
        <v>13</v>
      </c>
      <c r="C17" s="10">
        <v>0</v>
      </c>
      <c r="D17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7" s="18">
        <f>'Simple Comparison'!$B$18*'PV Degrad. &amp; SPV'!C14*$C$2*(1-'Simple Comparison'!$B$13)</f>
        <v>0</v>
      </c>
      <c r="F17" s="18">
        <f t="shared" si="0"/>
        <v>1303.2540000000001</v>
      </c>
      <c r="G17" s="18">
        <f t="shared" si="7"/>
        <v>53729.185809178474</v>
      </c>
      <c r="H17" s="18">
        <f>SUM($C$5:C17)</f>
        <v>39741.120000000017</v>
      </c>
      <c r="I17" s="1" t="str">
        <f t="shared" si="8"/>
        <v>Yes</v>
      </c>
      <c r="J17" s="1">
        <f>'Simple Comparison'!$B$31*('Simple Comparison'!$B$27-B17)/'Simple Comparison'!$B$27</f>
        <v>12051.455999999998</v>
      </c>
      <c r="K17" s="18">
        <f t="shared" si="1"/>
        <v>26039.521809178455</v>
      </c>
      <c r="L17" s="19">
        <f t="shared" si="2"/>
        <v>13</v>
      </c>
      <c r="N17" s="19">
        <f t="shared" si="9"/>
        <v>13</v>
      </c>
      <c r="O17" s="10">
        <v>0</v>
      </c>
      <c r="P17" s="18">
        <f>IF('Simple Comparison'!$B$26&lt;'Simple Comparison'!$B$11,('Simple Comparison'!$B$26*(1))*('Simple Comparison'!$B$3*(1+'Simple Comparison'!$B$5*$C$2))*'PV Degrad. &amp; SPV'!D14,('Simple Comparison'!$B$11*(1))*('Simple Comparison'!$B$3*(1+'Simple Comparison'!$B$5*$C$2))*'PV Degrad. &amp; SPV'!D14+('Simple Comparison'!$B$26-'Simple Comparison'!$B$11*(1))*('Simple Comparison'!$B$4*(1+'Simple Comparison'!$B$5*$C$2))*'PV Degrad. &amp; SPV'!D14)</f>
        <v>611.01633109356624</v>
      </c>
      <c r="Q17" s="18">
        <f>E17*'PV Degrad. &amp; SPV'!D14</f>
        <v>0</v>
      </c>
      <c r="R17" s="18">
        <f t="shared" si="3"/>
        <v>611.01633109356624</v>
      </c>
      <c r="S17" s="18">
        <f t="shared" si="10"/>
        <v>38913.487288951415</v>
      </c>
      <c r="T17" s="18">
        <f>SUM($O$5:O17)</f>
        <v>27765.279008003847</v>
      </c>
      <c r="U17" s="1" t="str">
        <f t="shared" si="11"/>
        <v>Yes</v>
      </c>
      <c r="V17" s="1">
        <f>'Simple Comparison'!$B$31*(('Simple Comparison'!$B$27-N17)/'Simple Comparison'!$B$27)*'PV Degrad. &amp; SPV'!D14</f>
        <v>5650.1928476379462</v>
      </c>
      <c r="W17" s="18">
        <f t="shared" si="4"/>
        <v>16798.401128585516</v>
      </c>
      <c r="X17" s="19">
        <f t="shared" si="5"/>
        <v>13</v>
      </c>
    </row>
    <row r="18" spans="1:24" x14ac:dyDescent="0.25">
      <c r="A18">
        <f t="shared" si="12"/>
        <v>2033</v>
      </c>
      <c r="B18" s="19">
        <f t="shared" si="6"/>
        <v>14</v>
      </c>
      <c r="C18" s="10">
        <v>0</v>
      </c>
      <c r="D18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8" s="18">
        <f>'Simple Comparison'!$B$18*'PV Degrad. &amp; SPV'!C15*$C$2*(1-'Simple Comparison'!$B$13)</f>
        <v>0</v>
      </c>
      <c r="F18" s="18">
        <f t="shared" si="0"/>
        <v>1303.2540000000001</v>
      </c>
      <c r="G18" s="18">
        <f t="shared" si="7"/>
        <v>55032.439809178475</v>
      </c>
      <c r="H18" s="18">
        <f>SUM($C$5:C18)</f>
        <v>39741.120000000017</v>
      </c>
      <c r="I18" s="1" t="str">
        <f t="shared" si="8"/>
        <v>Yes</v>
      </c>
      <c r="J18" s="1">
        <f>'Simple Comparison'!$B$31*('Simple Comparison'!$B$27-B18)/'Simple Comparison'!$B$27</f>
        <v>11047.167999999998</v>
      </c>
      <c r="K18" s="18">
        <f t="shared" si="1"/>
        <v>26338.487809178456</v>
      </c>
      <c r="L18" s="19">
        <f t="shared" si="2"/>
        <v>14</v>
      </c>
      <c r="N18" s="19">
        <f t="shared" si="9"/>
        <v>14</v>
      </c>
      <c r="O18" s="10">
        <v>0</v>
      </c>
      <c r="P18" s="18">
        <f>IF('Simple Comparison'!$B$26&lt;'Simple Comparison'!$B$11,('Simple Comparison'!$B$26*(1))*('Simple Comparison'!$B$3*(1+'Simple Comparison'!$B$5*$C$2))*'PV Degrad. &amp; SPV'!D15,('Simple Comparison'!$B$11*(1))*('Simple Comparison'!$B$3*(1+'Simple Comparison'!$B$5*$C$2))*'PV Degrad. &amp; SPV'!D15+('Simple Comparison'!$B$26-'Simple Comparison'!$B$11*(1))*('Simple Comparison'!$B$4*(1+'Simple Comparison'!$B$5*$C$2))*'PV Degrad. &amp; SPV'!D15)</f>
        <v>576.43050103166627</v>
      </c>
      <c r="Q18" s="18">
        <f>E18*'PV Degrad. &amp; SPV'!D15</f>
        <v>0</v>
      </c>
      <c r="R18" s="18">
        <f t="shared" si="3"/>
        <v>576.43050103166627</v>
      </c>
      <c r="S18" s="18">
        <f t="shared" si="10"/>
        <v>39489.917789983083</v>
      </c>
      <c r="T18" s="18">
        <f>SUM($O$5:O18)</f>
        <v>27765.279008003847</v>
      </c>
      <c r="U18" s="1" t="str">
        <f t="shared" si="11"/>
        <v>Yes</v>
      </c>
      <c r="V18" s="1">
        <f>'Simple Comparison'!$B$31*(('Simple Comparison'!$B$27-N18)/'Simple Comparison'!$B$27)*'PV Degrad. &amp; SPV'!D15</f>
        <v>4886.1730600642622</v>
      </c>
      <c r="W18" s="18">
        <f t="shared" si="4"/>
        <v>16610.811842043498</v>
      </c>
      <c r="X18" s="19">
        <f t="shared" si="5"/>
        <v>14</v>
      </c>
    </row>
    <row r="19" spans="1:24" x14ac:dyDescent="0.25">
      <c r="A19">
        <f t="shared" si="12"/>
        <v>2034</v>
      </c>
      <c r="B19" s="19">
        <f t="shared" si="6"/>
        <v>15</v>
      </c>
      <c r="C19" s="10">
        <v>0</v>
      </c>
      <c r="D19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19" s="18">
        <f>'Simple Comparison'!$B$18*'PV Degrad. &amp; SPV'!C16*$C$2*(1-'Simple Comparison'!$B$13)</f>
        <v>0</v>
      </c>
      <c r="F19" s="18">
        <f t="shared" si="0"/>
        <v>1303.2540000000001</v>
      </c>
      <c r="G19" s="18">
        <f t="shared" si="7"/>
        <v>56335.693809178476</v>
      </c>
      <c r="H19" s="18">
        <f>SUM($C$5:C19)</f>
        <v>39741.120000000017</v>
      </c>
      <c r="I19" s="1" t="str">
        <f t="shared" si="8"/>
        <v>Yes</v>
      </c>
      <c r="J19" s="1">
        <f>'Simple Comparison'!$B$31*('Simple Comparison'!$B$27-B19)/'Simple Comparison'!$B$27</f>
        <v>10042.879999999999</v>
      </c>
      <c r="K19" s="18">
        <f t="shared" si="1"/>
        <v>26637.453809178456</v>
      </c>
      <c r="L19" s="19">
        <f t="shared" si="2"/>
        <v>15</v>
      </c>
      <c r="N19" s="19">
        <f t="shared" si="9"/>
        <v>15</v>
      </c>
      <c r="O19" s="10">
        <v>0</v>
      </c>
      <c r="P19" s="18">
        <f>IF('Simple Comparison'!$B$26&lt;'Simple Comparison'!$B$11,('Simple Comparison'!$B$26*(1))*('Simple Comparison'!$B$3*(1+'Simple Comparison'!$B$5*$C$2))*'PV Degrad. &amp; SPV'!D16,('Simple Comparison'!$B$11*(1))*('Simple Comparison'!$B$3*(1+'Simple Comparison'!$B$5*$C$2))*'PV Degrad. &amp; SPV'!D16+('Simple Comparison'!$B$26-'Simple Comparison'!$B$11*(1))*('Simple Comparison'!$B$4*(1+'Simple Comparison'!$B$5*$C$2))*'PV Degrad. &amp; SPV'!D16)</f>
        <v>543.80235946383596</v>
      </c>
      <c r="Q19" s="18">
        <f>E19*'PV Degrad. &amp; SPV'!D16</f>
        <v>0</v>
      </c>
      <c r="R19" s="18">
        <f t="shared" si="3"/>
        <v>543.80235946383596</v>
      </c>
      <c r="S19" s="18">
        <f t="shared" si="10"/>
        <v>40033.720149446919</v>
      </c>
      <c r="T19" s="18">
        <f>SUM($O$5:O19)</f>
        <v>27765.279008003847</v>
      </c>
      <c r="U19" s="1" t="str">
        <f t="shared" si="11"/>
        <v>Yes</v>
      </c>
      <c r="V19" s="1">
        <f>'Simple Comparison'!$B$31*(('Simple Comparison'!$B$27-N19)/'Simple Comparison'!$B$27)*'PV Degrad. &amp; SPV'!D16</f>
        <v>4190.5429331597434</v>
      </c>
      <c r="W19" s="18">
        <f t="shared" si="4"/>
        <v>16458.984074602817</v>
      </c>
      <c r="X19" s="19">
        <f t="shared" si="5"/>
        <v>15</v>
      </c>
    </row>
    <row r="20" spans="1:24" x14ac:dyDescent="0.25">
      <c r="A20">
        <f t="shared" si="12"/>
        <v>2035</v>
      </c>
      <c r="B20" s="19">
        <f t="shared" si="6"/>
        <v>16</v>
      </c>
      <c r="C20" s="10">
        <v>0</v>
      </c>
      <c r="D20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0" s="18">
        <f>'Simple Comparison'!$B$18*'PV Degrad. &amp; SPV'!C17*$C$2*(1-'Simple Comparison'!$B$13)</f>
        <v>0</v>
      </c>
      <c r="F20" s="18">
        <f t="shared" si="0"/>
        <v>1303.2540000000001</v>
      </c>
      <c r="G20" s="18">
        <f t="shared" si="7"/>
        <v>57638.947809178477</v>
      </c>
      <c r="H20" s="18">
        <f>SUM($C$5:C20)</f>
        <v>39741.120000000017</v>
      </c>
      <c r="I20" s="1" t="str">
        <f t="shared" si="8"/>
        <v>Yes</v>
      </c>
      <c r="J20" s="1">
        <f>'Simple Comparison'!$B$31*('Simple Comparison'!$B$27-B20)/'Simple Comparison'!$B$27</f>
        <v>9038.5919999999987</v>
      </c>
      <c r="K20" s="18">
        <f t="shared" si="1"/>
        <v>26936.419809178456</v>
      </c>
      <c r="L20" s="19">
        <f t="shared" si="2"/>
        <v>16</v>
      </c>
      <c r="N20" s="19">
        <f t="shared" si="9"/>
        <v>16</v>
      </c>
      <c r="O20" s="10">
        <v>0</v>
      </c>
      <c r="P20" s="18">
        <f>IF('Simple Comparison'!$B$26&lt;'Simple Comparison'!$B$11,('Simple Comparison'!$B$26*(1))*('Simple Comparison'!$B$3*(1+'Simple Comparison'!$B$5*$C$2))*'PV Degrad. &amp; SPV'!D17,('Simple Comparison'!$B$11*(1))*('Simple Comparison'!$B$3*(1+'Simple Comparison'!$B$5*$C$2))*'PV Degrad. &amp; SPV'!D17+('Simple Comparison'!$B$26-'Simple Comparison'!$B$11*(1))*('Simple Comparison'!$B$4*(1+'Simple Comparison'!$B$5*$C$2))*'PV Degrad. &amp; SPV'!D17)</f>
        <v>513.02109383380764</v>
      </c>
      <c r="Q20" s="18">
        <f>E20*'PV Degrad. &amp; SPV'!D17</f>
        <v>0</v>
      </c>
      <c r="R20" s="18">
        <f t="shared" si="3"/>
        <v>513.02109383380764</v>
      </c>
      <c r="S20" s="18">
        <f t="shared" si="10"/>
        <v>40546.741243280725</v>
      </c>
      <c r="T20" s="18">
        <f>SUM($O$5:O20)</f>
        <v>27765.279008003847</v>
      </c>
      <c r="U20" s="1" t="str">
        <f t="shared" si="11"/>
        <v>Yes</v>
      </c>
      <c r="V20" s="1">
        <f>'Simple Comparison'!$B$31*(('Simple Comparison'!$B$27-N20)/'Simple Comparison'!$B$27)*'PV Degrad. &amp; SPV'!D17</f>
        <v>3558.0081507960094</v>
      </c>
      <c r="W20" s="18">
        <f t="shared" si="4"/>
        <v>16339.470386072888</v>
      </c>
      <c r="X20" s="19">
        <f t="shared" si="5"/>
        <v>16</v>
      </c>
    </row>
    <row r="21" spans="1:24" x14ac:dyDescent="0.25">
      <c r="A21">
        <f t="shared" si="12"/>
        <v>2036</v>
      </c>
      <c r="B21" s="19">
        <f t="shared" si="6"/>
        <v>17</v>
      </c>
      <c r="C21" s="10">
        <v>0</v>
      </c>
      <c r="D21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1" s="18">
        <f>'Simple Comparison'!$B$18*'PV Degrad. &amp; SPV'!C18*$C$2*(1-'Simple Comparison'!$B$13)</f>
        <v>0</v>
      </c>
      <c r="F21" s="18">
        <f t="shared" si="0"/>
        <v>1303.2540000000001</v>
      </c>
      <c r="G21" s="18">
        <f t="shared" si="7"/>
        <v>58942.201809178478</v>
      </c>
      <c r="H21" s="18">
        <f>SUM($C$5:C21)</f>
        <v>39741.120000000017</v>
      </c>
      <c r="I21" s="1" t="str">
        <f t="shared" si="8"/>
        <v>Yes</v>
      </c>
      <c r="J21" s="1">
        <f>'Simple Comparison'!$B$31*('Simple Comparison'!$B$27-B21)/'Simple Comparison'!$B$27</f>
        <v>8034.3039999999992</v>
      </c>
      <c r="K21" s="18">
        <f t="shared" si="1"/>
        <v>27235.38580917846</v>
      </c>
      <c r="L21" s="19">
        <f t="shared" si="2"/>
        <v>17</v>
      </c>
      <c r="N21" s="19">
        <f t="shared" si="9"/>
        <v>17</v>
      </c>
      <c r="O21" s="10">
        <v>0</v>
      </c>
      <c r="P21" s="18">
        <f>IF('Simple Comparison'!$B$26&lt;'Simple Comparison'!$B$11,('Simple Comparison'!$B$26*(1))*('Simple Comparison'!$B$3*(1+'Simple Comparison'!$B$5*$C$2))*'PV Degrad. &amp; SPV'!D18,('Simple Comparison'!$B$11*(1))*('Simple Comparison'!$B$3*(1+'Simple Comparison'!$B$5*$C$2))*'PV Degrad. &amp; SPV'!D18+('Simple Comparison'!$B$26-'Simple Comparison'!$B$11*(1))*('Simple Comparison'!$B$4*(1+'Simple Comparison'!$B$5*$C$2))*'PV Degrad. &amp; SPV'!D18)</f>
        <v>483.98216399415804</v>
      </c>
      <c r="Q21" s="18">
        <f>E21*'PV Degrad. &amp; SPV'!D18</f>
        <v>0</v>
      </c>
      <c r="R21" s="18">
        <f t="shared" si="3"/>
        <v>483.98216399415804</v>
      </c>
      <c r="S21" s="18">
        <f t="shared" si="10"/>
        <v>41030.723407274883</v>
      </c>
      <c r="T21" s="18">
        <f>SUM($O$5:O21)</f>
        <v>27765.279008003847</v>
      </c>
      <c r="U21" s="1" t="str">
        <f t="shared" si="11"/>
        <v>Yes</v>
      </c>
      <c r="V21" s="1">
        <f>'Simple Comparison'!$B$31*(('Simple Comparison'!$B$27-N21)/'Simple Comparison'!$B$27)*'PV Degrad. &amp; SPV'!D18</f>
        <v>2983.6546337912023</v>
      </c>
      <c r="W21" s="18">
        <f t="shared" si="4"/>
        <v>16249.099033062239</v>
      </c>
      <c r="X21" s="19">
        <f t="shared" si="5"/>
        <v>17</v>
      </c>
    </row>
    <row r="22" spans="1:24" x14ac:dyDescent="0.25">
      <c r="A22">
        <f t="shared" si="12"/>
        <v>2037</v>
      </c>
      <c r="B22" s="19">
        <f t="shared" si="6"/>
        <v>18</v>
      </c>
      <c r="C22" s="10">
        <v>0</v>
      </c>
      <c r="D22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2" s="18">
        <f>'Simple Comparison'!$B$18*'PV Degrad. &amp; SPV'!C19*$C$2*(1-'Simple Comparison'!$B$13)</f>
        <v>0</v>
      </c>
      <c r="F22" s="18">
        <f t="shared" si="0"/>
        <v>1303.2540000000001</v>
      </c>
      <c r="G22" s="18">
        <f t="shared" si="7"/>
        <v>60245.455809178478</v>
      </c>
      <c r="H22" s="18">
        <f>SUM($C$5:C22)</f>
        <v>39741.120000000017</v>
      </c>
      <c r="I22" s="1" t="str">
        <f t="shared" si="8"/>
        <v>Yes</v>
      </c>
      <c r="J22" s="1">
        <f>'Simple Comparison'!$B$31*('Simple Comparison'!$B$27-B22)/'Simple Comparison'!$B$27</f>
        <v>7030.0159999999987</v>
      </c>
      <c r="K22" s="18">
        <f t="shared" si="1"/>
        <v>27534.351809178461</v>
      </c>
      <c r="L22" s="19">
        <f t="shared" si="2"/>
        <v>18</v>
      </c>
      <c r="N22" s="19">
        <f t="shared" si="9"/>
        <v>18</v>
      </c>
      <c r="O22" s="10">
        <v>0</v>
      </c>
      <c r="P22" s="18">
        <f>IF('Simple Comparison'!$B$26&lt;'Simple Comparison'!$B$11,('Simple Comparison'!$B$26*(1))*('Simple Comparison'!$B$3*(1+'Simple Comparison'!$B$5*$C$2))*'PV Degrad. &amp; SPV'!D19,('Simple Comparison'!$B$11*(1))*('Simple Comparison'!$B$3*(1+'Simple Comparison'!$B$5*$C$2))*'PV Degrad. &amp; SPV'!D19+('Simple Comparison'!$B$26-'Simple Comparison'!$B$11*(1))*('Simple Comparison'!$B$4*(1+'Simple Comparison'!$B$5*$C$2))*'PV Degrad. &amp; SPV'!D19)</f>
        <v>456.58694716430006</v>
      </c>
      <c r="Q22" s="18">
        <f>E22*'PV Degrad. &amp; SPV'!D19</f>
        <v>0</v>
      </c>
      <c r="R22" s="18">
        <f t="shared" si="3"/>
        <v>456.58694716430006</v>
      </c>
      <c r="S22" s="18">
        <f t="shared" si="10"/>
        <v>41487.310354439185</v>
      </c>
      <c r="T22" s="18">
        <f>SUM($O$5:O22)</f>
        <v>27765.279008003847</v>
      </c>
      <c r="U22" s="1" t="str">
        <f t="shared" si="11"/>
        <v>Yes</v>
      </c>
      <c r="V22" s="1">
        <f>'Simple Comparison'!$B$31*(('Simple Comparison'!$B$27-N22)/'Simple Comparison'!$B$27)*'PV Degrad. &amp; SPV'!D19</f>
        <v>2462.9224571389645</v>
      </c>
      <c r="W22" s="18">
        <f t="shared" si="4"/>
        <v>16184.953803574303</v>
      </c>
      <c r="X22" s="19">
        <f t="shared" si="5"/>
        <v>18</v>
      </c>
    </row>
    <row r="23" spans="1:24" x14ac:dyDescent="0.25">
      <c r="A23">
        <f t="shared" si="12"/>
        <v>2038</v>
      </c>
      <c r="B23" s="19">
        <f t="shared" si="6"/>
        <v>19</v>
      </c>
      <c r="C23" s="10">
        <v>0</v>
      </c>
      <c r="D23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3" s="18">
        <f>'Simple Comparison'!$B$18*'PV Degrad. &amp; SPV'!C20*$C$2*(1-'Simple Comparison'!$B$13)</f>
        <v>0</v>
      </c>
      <c r="F23" s="18">
        <f t="shared" si="0"/>
        <v>1303.2540000000001</v>
      </c>
      <c r="G23" s="18">
        <f t="shared" si="7"/>
        <v>61548.709809178479</v>
      </c>
      <c r="H23" s="18">
        <f>SUM($C$5:C23)</f>
        <v>39741.120000000017</v>
      </c>
      <c r="I23" s="1" t="str">
        <f t="shared" si="8"/>
        <v>Yes</v>
      </c>
      <c r="J23" s="1">
        <f>'Simple Comparison'!$B$31*('Simple Comparison'!$B$27-B23)/'Simple Comparison'!$B$27</f>
        <v>6025.7279999999992</v>
      </c>
      <c r="K23" s="18">
        <f t="shared" si="1"/>
        <v>27833.317809178461</v>
      </c>
      <c r="L23" s="19">
        <f t="shared" si="2"/>
        <v>19</v>
      </c>
      <c r="N23" s="19">
        <f t="shared" si="9"/>
        <v>19</v>
      </c>
      <c r="O23" s="10">
        <v>0</v>
      </c>
      <c r="P23" s="18">
        <f>IF('Simple Comparison'!$B$26&lt;'Simple Comparison'!$B$11,('Simple Comparison'!$B$26*(1))*('Simple Comparison'!$B$3*(1+'Simple Comparison'!$B$5*$C$2))*'PV Degrad. &amp; SPV'!D20,('Simple Comparison'!$B$11*(1))*('Simple Comparison'!$B$3*(1+'Simple Comparison'!$B$5*$C$2))*'PV Degrad. &amp; SPV'!D20+('Simple Comparison'!$B$26-'Simple Comparison'!$B$11*(1))*('Simple Comparison'!$B$4*(1+'Simple Comparison'!$B$5*$C$2))*'PV Degrad. &amp; SPV'!D20)</f>
        <v>430.74240298518868</v>
      </c>
      <c r="Q23" s="18">
        <f>E23*'PV Degrad. &amp; SPV'!D20</f>
        <v>0</v>
      </c>
      <c r="R23" s="18">
        <f t="shared" si="3"/>
        <v>430.74240298518868</v>
      </c>
      <c r="S23" s="18">
        <f t="shared" si="10"/>
        <v>41918.052757424375</v>
      </c>
      <c r="T23" s="18">
        <f>SUM($O$5:O23)</f>
        <v>27765.279008003847</v>
      </c>
      <c r="U23" s="1" t="str">
        <f t="shared" si="11"/>
        <v>Yes</v>
      </c>
      <c r="V23" s="1">
        <f>'Simple Comparison'!$B$31*(('Simple Comparison'!$B$27-N23)/'Simple Comparison'!$B$27)*'PV Degrad. &amp; SPV'!D20</f>
        <v>1991.5815017296202</v>
      </c>
      <c r="W23" s="18">
        <f t="shared" si="4"/>
        <v>16144.355251150149</v>
      </c>
      <c r="X23" s="19">
        <f t="shared" si="5"/>
        <v>19</v>
      </c>
    </row>
    <row r="24" spans="1:24" x14ac:dyDescent="0.25">
      <c r="A24">
        <f t="shared" si="12"/>
        <v>2039</v>
      </c>
      <c r="B24" s="19">
        <f t="shared" si="6"/>
        <v>20</v>
      </c>
      <c r="C24" s="10">
        <v>0</v>
      </c>
      <c r="D24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4" s="18">
        <f>'Simple Comparison'!$B$18*'PV Degrad. &amp; SPV'!C21*$C$2*(1-'Simple Comparison'!$B$13)</f>
        <v>0</v>
      </c>
      <c r="F24" s="18">
        <f t="shared" si="0"/>
        <v>1303.2540000000001</v>
      </c>
      <c r="G24" s="18">
        <f t="shared" si="7"/>
        <v>62851.96380917848</v>
      </c>
      <c r="H24" s="18">
        <f>SUM($C$5:C24)</f>
        <v>39741.120000000017</v>
      </c>
      <c r="I24" s="1" t="str">
        <f t="shared" si="8"/>
        <v>Yes</v>
      </c>
      <c r="J24" s="1">
        <f>'Simple Comparison'!$B$31*('Simple Comparison'!$B$27-B24)/'Simple Comparison'!$B$27</f>
        <v>5021.4399999999996</v>
      </c>
      <c r="K24" s="18">
        <f t="shared" si="1"/>
        <v>28132.283809178462</v>
      </c>
      <c r="L24" s="19">
        <f t="shared" si="2"/>
        <v>20</v>
      </c>
      <c r="N24" s="19">
        <f t="shared" si="9"/>
        <v>20</v>
      </c>
      <c r="O24" s="10">
        <v>0</v>
      </c>
      <c r="P24" s="18">
        <f>IF('Simple Comparison'!$B$26&lt;'Simple Comparison'!$B$11,('Simple Comparison'!$B$26*(1))*('Simple Comparison'!$B$3*(1+'Simple Comparison'!$B$5*$C$2))*'PV Degrad. &amp; SPV'!D21,('Simple Comparison'!$B$11*(1))*('Simple Comparison'!$B$3*(1+'Simple Comparison'!$B$5*$C$2))*'PV Degrad. &amp; SPV'!D21+('Simple Comparison'!$B$26-'Simple Comparison'!$B$11*(1))*('Simple Comparison'!$B$4*(1+'Simple Comparison'!$B$5*$C$2))*'PV Degrad. &amp; SPV'!D21)</f>
        <v>406.36075753319693</v>
      </c>
      <c r="Q24" s="18">
        <f>E24*'PV Degrad. &amp; SPV'!D21</f>
        <v>0</v>
      </c>
      <c r="R24" s="18">
        <f t="shared" si="3"/>
        <v>406.36075753319693</v>
      </c>
      <c r="S24" s="18">
        <f t="shared" si="10"/>
        <v>42324.413514957574</v>
      </c>
      <c r="T24" s="18">
        <f>SUM($O$5:O24)</f>
        <v>27765.279008003847</v>
      </c>
      <c r="U24" s="1" t="str">
        <f t="shared" si="11"/>
        <v>Yes</v>
      </c>
      <c r="V24" s="1">
        <f>'Simple Comparison'!$B$31*(('Simple Comparison'!$B$27-N24)/'Simple Comparison'!$B$27)*'PV Degrad. &amp; SPV'!D21</f>
        <v>1565.708727774859</v>
      </c>
      <c r="W24" s="18">
        <f t="shared" si="4"/>
        <v>16124.843234728587</v>
      </c>
      <c r="X24" s="19">
        <f t="shared" si="5"/>
        <v>20</v>
      </c>
    </row>
    <row r="25" spans="1:24" x14ac:dyDescent="0.25">
      <c r="A25">
        <f t="shared" si="12"/>
        <v>2040</v>
      </c>
      <c r="B25" s="19">
        <f t="shared" si="6"/>
        <v>21</v>
      </c>
      <c r="C25" s="10">
        <v>0</v>
      </c>
      <c r="D25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5" s="18">
        <f>'Simple Comparison'!$B$18*'PV Degrad. &amp; SPV'!C22*$C$2*(1-'Simple Comparison'!$B$13)</f>
        <v>0</v>
      </c>
      <c r="F25" s="18">
        <f t="shared" si="0"/>
        <v>1303.2540000000001</v>
      </c>
      <c r="G25" s="18">
        <f t="shared" si="7"/>
        <v>64155.217809178481</v>
      </c>
      <c r="H25" s="18">
        <f>SUM($C$5:C25)</f>
        <v>39741.120000000017</v>
      </c>
      <c r="I25" s="1" t="str">
        <f t="shared" si="8"/>
        <v>Yes</v>
      </c>
      <c r="J25" s="1">
        <f>'Simple Comparison'!$B$31*('Simple Comparison'!$B$27-B25)/'Simple Comparison'!$B$27</f>
        <v>4017.1519999999996</v>
      </c>
      <c r="K25" s="18">
        <f t="shared" si="1"/>
        <v>28431.249809178462</v>
      </c>
      <c r="L25" s="19">
        <f t="shared" si="2"/>
        <v>21</v>
      </c>
      <c r="N25" s="19">
        <f t="shared" si="9"/>
        <v>21</v>
      </c>
      <c r="O25" s="10">
        <v>0</v>
      </c>
      <c r="P25" s="18">
        <f>IF('Simple Comparison'!$B$26&lt;'Simple Comparison'!$B$11,('Simple Comparison'!$B$26*(1))*('Simple Comparison'!$B$3*(1+'Simple Comparison'!$B$5*$C$2))*'PV Degrad. &amp; SPV'!D22,('Simple Comparison'!$B$11*(1))*('Simple Comparison'!$B$3*(1+'Simple Comparison'!$B$5*$C$2))*'PV Degrad. &amp; SPV'!D22+('Simple Comparison'!$B$26-'Simple Comparison'!$B$11*(1))*('Simple Comparison'!$B$4*(1+'Simple Comparison'!$B$5*$C$2))*'PV Degrad. &amp; SPV'!D22)</f>
        <v>383.35920521999697</v>
      </c>
      <c r="Q25" s="18">
        <f>E25*'PV Degrad. &amp; SPV'!D22</f>
        <v>0</v>
      </c>
      <c r="R25" s="18">
        <f t="shared" si="3"/>
        <v>383.35920521999697</v>
      </c>
      <c r="S25" s="18">
        <f t="shared" si="10"/>
        <v>42707.772720177571</v>
      </c>
      <c r="T25" s="18">
        <f>SUM($O$5:O25)</f>
        <v>27765.279008003847</v>
      </c>
      <c r="U25" s="1" t="str">
        <f t="shared" si="11"/>
        <v>Yes</v>
      </c>
      <c r="V25" s="1">
        <f>'Simple Comparison'!$B$31*(('Simple Comparison'!$B$27-N25)/'Simple Comparison'!$B$27)*'PV Degrad. &amp; SPV'!D22</f>
        <v>1181.6669643583839</v>
      </c>
      <c r="W25" s="18">
        <f t="shared" si="4"/>
        <v>16124.160676532108</v>
      </c>
      <c r="X25" s="19">
        <f t="shared" si="5"/>
        <v>21</v>
      </c>
    </row>
    <row r="26" spans="1:24" x14ac:dyDescent="0.25">
      <c r="A26">
        <f t="shared" si="12"/>
        <v>2041</v>
      </c>
      <c r="B26" s="19">
        <f t="shared" si="6"/>
        <v>22</v>
      </c>
      <c r="C26" s="10">
        <v>0</v>
      </c>
      <c r="D26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6" s="18">
        <f>'Simple Comparison'!$B$18*'PV Degrad. &amp; SPV'!C23*$C$2*(1-'Simple Comparison'!$B$13)</f>
        <v>0</v>
      </c>
      <c r="F26" s="18">
        <f t="shared" si="0"/>
        <v>1303.2540000000001</v>
      </c>
      <c r="G26" s="18">
        <f t="shared" si="7"/>
        <v>65458.471809178482</v>
      </c>
      <c r="H26" s="18">
        <f>SUM($C$5:C26)</f>
        <v>39741.120000000017</v>
      </c>
      <c r="I26" s="1" t="str">
        <f t="shared" si="8"/>
        <v>Yes</v>
      </c>
      <c r="J26" s="1">
        <f>'Simple Comparison'!$B$31*('Simple Comparison'!$B$27-B26)/'Simple Comparison'!$B$27</f>
        <v>3012.8639999999996</v>
      </c>
      <c r="K26" s="18">
        <f t="shared" si="1"/>
        <v>28730.215809178466</v>
      </c>
      <c r="L26" s="19">
        <f t="shared" si="2"/>
        <v>22</v>
      </c>
      <c r="N26" s="19">
        <f t="shared" si="9"/>
        <v>22</v>
      </c>
      <c r="O26" s="10">
        <v>0</v>
      </c>
      <c r="P26" s="18">
        <f>IF('Simple Comparison'!$B$26&lt;'Simple Comparison'!$B$11,('Simple Comparison'!$B$26*(1))*('Simple Comparison'!$B$3*(1+'Simple Comparison'!$B$5*$C$2))*'PV Degrad. &amp; SPV'!D23,('Simple Comparison'!$B$11*(1))*('Simple Comparison'!$B$3*(1+'Simple Comparison'!$B$5*$C$2))*'PV Degrad. &amp; SPV'!D23+('Simple Comparison'!$B$26-'Simple Comparison'!$B$11*(1))*('Simple Comparison'!$B$4*(1+'Simple Comparison'!$B$5*$C$2))*'PV Degrad. &amp; SPV'!D23)</f>
        <v>361.65962756603489</v>
      </c>
      <c r="Q26" s="18">
        <f>E26*'PV Degrad. &amp; SPV'!D23</f>
        <v>0</v>
      </c>
      <c r="R26" s="18">
        <f t="shared" si="3"/>
        <v>361.65962756603489</v>
      </c>
      <c r="S26" s="18">
        <f t="shared" si="10"/>
        <v>43069.432347743605</v>
      </c>
      <c r="T26" s="18">
        <f>SUM($O$5:O26)</f>
        <v>27765.279008003847</v>
      </c>
      <c r="U26" s="1" t="str">
        <f t="shared" si="11"/>
        <v>Yes</v>
      </c>
      <c r="V26" s="1">
        <f>'Simple Comparison'!$B$31*(('Simple Comparison'!$B$27-N26)/'Simple Comparison'!$B$27)*'PV Degrad. &amp; SPV'!D23</f>
        <v>836.08511629130919</v>
      </c>
      <c r="W26" s="18">
        <f t="shared" si="4"/>
        <v>16140.238456031067</v>
      </c>
      <c r="X26" s="19">
        <f t="shared" si="5"/>
        <v>22</v>
      </c>
    </row>
    <row r="27" spans="1:24" x14ac:dyDescent="0.25">
      <c r="A27">
        <f t="shared" si="12"/>
        <v>2042</v>
      </c>
      <c r="B27" s="19">
        <f t="shared" si="6"/>
        <v>23</v>
      </c>
      <c r="C27" s="10">
        <v>0</v>
      </c>
      <c r="D27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7" s="18">
        <f>'Simple Comparison'!$B$18*'PV Degrad. &amp; SPV'!C24*$C$2*(1-'Simple Comparison'!$B$13)</f>
        <v>0</v>
      </c>
      <c r="F27" s="18">
        <f t="shared" si="0"/>
        <v>1303.2540000000001</v>
      </c>
      <c r="G27" s="18">
        <f t="shared" si="7"/>
        <v>66761.725809178475</v>
      </c>
      <c r="H27" s="18">
        <f>SUM($C$5:C27)</f>
        <v>39741.120000000017</v>
      </c>
      <c r="I27" s="1" t="str">
        <f t="shared" si="8"/>
        <v>Yes</v>
      </c>
      <c r="J27" s="1">
        <f>'Simple Comparison'!$B$31*('Simple Comparison'!$B$27-B27)/'Simple Comparison'!$B$27</f>
        <v>2008.5759999999998</v>
      </c>
      <c r="K27" s="18">
        <f>G27-H27+J27</f>
        <v>29029.181809178459</v>
      </c>
      <c r="L27" s="19">
        <f t="shared" si="2"/>
        <v>23</v>
      </c>
      <c r="N27" s="19">
        <f t="shared" si="9"/>
        <v>23</v>
      </c>
      <c r="O27" s="10">
        <v>0</v>
      </c>
      <c r="P27" s="18">
        <f>IF('Simple Comparison'!$B$26&lt;'Simple Comparison'!$B$11,('Simple Comparison'!$B$26*(1))*('Simple Comparison'!$B$3*(1+'Simple Comparison'!$B$5*$C$2))*'PV Degrad. &amp; SPV'!D24,('Simple Comparison'!$B$11*(1))*('Simple Comparison'!$B$3*(1+'Simple Comparison'!$B$5*$C$2))*'PV Degrad. &amp; SPV'!D24+('Simple Comparison'!$B$26-'Simple Comparison'!$B$11*(1))*('Simple Comparison'!$B$4*(1+'Simple Comparison'!$B$5*$C$2))*'PV Degrad. &amp; SPV'!D24)</f>
        <v>341.18832789248574</v>
      </c>
      <c r="Q27" s="18">
        <f>E27*'PV Degrad. &amp; SPV'!D24</f>
        <v>0</v>
      </c>
      <c r="R27" s="18">
        <f t="shared" si="3"/>
        <v>341.18832789248574</v>
      </c>
      <c r="S27" s="18">
        <f t="shared" si="10"/>
        <v>43410.620675636092</v>
      </c>
      <c r="T27" s="18">
        <f>SUM($O$5:O27)</f>
        <v>27765.279008003847</v>
      </c>
      <c r="U27" s="1" t="str">
        <f t="shared" si="11"/>
        <v>Yes</v>
      </c>
      <c r="V27" s="1">
        <f>'Simple Comparison'!$B$31*(('Simple Comparison'!$B$27-N27)/'Simple Comparison'!$B$27)*'PV Degrad. &amp; SPV'!D24</f>
        <v>525.83969578069764</v>
      </c>
      <c r="W27" s="18">
        <f t="shared" si="4"/>
        <v>16171.181363412943</v>
      </c>
      <c r="X27" s="19">
        <f t="shared" si="5"/>
        <v>23</v>
      </c>
    </row>
    <row r="28" spans="1:24" x14ac:dyDescent="0.25">
      <c r="A28">
        <f t="shared" si="12"/>
        <v>2043</v>
      </c>
      <c r="B28" s="19">
        <f t="shared" si="6"/>
        <v>24</v>
      </c>
      <c r="C28" s="10">
        <v>0</v>
      </c>
      <c r="D28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8" s="18">
        <f>'Simple Comparison'!$B$18*'PV Degrad. &amp; SPV'!C25*$C$2*(1-'Simple Comparison'!$B$13)</f>
        <v>0</v>
      </c>
      <c r="F28" s="18">
        <f t="shared" si="0"/>
        <v>1303.2540000000001</v>
      </c>
      <c r="G28" s="18">
        <f t="shared" si="7"/>
        <v>68064.979809178476</v>
      </c>
      <c r="H28" s="18">
        <f>SUM($C$5:C28)</f>
        <v>39741.120000000017</v>
      </c>
      <c r="I28" s="1" t="str">
        <f t="shared" si="8"/>
        <v>Yes</v>
      </c>
      <c r="J28" s="1">
        <f>'Simple Comparison'!$B$31*('Simple Comparison'!$B$27-B28)/'Simple Comparison'!$B$27</f>
        <v>1004.2879999999999</v>
      </c>
      <c r="K28" s="18">
        <f t="shared" ref="K28:K29" si="13">G28-H28+J28</f>
        <v>29328.147809178459</v>
      </c>
      <c r="L28" s="19">
        <f t="shared" si="2"/>
        <v>24</v>
      </c>
      <c r="N28" s="19">
        <f t="shared" si="9"/>
        <v>24</v>
      </c>
      <c r="O28" s="10">
        <v>0</v>
      </c>
      <c r="P28" s="18">
        <f>IF('Simple Comparison'!$B$26&lt;'Simple Comparison'!$B$11,('Simple Comparison'!$B$26*(1))*('Simple Comparison'!$B$3*(1+'Simple Comparison'!$B$5*$C$2))*'PV Degrad. &amp; SPV'!D25,('Simple Comparison'!$B$11*(1))*('Simple Comparison'!$B$3*(1+'Simple Comparison'!$B$5*$C$2))*'PV Degrad. &amp; SPV'!D25+('Simple Comparison'!$B$26-'Simple Comparison'!$B$11*(1))*('Simple Comparison'!$B$4*(1+'Simple Comparison'!$B$5*$C$2))*'PV Degrad. &amp; SPV'!D25)</f>
        <v>321.87578103064692</v>
      </c>
      <c r="Q28" s="18">
        <f>E28*'PV Degrad. &amp; SPV'!D25</f>
        <v>0</v>
      </c>
      <c r="R28" s="18">
        <f t="shared" si="3"/>
        <v>321.87578103064692</v>
      </c>
      <c r="S28" s="18">
        <f t="shared" si="10"/>
        <v>43732.49645666674</v>
      </c>
      <c r="T28" s="18">
        <f>SUM($O$5:O28)</f>
        <v>27765.279008003847</v>
      </c>
      <c r="U28" s="1" t="str">
        <f t="shared" si="11"/>
        <v>Yes</v>
      </c>
      <c r="V28" s="1">
        <f>'Simple Comparison'!$B$31*(('Simple Comparison'!$B$27-N28)/'Simple Comparison'!$B$27)*'PV Degrad. &amp; SPV'!D25</f>
        <v>248.03759234938568</v>
      </c>
      <c r="W28" s="18">
        <f t="shared" si="4"/>
        <v>16215.255041012279</v>
      </c>
      <c r="X28" s="19">
        <f t="shared" si="5"/>
        <v>24</v>
      </c>
    </row>
    <row r="29" spans="1:24" x14ac:dyDescent="0.25">
      <c r="A29">
        <f t="shared" si="12"/>
        <v>2044</v>
      </c>
      <c r="B29" s="19">
        <f t="shared" si="6"/>
        <v>25</v>
      </c>
      <c r="C29" s="10">
        <v>0</v>
      </c>
      <c r="D29" s="18">
        <f>IF('Simple Comparison'!$B$26&lt;'Simple Comparison'!$B$11,('Simple Comparison'!$B$26*(1))*('Simple Comparison'!$B$3*(1+'Simple Comparison'!$B$5*$C$2)),('Simple Comparison'!$B$11*(1))*('Simple Comparison'!$B$3*(1+'Simple Comparison'!$B$5*$C$2))+('Simple Comparison'!$B$26-'Simple Comparison'!$B$11*(1))*('Simple Comparison'!$B$4*(1+'Simple Comparison'!$B$5*$C$2)))</f>
        <v>1303.2540000000001</v>
      </c>
      <c r="E29" s="18">
        <f>'Simple Comparison'!$B$18*'PV Degrad. &amp; SPV'!C26*$C$2*(1-'Simple Comparison'!$B$13)</f>
        <v>0</v>
      </c>
      <c r="F29" s="18">
        <f t="shared" si="0"/>
        <v>1303.2540000000001</v>
      </c>
      <c r="G29" s="18">
        <f t="shared" si="7"/>
        <v>69368.233809178477</v>
      </c>
      <c r="H29" s="18">
        <f>SUM($C$5:C29)</f>
        <v>39741.120000000017</v>
      </c>
      <c r="I29" s="1" t="str">
        <f t="shared" si="8"/>
        <v>Yes</v>
      </c>
      <c r="J29" s="1">
        <f>'Simple Comparison'!$B$31*('Simple Comparison'!$B$27-B29)/'Simple Comparison'!$B$27</f>
        <v>0</v>
      </c>
      <c r="K29" s="18">
        <f t="shared" si="13"/>
        <v>29627.11380917846</v>
      </c>
      <c r="L29" s="19">
        <f t="shared" si="2"/>
        <v>25</v>
      </c>
      <c r="N29" s="19">
        <f t="shared" si="9"/>
        <v>25</v>
      </c>
      <c r="O29" s="10">
        <v>0</v>
      </c>
      <c r="P29" s="18">
        <f>IF('Simple Comparison'!$B$26&lt;'Simple Comparison'!$B$11,('Simple Comparison'!$B$26*(1))*('Simple Comparison'!$B$3*(1+'Simple Comparison'!$B$5*$C$2))*'PV Degrad. &amp; SPV'!D26,('Simple Comparison'!$B$11*(1))*('Simple Comparison'!$B$3*(1+'Simple Comparison'!$B$5*$C$2))*'PV Degrad. &amp; SPV'!D26+('Simple Comparison'!$B$26-'Simple Comparison'!$B$11*(1))*('Simple Comparison'!$B$4*(1+'Simple Comparison'!$B$5*$C$2))*'PV Degrad. &amp; SPV'!D26)</f>
        <v>303.65639719872354</v>
      </c>
      <c r="Q29" s="18">
        <f>E29*'PV Degrad. &amp; SPV'!D26</f>
        <v>0</v>
      </c>
      <c r="R29" s="18">
        <f t="shared" si="3"/>
        <v>303.65639719872354</v>
      </c>
      <c r="S29" s="18">
        <f t="shared" si="10"/>
        <v>44036.152853865467</v>
      </c>
      <c r="T29" s="18">
        <f>SUM($O$5:O29)</f>
        <v>27765.279008003847</v>
      </c>
      <c r="U29" s="1" t="str">
        <f t="shared" si="11"/>
        <v>Yes</v>
      </c>
      <c r="V29" s="1">
        <f>'Simple Comparison'!$B$31*(('Simple Comparison'!$B$27-N29)/'Simple Comparison'!$B$27)*'PV Degrad. &amp; SPV'!D26</f>
        <v>0</v>
      </c>
      <c r="W29" s="18">
        <f>S29-T29+V29</f>
        <v>16270.873845861621</v>
      </c>
      <c r="X29" s="19">
        <f t="shared" si="5"/>
        <v>25</v>
      </c>
    </row>
    <row r="30" spans="1:24" x14ac:dyDescent="0.25">
      <c r="B30" s="19"/>
      <c r="P30" s="18">
        <f>SUM(P5:P29)</f>
        <v>16659.960046687924</v>
      </c>
      <c r="Q30" s="18">
        <f>SUM(Q5:Q29)</f>
        <v>27376.192807177536</v>
      </c>
      <c r="S30" s="18">
        <f>P30+Q30</f>
        <v>44036.15285386546</v>
      </c>
    </row>
    <row r="31" spans="1:24" x14ac:dyDescent="0.25">
      <c r="S31" s="18">
        <f>S30-O5</f>
        <v>40911.850967073005</v>
      </c>
      <c r="T31" s="18">
        <f>S31+19459</f>
        <v>60370.850967073005</v>
      </c>
    </row>
    <row r="32" spans="1:24" x14ac:dyDescent="0.25">
      <c r="O32" s="10">
        <f>SUM(O5:O29)+3704-(37044*0.26)</f>
        <v>21837.839008003844</v>
      </c>
      <c r="S32">
        <f>S30/O5</f>
        <v>14.094717619965634</v>
      </c>
    </row>
    <row r="33" spans="8:19" x14ac:dyDescent="0.25">
      <c r="H33">
        <f>56198.84/25107</f>
        <v>2.2383733620105946</v>
      </c>
      <c r="S33" s="73">
        <f>(1+'Simple Comparison'!B10)*('Cash Flow - Purchase Cash'!S32)^(1/'Cash Flow - Purchase Cash'!$N$29)-1</f>
        <v>8.4092422414321577E-2</v>
      </c>
    </row>
    <row r="34" spans="8:19" x14ac:dyDescent="0.25">
      <c r="H34">
        <f>(1+0.06)*(H33)^(1/25)-1</f>
        <v>9.4720287137220804E-2</v>
      </c>
      <c r="O34" s="10">
        <f>O32-P30-Q30</f>
        <v>-22198.313845861616</v>
      </c>
      <c r="Q34" s="18">
        <f>P30+Q30</f>
        <v>44036.15285386546</v>
      </c>
    </row>
    <row r="36" spans="8:19" x14ac:dyDescent="0.25">
      <c r="O36" s="2">
        <f>O34-19458.84</f>
        <v>-41657.153845861612</v>
      </c>
      <c r="Q36" s="41">
        <f>-O36/31469</f>
        <v>1.3237520685710258</v>
      </c>
    </row>
    <row r="37" spans="8:19" x14ac:dyDescent="0.25">
      <c r="Q37">
        <f>(1+0.06)*(Q36)^(1/25)-1</f>
        <v>7.1958892481569281E-2</v>
      </c>
    </row>
  </sheetData>
  <conditionalFormatting sqref="I5:I29">
    <cfRule type="containsText" dxfId="1" priority="3" operator="containsText" text="Yes">
      <formula>NOT(ISERROR(SEARCH("Yes",I5)))</formula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U29">
    <cfRule type="containsText" dxfId="0" priority="1" operator="containsText" text="Yes">
      <formula>NOT(ISERROR(SEARCH("Yes",U5)))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>
      <selection activeCell="D2" sqref="D2"/>
    </sheetView>
  </sheetViews>
  <sheetFormatPr defaultRowHeight="15" x14ac:dyDescent="0.25"/>
  <cols>
    <col min="1" max="1" width="6.42578125" bestFit="1" customWidth="1"/>
    <col min="2" max="2" width="11.5703125" bestFit="1" customWidth="1"/>
    <col min="3" max="3" width="6.140625" bestFit="1" customWidth="1"/>
    <col min="4" max="4" width="4.5703125" bestFit="1" customWidth="1"/>
    <col min="6" max="6" width="12.5703125" bestFit="1" customWidth="1"/>
    <col min="8" max="8" width="5.5703125" bestFit="1" customWidth="1"/>
    <col min="9" max="9" width="6.140625" bestFit="1" customWidth="1"/>
  </cols>
  <sheetData>
    <row r="1" spans="1:19" x14ac:dyDescent="0.25">
      <c r="A1" s="11" t="s">
        <v>0</v>
      </c>
      <c r="B1" s="9" t="s">
        <v>40</v>
      </c>
      <c r="C1" s="9" t="s">
        <v>52</v>
      </c>
      <c r="D1" s="9" t="s">
        <v>1</v>
      </c>
      <c r="F1" s="9" t="s">
        <v>55</v>
      </c>
      <c r="G1" s="9" t="s">
        <v>54</v>
      </c>
      <c r="H1" s="9" t="s">
        <v>53</v>
      </c>
      <c r="I1" s="9" t="s">
        <v>52</v>
      </c>
    </row>
    <row r="2" spans="1:19" x14ac:dyDescent="0.25">
      <c r="A2" s="19">
        <v>1</v>
      </c>
      <c r="B2" s="15">
        <v>1</v>
      </c>
      <c r="C2" s="8">
        <f>I2</f>
        <v>10.3</v>
      </c>
      <c r="D2" s="7">
        <f>1/(1+'Simple Comparison'!$B$10)^'Cash Flow - Purchase Cash'!N5</f>
        <v>0.94339622641509424</v>
      </c>
      <c r="F2" s="41">
        <f>'Simple Comparison'!$B$26*B2/1000</f>
        <v>10.3</v>
      </c>
      <c r="G2" s="41">
        <v>0</v>
      </c>
      <c r="H2" s="41">
        <f>F2+G2</f>
        <v>10.3</v>
      </c>
      <c r="I2" s="41">
        <f>H2</f>
        <v>10.3</v>
      </c>
      <c r="K2">
        <f>F2*1000</f>
        <v>10300</v>
      </c>
      <c r="N2">
        <f>F2*1000-10000</f>
        <v>300</v>
      </c>
      <c r="R2">
        <f>K2-10000</f>
        <v>300</v>
      </c>
    </row>
    <row r="3" spans="1:19" x14ac:dyDescent="0.25">
      <c r="A3" s="19">
        <f t="shared" ref="A3:A26" si="0">A2+1</f>
        <v>2</v>
      </c>
      <c r="B3" s="15">
        <f>B2*0.995</f>
        <v>0.995</v>
      </c>
      <c r="C3" s="8">
        <f t="shared" ref="C3:C11" si="1">I3</f>
        <v>10.2485</v>
      </c>
      <c r="D3" s="7">
        <f>1/(1+'Simple Comparison'!$B$10)^'Cash Flow - Purchase Cash'!N6</f>
        <v>0.88999644001423983</v>
      </c>
      <c r="F3" s="41">
        <f>'Simple Comparison'!$B$26*B3/1000</f>
        <v>10.2485</v>
      </c>
      <c r="G3" s="41">
        <f>H2-I2</f>
        <v>0</v>
      </c>
      <c r="H3" s="41">
        <f t="shared" ref="H3:H11" si="2">F3+G3</f>
        <v>10.2485</v>
      </c>
      <c r="I3" s="41">
        <f t="shared" ref="I3:I26" si="3">H3</f>
        <v>10.2485</v>
      </c>
      <c r="J3" s="4">
        <f>I3/I2-1</f>
        <v>-5.0000000000001155E-3</v>
      </c>
      <c r="K3">
        <f t="shared" ref="K3:K26" si="4">F3*1000</f>
        <v>10248.5</v>
      </c>
      <c r="L3">
        <f>K3/$K$2</f>
        <v>0.995</v>
      </c>
      <c r="M3" s="70">
        <f>K3/K2</f>
        <v>0.995</v>
      </c>
      <c r="N3">
        <f t="shared" ref="N3:N7" si="5">F3*1000-10000</f>
        <v>248.5</v>
      </c>
      <c r="O3" s="69">
        <f>N3/N2-1</f>
        <v>-0.17166666666666663</v>
      </c>
      <c r="P3" s="69">
        <f>N3/$N$2</f>
        <v>0.82833333333333337</v>
      </c>
      <c r="R3">
        <f t="shared" ref="R3:R7" si="6">K3-10000</f>
        <v>248.5</v>
      </c>
    </row>
    <row r="4" spans="1:19" x14ac:dyDescent="0.25">
      <c r="A4" s="19">
        <f t="shared" si="0"/>
        <v>3</v>
      </c>
      <c r="B4" s="15">
        <f t="shared" ref="B4:B26" si="7">B3*0.995</f>
        <v>0.99002500000000004</v>
      </c>
      <c r="C4" s="8">
        <f t="shared" si="1"/>
        <v>10.197257499999999</v>
      </c>
      <c r="D4" s="7">
        <f>1/(1+'Simple Comparison'!$B$10)^'Cash Flow - Purchase Cash'!N7</f>
        <v>0.8396192830323016</v>
      </c>
      <c r="F4" s="41">
        <f>'Simple Comparison'!$B$26*B4/1000</f>
        <v>10.197257499999999</v>
      </c>
      <c r="G4" s="41">
        <f t="shared" ref="G4:G11" si="8">H3-I3</f>
        <v>0</v>
      </c>
      <c r="H4" s="41">
        <f t="shared" si="2"/>
        <v>10.197257499999999</v>
      </c>
      <c r="I4" s="41">
        <f t="shared" si="3"/>
        <v>10.197257499999999</v>
      </c>
      <c r="J4" s="4">
        <f t="shared" ref="J4:J26" si="9">I4/I3-1</f>
        <v>-5.0000000000001155E-3</v>
      </c>
      <c r="K4">
        <f t="shared" si="4"/>
        <v>10197.2575</v>
      </c>
      <c r="L4">
        <f t="shared" ref="L4:L26" si="10">K4/$K$2</f>
        <v>0.99002499999999993</v>
      </c>
      <c r="M4" s="70">
        <f t="shared" ref="M4:M26" si="11">K4/K3</f>
        <v>0.995</v>
      </c>
      <c r="N4">
        <f t="shared" si="5"/>
        <v>197.25749999999971</v>
      </c>
      <c r="O4" s="69">
        <f t="shared" ref="O4:O7" si="12">N4/N3-1</f>
        <v>-0.2062072434607658</v>
      </c>
      <c r="P4" s="69">
        <f>N4/$N$2</f>
        <v>0.65752499999999903</v>
      </c>
      <c r="R4">
        <f t="shared" si="6"/>
        <v>197.25749999999971</v>
      </c>
    </row>
    <row r="5" spans="1:19" x14ac:dyDescent="0.25">
      <c r="A5" s="19">
        <f t="shared" si="0"/>
        <v>4</v>
      </c>
      <c r="B5" s="15">
        <f t="shared" si="7"/>
        <v>0.98507487500000002</v>
      </c>
      <c r="C5" s="8">
        <f t="shared" si="1"/>
        <v>10.1462712125</v>
      </c>
      <c r="D5" s="7">
        <f>1/(1+'Simple Comparison'!$B$10)^'Cash Flow - Purchase Cash'!N8</f>
        <v>0.79209366323802044</v>
      </c>
      <c r="F5" s="41">
        <f>'Simple Comparison'!$B$26*B5/1000</f>
        <v>10.1462712125</v>
      </c>
      <c r="G5" s="41">
        <f t="shared" si="8"/>
        <v>0</v>
      </c>
      <c r="H5" s="41">
        <f t="shared" si="2"/>
        <v>10.1462712125</v>
      </c>
      <c r="I5" s="41">
        <f t="shared" si="3"/>
        <v>10.1462712125</v>
      </c>
      <c r="J5" s="4">
        <f t="shared" si="9"/>
        <v>-4.9999999999998934E-3</v>
      </c>
      <c r="K5">
        <f t="shared" si="4"/>
        <v>10146.2712125</v>
      </c>
      <c r="L5">
        <f t="shared" si="10"/>
        <v>0.98507487500000002</v>
      </c>
      <c r="M5" s="70">
        <f t="shared" si="11"/>
        <v>0.995</v>
      </c>
      <c r="N5">
        <f t="shared" si="5"/>
        <v>146.27121249999982</v>
      </c>
      <c r="O5" s="69">
        <f t="shared" si="12"/>
        <v>-0.25847578672547289</v>
      </c>
      <c r="P5" s="69">
        <f>N5/$N$2</f>
        <v>0.48757070833333271</v>
      </c>
      <c r="R5">
        <f t="shared" si="6"/>
        <v>146.27121249999982</v>
      </c>
    </row>
    <row r="6" spans="1:19" x14ac:dyDescent="0.25">
      <c r="A6" s="19">
        <f t="shared" si="0"/>
        <v>5</v>
      </c>
      <c r="B6" s="15">
        <f t="shared" si="7"/>
        <v>0.98014950062500006</v>
      </c>
      <c r="C6" s="8">
        <f t="shared" si="1"/>
        <v>10.095539856437501</v>
      </c>
      <c r="D6" s="7">
        <f>1/(1+'Simple Comparison'!$B$10)^'Cash Flow - Purchase Cash'!N9</f>
        <v>0.74725817286605689</v>
      </c>
      <c r="F6" s="41">
        <f>'Simple Comparison'!$B$26*B6/1000</f>
        <v>10.095539856437501</v>
      </c>
      <c r="G6" s="41">
        <f t="shared" si="8"/>
        <v>0</v>
      </c>
      <c r="H6" s="41">
        <f t="shared" si="2"/>
        <v>10.095539856437501</v>
      </c>
      <c r="I6" s="41">
        <f t="shared" si="3"/>
        <v>10.095539856437501</v>
      </c>
      <c r="J6" s="4">
        <f t="shared" si="9"/>
        <v>-4.9999999999998934E-3</v>
      </c>
      <c r="K6">
        <f t="shared" si="4"/>
        <v>10095.539856437501</v>
      </c>
      <c r="L6">
        <f t="shared" si="10"/>
        <v>0.98014950062500006</v>
      </c>
      <c r="M6" s="70">
        <f t="shared" si="11"/>
        <v>0.99500000000000011</v>
      </c>
      <c r="N6">
        <f t="shared" si="5"/>
        <v>95.53985643750093</v>
      </c>
      <c r="O6" s="69">
        <f t="shared" si="12"/>
        <v>-0.34683076181171979</v>
      </c>
      <c r="P6" s="69">
        <f>N6/$N$2</f>
        <v>0.3184661881250031</v>
      </c>
      <c r="R6">
        <f t="shared" si="6"/>
        <v>95.53985643750093</v>
      </c>
    </row>
    <row r="7" spans="1:19" x14ac:dyDescent="0.25">
      <c r="A7" s="19">
        <f t="shared" si="0"/>
        <v>6</v>
      </c>
      <c r="B7" s="15">
        <f t="shared" si="7"/>
        <v>0.97524875312187509</v>
      </c>
      <c r="C7" s="8">
        <f t="shared" si="1"/>
        <v>10.045062157155312</v>
      </c>
      <c r="D7" s="7">
        <f>1/(1+'Simple Comparison'!$B$10)^'Cash Flow - Purchase Cash'!N10</f>
        <v>0.70496054043967626</v>
      </c>
      <c r="F7" s="41">
        <f>'Simple Comparison'!$B$26*B7/1000</f>
        <v>10.045062157155312</v>
      </c>
      <c r="G7" s="41">
        <f t="shared" si="8"/>
        <v>0</v>
      </c>
      <c r="H7" s="41">
        <f t="shared" si="2"/>
        <v>10.045062157155312</v>
      </c>
      <c r="I7" s="41">
        <f t="shared" si="3"/>
        <v>10.045062157155312</v>
      </c>
      <c r="J7" s="4">
        <f t="shared" si="9"/>
        <v>-5.0000000000001155E-3</v>
      </c>
      <c r="K7">
        <f t="shared" si="4"/>
        <v>10045.062157155313</v>
      </c>
      <c r="L7">
        <f t="shared" si="10"/>
        <v>0.97524875312187509</v>
      </c>
      <c r="M7" s="70">
        <f t="shared" si="11"/>
        <v>0.995</v>
      </c>
      <c r="N7">
        <f t="shared" si="5"/>
        <v>45.062157155312889</v>
      </c>
      <c r="O7" s="69">
        <f t="shared" si="12"/>
        <v>-0.52834179539728443</v>
      </c>
      <c r="P7" s="69">
        <f>N7/$N$2</f>
        <v>0.15020719051770962</v>
      </c>
      <c r="R7">
        <f t="shared" si="6"/>
        <v>45.062157155312889</v>
      </c>
    </row>
    <row r="8" spans="1:19" x14ac:dyDescent="0.25">
      <c r="A8" s="19">
        <f t="shared" si="0"/>
        <v>7</v>
      </c>
      <c r="B8" s="15">
        <f t="shared" si="7"/>
        <v>0.97037250935626573</v>
      </c>
      <c r="C8" s="8">
        <f t="shared" si="1"/>
        <v>9.9948368463695374</v>
      </c>
      <c r="D8" s="7">
        <f>1/(1+'Simple Comparison'!$B$10)^'Cash Flow - Purchase Cash'!N11</f>
        <v>0.66505711362233599</v>
      </c>
      <c r="F8" s="41">
        <f>'Simple Comparison'!$B$26*B8/1000</f>
        <v>9.9948368463695374</v>
      </c>
      <c r="G8" s="41">
        <f t="shared" si="8"/>
        <v>0</v>
      </c>
      <c r="H8" s="41">
        <f t="shared" si="2"/>
        <v>9.9948368463695374</v>
      </c>
      <c r="I8" s="41">
        <f t="shared" si="3"/>
        <v>9.9948368463695374</v>
      </c>
      <c r="J8" s="4">
        <f t="shared" si="9"/>
        <v>-4.9999999999998934E-3</v>
      </c>
      <c r="K8">
        <f t="shared" si="4"/>
        <v>9994.8368463695369</v>
      </c>
      <c r="L8">
        <f t="shared" si="10"/>
        <v>0.97037250935626573</v>
      </c>
      <c r="M8" s="70">
        <f t="shared" si="11"/>
        <v>0.99500000000000011</v>
      </c>
      <c r="N8">
        <f>10000-F8*1000</f>
        <v>5.1631536304630572</v>
      </c>
      <c r="O8" s="49"/>
      <c r="S8">
        <f>10000-K8</f>
        <v>5.1631536304630572</v>
      </c>
    </row>
    <row r="9" spans="1:19" x14ac:dyDescent="0.25">
      <c r="A9" s="19">
        <f t="shared" si="0"/>
        <v>8</v>
      </c>
      <c r="B9" s="15">
        <f t="shared" si="7"/>
        <v>0.96552064680948435</v>
      </c>
      <c r="C9" s="8">
        <f t="shared" si="1"/>
        <v>9.9448626621376874</v>
      </c>
      <c r="D9" s="7">
        <f>1/(1+'Simple Comparison'!$B$10)^'Cash Flow - Purchase Cash'!N12</f>
        <v>0.62741237134182648</v>
      </c>
      <c r="F9" s="41">
        <f>'Simple Comparison'!$B$26*B9/1000</f>
        <v>9.9448626621376874</v>
      </c>
      <c r="G9" s="41">
        <f t="shared" si="8"/>
        <v>0</v>
      </c>
      <c r="H9" s="41">
        <f t="shared" si="2"/>
        <v>9.9448626621376874</v>
      </c>
      <c r="I9" s="41">
        <f t="shared" si="3"/>
        <v>9.9448626621376874</v>
      </c>
      <c r="J9" s="4">
        <f t="shared" si="9"/>
        <v>-5.0000000000002265E-3</v>
      </c>
      <c r="K9">
        <f t="shared" si="4"/>
        <v>9944.8626621376879</v>
      </c>
      <c r="L9">
        <f t="shared" si="10"/>
        <v>0.96552064680948424</v>
      </c>
      <c r="M9" s="70">
        <f t="shared" si="11"/>
        <v>0.99499999999999988</v>
      </c>
      <c r="N9">
        <f t="shared" ref="N9:N26" si="13">10000-F9*1000</f>
        <v>55.137337862312052</v>
      </c>
      <c r="O9" s="69">
        <f>N9/N8-1</f>
        <v>9.6790039205877871</v>
      </c>
      <c r="P9" s="75">
        <f t="shared" ref="P9:P26" si="14">N9/$N$8-1</f>
        <v>9.6790039205877871</v>
      </c>
      <c r="S9">
        <f t="shared" ref="S9:S26" si="15">10000-K9</f>
        <v>55.137337862312052</v>
      </c>
    </row>
    <row r="10" spans="1:19" x14ac:dyDescent="0.25">
      <c r="A10" s="19">
        <f t="shared" si="0"/>
        <v>9</v>
      </c>
      <c r="B10" s="15">
        <f t="shared" si="7"/>
        <v>0.96069304357543694</v>
      </c>
      <c r="C10" s="8">
        <f t="shared" si="1"/>
        <v>9.8951383488270004</v>
      </c>
      <c r="D10" s="7">
        <f>1/(1+'Simple Comparison'!$B$10)^'Cash Flow - Purchase Cash'!N13</f>
        <v>0.59189846353002495</v>
      </c>
      <c r="F10" s="41">
        <f>'Simple Comparison'!$B$26*B10/1000</f>
        <v>9.8951383488270004</v>
      </c>
      <c r="G10" s="41">
        <f t="shared" si="8"/>
        <v>0</v>
      </c>
      <c r="H10" s="41">
        <f t="shared" si="2"/>
        <v>9.8951383488270004</v>
      </c>
      <c r="I10" s="41">
        <f t="shared" si="3"/>
        <v>9.8951383488270004</v>
      </c>
      <c r="J10" s="4">
        <f t="shared" si="9"/>
        <v>-4.9999999999998934E-3</v>
      </c>
      <c r="K10">
        <f t="shared" si="4"/>
        <v>9895.1383488270003</v>
      </c>
      <c r="L10">
        <f t="shared" si="10"/>
        <v>0.96069304357543694</v>
      </c>
      <c r="M10" s="70">
        <f t="shared" si="11"/>
        <v>0.99500000000000011</v>
      </c>
      <c r="N10">
        <f t="shared" si="13"/>
        <v>104.8616511729997</v>
      </c>
      <c r="O10" s="69">
        <f t="shared" ref="O10:O26" si="16">N10/N9-1</f>
        <v>0.90182651608712572</v>
      </c>
      <c r="P10" s="75">
        <f t="shared" si="14"/>
        <v>19.309612821572227</v>
      </c>
      <c r="S10">
        <f t="shared" si="15"/>
        <v>104.8616511729997</v>
      </c>
    </row>
    <row r="11" spans="1:19" x14ac:dyDescent="0.25">
      <c r="A11" s="19">
        <f t="shared" si="0"/>
        <v>10</v>
      </c>
      <c r="B11" s="15">
        <f t="shared" si="7"/>
        <v>0.95588957835755972</v>
      </c>
      <c r="C11" s="8">
        <f t="shared" si="1"/>
        <v>9.8456626570828654</v>
      </c>
      <c r="D11" s="7">
        <f>1/(1+'Simple Comparison'!$B$10)^'Cash Flow - Purchase Cash'!N14</f>
        <v>0.55839477691511785</v>
      </c>
      <c r="F11" s="41">
        <f>'Simple Comparison'!$B$26*B11/1000</f>
        <v>9.8456626570828654</v>
      </c>
      <c r="G11" s="41">
        <f t="shared" si="8"/>
        <v>0</v>
      </c>
      <c r="H11" s="41">
        <f t="shared" si="2"/>
        <v>9.8456626570828654</v>
      </c>
      <c r="I11" s="41">
        <f t="shared" si="3"/>
        <v>9.8456626570828654</v>
      </c>
      <c r="J11" s="4">
        <f t="shared" si="9"/>
        <v>-5.0000000000000044E-3</v>
      </c>
      <c r="K11">
        <f t="shared" si="4"/>
        <v>9845.6626570828648</v>
      </c>
      <c r="L11">
        <f t="shared" si="10"/>
        <v>0.95588957835755972</v>
      </c>
      <c r="M11" s="70">
        <f t="shared" si="11"/>
        <v>0.995</v>
      </c>
      <c r="N11">
        <f t="shared" si="13"/>
        <v>154.33734291713517</v>
      </c>
      <c r="O11" s="69">
        <f t="shared" si="16"/>
        <v>0.47181873631296312</v>
      </c>
      <c r="P11" s="75">
        <f t="shared" si="14"/>
        <v>28.892068678051992</v>
      </c>
      <c r="S11">
        <f t="shared" si="15"/>
        <v>154.33734291713517</v>
      </c>
    </row>
    <row r="12" spans="1:19" x14ac:dyDescent="0.25">
      <c r="A12" s="19">
        <f t="shared" si="0"/>
        <v>11</v>
      </c>
      <c r="B12" s="15">
        <f t="shared" si="7"/>
        <v>0.95111013046577186</v>
      </c>
      <c r="C12" s="8">
        <f t="shared" ref="C12:C16" si="17">I12</f>
        <v>9.7964343437974488</v>
      </c>
      <c r="D12" s="7">
        <f>1/(1+'Simple Comparison'!$B$10)^'Cash Flow - Purchase Cash'!N15</f>
        <v>0.52678752539162055</v>
      </c>
      <c r="F12" s="41">
        <f>'Simple Comparison'!$B$26*B12/1000</f>
        <v>9.7964343437974488</v>
      </c>
      <c r="G12" s="41">
        <f t="shared" ref="G12:G16" si="18">H11-I11</f>
        <v>0</v>
      </c>
      <c r="H12" s="41">
        <f t="shared" ref="H12:H16" si="19">F12+G12</f>
        <v>9.7964343437974488</v>
      </c>
      <c r="I12" s="41">
        <f t="shared" si="3"/>
        <v>9.7964343437974488</v>
      </c>
      <c r="J12" s="4">
        <f t="shared" si="9"/>
        <v>-5.0000000000002265E-3</v>
      </c>
      <c r="K12">
        <f t="shared" si="4"/>
        <v>9796.4343437974494</v>
      </c>
      <c r="L12">
        <f t="shared" si="10"/>
        <v>0.95111013046577175</v>
      </c>
      <c r="M12" s="70">
        <f t="shared" si="11"/>
        <v>0.99499999999999988</v>
      </c>
      <c r="N12">
        <f t="shared" si="13"/>
        <v>203.5656562025506</v>
      </c>
      <c r="O12" s="69">
        <f t="shared" si="16"/>
        <v>0.31896566543747262</v>
      </c>
      <c r="P12" s="75">
        <f t="shared" si="14"/>
        <v>38.426612255249474</v>
      </c>
      <c r="S12">
        <f t="shared" si="15"/>
        <v>203.5656562025506</v>
      </c>
    </row>
    <row r="13" spans="1:19" x14ac:dyDescent="0.25">
      <c r="A13" s="19">
        <f t="shared" si="0"/>
        <v>12</v>
      </c>
      <c r="B13" s="15">
        <f t="shared" si="7"/>
        <v>0.94635457981344295</v>
      </c>
      <c r="C13" s="8">
        <f t="shared" si="17"/>
        <v>9.7474521720784626</v>
      </c>
      <c r="D13" s="7">
        <f>1/(1+'Simple Comparison'!$B$10)^'Cash Flow - Purchase Cash'!N16</f>
        <v>0.4969693635770005</v>
      </c>
      <c r="F13" s="41">
        <f>'Simple Comparison'!$B$26*B13/1000</f>
        <v>9.7474521720784626</v>
      </c>
      <c r="G13" s="41">
        <f t="shared" si="18"/>
        <v>0</v>
      </c>
      <c r="H13" s="41">
        <f t="shared" si="19"/>
        <v>9.7474521720784626</v>
      </c>
      <c r="I13" s="41">
        <f t="shared" si="3"/>
        <v>9.7474521720784626</v>
      </c>
      <c r="J13" s="4">
        <f t="shared" si="9"/>
        <v>-4.9999999999998934E-3</v>
      </c>
      <c r="K13">
        <f t="shared" si="4"/>
        <v>9747.4521720784633</v>
      </c>
      <c r="L13">
        <f t="shared" si="10"/>
        <v>0.94635457981344306</v>
      </c>
      <c r="M13" s="70">
        <f t="shared" si="11"/>
        <v>0.99500000000000011</v>
      </c>
      <c r="N13">
        <f t="shared" si="13"/>
        <v>252.54782792153674</v>
      </c>
      <c r="O13" s="69">
        <f t="shared" si="16"/>
        <v>0.24062099979305063</v>
      </c>
      <c r="P13" s="75">
        <f t="shared" si="14"/>
        <v>47.913483114560549</v>
      </c>
      <c r="S13">
        <f t="shared" si="15"/>
        <v>252.54782792153674</v>
      </c>
    </row>
    <row r="14" spans="1:19" x14ac:dyDescent="0.25">
      <c r="A14" s="19">
        <f t="shared" si="0"/>
        <v>13</v>
      </c>
      <c r="B14" s="15">
        <f t="shared" si="7"/>
        <v>0.94162280691437572</v>
      </c>
      <c r="C14" s="8">
        <f t="shared" si="17"/>
        <v>9.6987149112180706</v>
      </c>
      <c r="D14" s="7">
        <f>1/(1+'Simple Comparison'!$B$10)^'Cash Flow - Purchase Cash'!N17</f>
        <v>0.46883902224245327</v>
      </c>
      <c r="F14" s="41">
        <f>'Simple Comparison'!$B$26*B14/1000</f>
        <v>9.6987149112180706</v>
      </c>
      <c r="G14" s="41">
        <f t="shared" si="18"/>
        <v>0</v>
      </c>
      <c r="H14" s="41">
        <f t="shared" si="19"/>
        <v>9.6987149112180706</v>
      </c>
      <c r="I14" s="41">
        <f t="shared" si="3"/>
        <v>9.6987149112180706</v>
      </c>
      <c r="J14" s="4">
        <f t="shared" si="9"/>
        <v>-5.0000000000000044E-3</v>
      </c>
      <c r="K14">
        <f t="shared" si="4"/>
        <v>9698.7149112180705</v>
      </c>
      <c r="L14">
        <f t="shared" si="10"/>
        <v>0.94162280691437572</v>
      </c>
      <c r="M14" s="70">
        <f t="shared" si="11"/>
        <v>0.995</v>
      </c>
      <c r="N14">
        <f t="shared" si="13"/>
        <v>301.28508878192952</v>
      </c>
      <c r="O14" s="69">
        <f t="shared" si="16"/>
        <v>0.19298230066557842</v>
      </c>
      <c r="P14" s="75">
        <f t="shared" si="14"/>
        <v>57.352919619575367</v>
      </c>
      <c r="S14">
        <f t="shared" si="15"/>
        <v>301.28508878192952</v>
      </c>
    </row>
    <row r="15" spans="1:19" x14ac:dyDescent="0.25">
      <c r="A15" s="19">
        <f t="shared" si="0"/>
        <v>14</v>
      </c>
      <c r="B15" s="15">
        <f t="shared" si="7"/>
        <v>0.93691469287980389</v>
      </c>
      <c r="C15" s="8">
        <f t="shared" si="17"/>
        <v>9.6502213366619802</v>
      </c>
      <c r="D15" s="7">
        <f>1/(1+'Simple Comparison'!$B$10)^'Cash Flow - Purchase Cash'!N18</f>
        <v>0.44230096437967292</v>
      </c>
      <c r="F15" s="41">
        <f>'Simple Comparison'!$B$26*B15/1000</f>
        <v>9.6502213366619802</v>
      </c>
      <c r="G15" s="41">
        <f t="shared" si="18"/>
        <v>0</v>
      </c>
      <c r="H15" s="41">
        <f t="shared" si="19"/>
        <v>9.6502213366619802</v>
      </c>
      <c r="I15" s="41">
        <f t="shared" si="3"/>
        <v>9.6502213366619802</v>
      </c>
      <c r="J15" s="4">
        <f t="shared" si="9"/>
        <v>-5.0000000000000044E-3</v>
      </c>
      <c r="K15">
        <f t="shared" si="4"/>
        <v>9650.2213366619799</v>
      </c>
      <c r="L15">
        <f t="shared" si="10"/>
        <v>0.93691469287980389</v>
      </c>
      <c r="M15" s="70">
        <f t="shared" si="11"/>
        <v>0.995</v>
      </c>
      <c r="N15">
        <f t="shared" si="13"/>
        <v>349.77866333802012</v>
      </c>
      <c r="O15" s="69">
        <f t="shared" si="16"/>
        <v>0.16095577365659253</v>
      </c>
      <c r="P15" s="75">
        <f t="shared" si="14"/>
        <v>66.745158942065075</v>
      </c>
      <c r="S15">
        <f t="shared" si="15"/>
        <v>349.77866333802012</v>
      </c>
    </row>
    <row r="16" spans="1:19" x14ac:dyDescent="0.25">
      <c r="A16" s="19">
        <f t="shared" si="0"/>
        <v>15</v>
      </c>
      <c r="B16" s="15">
        <f t="shared" si="7"/>
        <v>0.9322301194154049</v>
      </c>
      <c r="C16" s="8">
        <f t="shared" si="17"/>
        <v>9.6019702299786722</v>
      </c>
      <c r="D16" s="7">
        <f>1/(1+'Simple Comparison'!$B$10)^'Cash Flow - Purchase Cash'!N19</f>
        <v>0.41726506073554037</v>
      </c>
      <c r="F16" s="41">
        <f>'Simple Comparison'!$B$26*B16/1000</f>
        <v>9.6019702299786722</v>
      </c>
      <c r="G16" s="41">
        <f t="shared" si="18"/>
        <v>0</v>
      </c>
      <c r="H16" s="41">
        <f t="shared" si="19"/>
        <v>9.6019702299786722</v>
      </c>
      <c r="I16" s="41">
        <f t="shared" si="3"/>
        <v>9.6019702299786722</v>
      </c>
      <c r="J16" s="4">
        <f t="shared" si="9"/>
        <v>-4.9999999999997824E-3</v>
      </c>
      <c r="K16">
        <f t="shared" si="4"/>
        <v>9601.9702299786713</v>
      </c>
      <c r="L16">
        <f t="shared" si="10"/>
        <v>0.93223011941540501</v>
      </c>
      <c r="M16" s="70">
        <f t="shared" si="11"/>
        <v>0.99500000000000011</v>
      </c>
      <c r="N16">
        <f t="shared" si="13"/>
        <v>398.02977002132866</v>
      </c>
      <c r="O16" s="69">
        <f t="shared" si="16"/>
        <v>0.13794754151907629</v>
      </c>
      <c r="P16" s="75">
        <f t="shared" si="14"/>
        <v>76.09043706794202</v>
      </c>
      <c r="S16">
        <f t="shared" si="15"/>
        <v>398.02977002132866</v>
      </c>
    </row>
    <row r="17" spans="1:19" x14ac:dyDescent="0.25">
      <c r="A17" s="19">
        <f t="shared" si="0"/>
        <v>16</v>
      </c>
      <c r="B17" s="15">
        <f t="shared" si="7"/>
        <v>0.92756896881832784</v>
      </c>
      <c r="C17" s="8">
        <f t="shared" ref="C17:C23" si="20">I17</f>
        <v>9.5539603788287764</v>
      </c>
      <c r="D17" s="7">
        <f>1/(1+'Simple Comparison'!$B$10)^'Cash Flow - Purchase Cash'!N20</f>
        <v>0.39364628371277405</v>
      </c>
      <c r="F17" s="41">
        <f>'Simple Comparison'!$B$26*B17/1000</f>
        <v>9.5539603788287764</v>
      </c>
      <c r="G17" s="41">
        <f t="shared" ref="G17:G24" si="21">H16-I16</f>
        <v>0</v>
      </c>
      <c r="H17" s="41">
        <f t="shared" ref="H17:H24" si="22">F17+G17</f>
        <v>9.5539603788287764</v>
      </c>
      <c r="I17" s="41">
        <f t="shared" si="3"/>
        <v>9.5539603788287764</v>
      </c>
      <c r="J17" s="4">
        <f t="shared" si="9"/>
        <v>-5.0000000000002265E-3</v>
      </c>
      <c r="K17">
        <f t="shared" si="4"/>
        <v>9553.9603788287768</v>
      </c>
      <c r="L17">
        <f t="shared" si="10"/>
        <v>0.92756896881832784</v>
      </c>
      <c r="M17" s="70">
        <f t="shared" si="11"/>
        <v>0.99499999999999988</v>
      </c>
      <c r="N17">
        <f t="shared" si="13"/>
        <v>446.03962117122319</v>
      </c>
      <c r="O17" s="69">
        <f t="shared" si="16"/>
        <v>0.12061874454094701</v>
      </c>
      <c r="P17" s="75">
        <f t="shared" si="14"/>
        <v>85.38898880319006</v>
      </c>
      <c r="S17">
        <f t="shared" si="15"/>
        <v>446.03962117122319</v>
      </c>
    </row>
    <row r="18" spans="1:19" x14ac:dyDescent="0.25">
      <c r="A18" s="19">
        <f t="shared" si="0"/>
        <v>17</v>
      </c>
      <c r="B18" s="15">
        <f t="shared" si="7"/>
        <v>0.92293112397423616</v>
      </c>
      <c r="C18" s="8">
        <f t="shared" si="20"/>
        <v>9.5061905769346318</v>
      </c>
      <c r="D18" s="7">
        <f>1/(1+'Simple Comparison'!$B$10)^'Cash Flow - Purchase Cash'!N21</f>
        <v>0.37136441859695657</v>
      </c>
      <c r="F18" s="41">
        <f>'Simple Comparison'!$B$26*B18/1000</f>
        <v>9.5061905769346318</v>
      </c>
      <c r="G18" s="41">
        <f t="shared" si="21"/>
        <v>0</v>
      </c>
      <c r="H18" s="41">
        <f t="shared" si="22"/>
        <v>9.5061905769346318</v>
      </c>
      <c r="I18" s="41">
        <f t="shared" si="3"/>
        <v>9.5061905769346318</v>
      </c>
      <c r="J18" s="4">
        <f t="shared" si="9"/>
        <v>-5.0000000000001155E-3</v>
      </c>
      <c r="K18">
        <f t="shared" si="4"/>
        <v>9506.1905769346322</v>
      </c>
      <c r="L18">
        <f t="shared" si="10"/>
        <v>0.92293112397423616</v>
      </c>
      <c r="M18" s="70">
        <f t="shared" si="11"/>
        <v>0.99499999999999988</v>
      </c>
      <c r="N18">
        <f t="shared" si="13"/>
        <v>493.80942306536781</v>
      </c>
      <c r="O18" s="69">
        <f t="shared" si="16"/>
        <v>0.10709766493099737</v>
      </c>
      <c r="P18" s="75">
        <f t="shared" si="14"/>
        <v>94.641047779761792</v>
      </c>
      <c r="S18">
        <f t="shared" si="15"/>
        <v>493.80942306536781</v>
      </c>
    </row>
    <row r="19" spans="1:19" x14ac:dyDescent="0.25">
      <c r="A19" s="19">
        <f t="shared" si="0"/>
        <v>18</v>
      </c>
      <c r="B19" s="15">
        <f t="shared" si="7"/>
        <v>0.91831646835436498</v>
      </c>
      <c r="C19" s="8">
        <f t="shared" si="20"/>
        <v>9.4586596240499592</v>
      </c>
      <c r="D19" s="7">
        <f>1/(1+'Simple Comparison'!$B$10)^'Cash Flow - Purchase Cash'!N22</f>
        <v>0.35034379112920433</v>
      </c>
      <c r="F19" s="41">
        <f>'Simple Comparison'!$B$26*B19/1000</f>
        <v>9.4586596240499592</v>
      </c>
      <c r="G19" s="41">
        <f t="shared" si="21"/>
        <v>0</v>
      </c>
      <c r="H19" s="41">
        <f t="shared" si="22"/>
        <v>9.4586596240499592</v>
      </c>
      <c r="I19" s="41">
        <f t="shared" si="3"/>
        <v>9.4586596240499592</v>
      </c>
      <c r="J19" s="4">
        <f t="shared" si="9"/>
        <v>-4.9999999999998934E-3</v>
      </c>
      <c r="K19">
        <f t="shared" si="4"/>
        <v>9458.6596240499584</v>
      </c>
      <c r="L19">
        <f t="shared" si="10"/>
        <v>0.91831646835436487</v>
      </c>
      <c r="M19" s="70">
        <f t="shared" si="11"/>
        <v>0.99499999999999988</v>
      </c>
      <c r="N19">
        <f t="shared" si="13"/>
        <v>541.34037595004156</v>
      </c>
      <c r="O19" s="69">
        <f t="shared" si="16"/>
        <v>9.6253636857759783E-2</v>
      </c>
      <c r="P19" s="75">
        <f t="shared" si="14"/>
        <v>103.84684646145062</v>
      </c>
      <c r="S19">
        <f t="shared" si="15"/>
        <v>541.34037595004156</v>
      </c>
    </row>
    <row r="20" spans="1:19" x14ac:dyDescent="0.25">
      <c r="A20" s="19">
        <f t="shared" si="0"/>
        <v>19</v>
      </c>
      <c r="B20" s="15">
        <f t="shared" si="7"/>
        <v>0.91372488601259316</v>
      </c>
      <c r="C20" s="8">
        <f t="shared" si="20"/>
        <v>9.4113663259297091</v>
      </c>
      <c r="D20" s="7">
        <f>1/(1+'Simple Comparison'!$B$10)^'Cash Flow - Purchase Cash'!N23</f>
        <v>0.3305130104992493</v>
      </c>
      <c r="F20" s="41">
        <f>'Simple Comparison'!$B$26*B20/1000</f>
        <v>9.4113663259297091</v>
      </c>
      <c r="G20" s="41">
        <f t="shared" si="21"/>
        <v>0</v>
      </c>
      <c r="H20" s="41">
        <f t="shared" si="22"/>
        <v>9.4113663259297091</v>
      </c>
      <c r="I20" s="41">
        <f t="shared" si="3"/>
        <v>9.4113663259297091</v>
      </c>
      <c r="J20" s="4">
        <f t="shared" si="9"/>
        <v>-5.0000000000000044E-3</v>
      </c>
      <c r="K20">
        <f t="shared" si="4"/>
        <v>9411.36632592971</v>
      </c>
      <c r="L20">
        <f t="shared" si="10"/>
        <v>0.91372488601259316</v>
      </c>
      <c r="M20" s="70">
        <f t="shared" si="11"/>
        <v>0.99500000000000011</v>
      </c>
      <c r="N20">
        <f t="shared" si="13"/>
        <v>588.63367407029</v>
      </c>
      <c r="O20" s="69">
        <f t="shared" si="16"/>
        <v>8.7363330394947258E-2</v>
      </c>
      <c r="P20" s="75">
        <f t="shared" si="14"/>
        <v>113.00661614973065</v>
      </c>
      <c r="S20">
        <f t="shared" si="15"/>
        <v>588.63367407029</v>
      </c>
    </row>
    <row r="21" spans="1:19" x14ac:dyDescent="0.25">
      <c r="A21" s="19">
        <f t="shared" si="0"/>
        <v>20</v>
      </c>
      <c r="B21" s="15">
        <f t="shared" si="7"/>
        <v>0.90915626158253016</v>
      </c>
      <c r="C21" s="8">
        <f t="shared" si="20"/>
        <v>9.3643094943000609</v>
      </c>
      <c r="D21" s="7">
        <f>1/(1+'Simple Comparison'!$B$10)^'Cash Flow - Purchase Cash'!N24</f>
        <v>0.31180472688608429</v>
      </c>
      <c r="F21" s="41">
        <f>'Simple Comparison'!$B$26*B21/1000</f>
        <v>9.3643094943000609</v>
      </c>
      <c r="G21" s="41">
        <f t="shared" si="21"/>
        <v>0</v>
      </c>
      <c r="H21" s="41">
        <f t="shared" si="22"/>
        <v>9.3643094943000609</v>
      </c>
      <c r="I21" s="41">
        <f t="shared" si="3"/>
        <v>9.3643094943000609</v>
      </c>
      <c r="J21" s="4">
        <f t="shared" si="9"/>
        <v>-5.0000000000000044E-3</v>
      </c>
      <c r="K21">
        <f t="shared" si="4"/>
        <v>9364.3094943000615</v>
      </c>
      <c r="L21">
        <f t="shared" si="10"/>
        <v>0.90915626158253027</v>
      </c>
      <c r="M21" s="70">
        <f t="shared" si="11"/>
        <v>0.995</v>
      </c>
      <c r="N21">
        <f t="shared" si="13"/>
        <v>635.69050569993851</v>
      </c>
      <c r="O21" s="69">
        <f t="shared" si="16"/>
        <v>7.9942473056730634E-2</v>
      </c>
      <c r="P21" s="75">
        <f t="shared" si="14"/>
        <v>122.12058698956952</v>
      </c>
      <c r="S21">
        <f t="shared" si="15"/>
        <v>635.69050569993851</v>
      </c>
    </row>
    <row r="22" spans="1:19" x14ac:dyDescent="0.25">
      <c r="A22" s="19">
        <f t="shared" si="0"/>
        <v>21</v>
      </c>
      <c r="B22" s="15">
        <f t="shared" si="7"/>
        <v>0.90461048027461755</v>
      </c>
      <c r="C22" s="8">
        <f t="shared" si="20"/>
        <v>9.3174879468285603</v>
      </c>
      <c r="D22" s="7">
        <f>1/(1+'Simple Comparison'!$B$10)^'Cash Flow - Purchase Cash'!N25</f>
        <v>0.29415540272272095</v>
      </c>
      <c r="F22" s="41">
        <f>'Simple Comparison'!$B$26*B22/1000</f>
        <v>9.3174879468285603</v>
      </c>
      <c r="G22" s="41">
        <f t="shared" si="21"/>
        <v>0</v>
      </c>
      <c r="H22" s="41">
        <f t="shared" si="22"/>
        <v>9.3174879468285603</v>
      </c>
      <c r="I22" s="41">
        <f t="shared" si="3"/>
        <v>9.3174879468285603</v>
      </c>
      <c r="J22" s="4">
        <f t="shared" si="9"/>
        <v>-5.0000000000000044E-3</v>
      </c>
      <c r="K22">
        <f t="shared" si="4"/>
        <v>9317.4879468285599</v>
      </c>
      <c r="L22">
        <f t="shared" si="10"/>
        <v>0.90461048027461743</v>
      </c>
      <c r="M22" s="70">
        <f t="shared" si="11"/>
        <v>0.99499999999999988</v>
      </c>
      <c r="N22">
        <f t="shared" si="13"/>
        <v>682.51205317144013</v>
      </c>
      <c r="O22" s="69">
        <f t="shared" si="16"/>
        <v>7.3654627608364054E-2</v>
      </c>
      <c r="P22" s="75">
        <f t="shared" si="14"/>
        <v>131.18898797520947</v>
      </c>
      <c r="S22">
        <f t="shared" si="15"/>
        <v>682.51205317144013</v>
      </c>
    </row>
    <row r="23" spans="1:19" x14ac:dyDescent="0.25">
      <c r="A23" s="19">
        <f t="shared" si="0"/>
        <v>22</v>
      </c>
      <c r="B23" s="15">
        <f t="shared" si="7"/>
        <v>0.90008742787324447</v>
      </c>
      <c r="C23" s="8">
        <f t="shared" si="20"/>
        <v>9.270900507094419</v>
      </c>
      <c r="D23" s="7">
        <f>1/(1+'Simple Comparison'!$B$10)^'Cash Flow - Purchase Cash'!N26</f>
        <v>0.27750509690822728</v>
      </c>
      <c r="F23" s="41">
        <f>'Simple Comparison'!$B$26*B23/1000</f>
        <v>9.270900507094419</v>
      </c>
      <c r="G23" s="41">
        <f t="shared" si="21"/>
        <v>0</v>
      </c>
      <c r="H23" s="41">
        <f t="shared" si="22"/>
        <v>9.270900507094419</v>
      </c>
      <c r="I23" s="41">
        <f t="shared" si="3"/>
        <v>9.270900507094419</v>
      </c>
      <c r="J23" s="4">
        <f t="shared" si="9"/>
        <v>-4.9999999999997824E-3</v>
      </c>
      <c r="K23">
        <f t="shared" si="4"/>
        <v>9270.9005070944186</v>
      </c>
      <c r="L23">
        <f t="shared" si="10"/>
        <v>0.90008742787324447</v>
      </c>
      <c r="M23" s="70">
        <f t="shared" si="11"/>
        <v>0.99500000000000011</v>
      </c>
      <c r="N23">
        <f t="shared" si="13"/>
        <v>729.09949290558143</v>
      </c>
      <c r="O23" s="69">
        <f t="shared" si="16"/>
        <v>6.8258779486256138E-2</v>
      </c>
      <c r="P23" s="75">
        <f t="shared" si="14"/>
        <v>140.21204695592064</v>
      </c>
      <c r="S23">
        <f t="shared" si="15"/>
        <v>729.09949290558143</v>
      </c>
    </row>
    <row r="24" spans="1:19" x14ac:dyDescent="0.25">
      <c r="A24" s="19">
        <f t="shared" si="0"/>
        <v>23</v>
      </c>
      <c r="B24" s="15">
        <f t="shared" si="7"/>
        <v>0.89558699073387826</v>
      </c>
      <c r="C24" s="8">
        <f>I24</f>
        <v>9.2245460045589454</v>
      </c>
      <c r="D24" s="7">
        <f>1/(1+'Simple Comparison'!$B$10)^'Cash Flow - Purchase Cash'!N27</f>
        <v>0.26179726123417668</v>
      </c>
      <c r="F24" s="41">
        <f>'Simple Comparison'!$B$26*B24/1000</f>
        <v>9.2245460045589454</v>
      </c>
      <c r="G24" s="41">
        <f t="shared" si="21"/>
        <v>0</v>
      </c>
      <c r="H24" s="41">
        <f t="shared" si="22"/>
        <v>9.2245460045589454</v>
      </c>
      <c r="I24" s="41">
        <f t="shared" si="3"/>
        <v>9.2245460045589454</v>
      </c>
      <c r="J24" s="4">
        <f t="shared" si="9"/>
        <v>-5.0000000000002265E-3</v>
      </c>
      <c r="K24">
        <f t="shared" si="4"/>
        <v>9224.5460045589462</v>
      </c>
      <c r="L24">
        <f t="shared" si="10"/>
        <v>0.89558699073387826</v>
      </c>
      <c r="M24" s="70">
        <f t="shared" si="11"/>
        <v>0.995</v>
      </c>
      <c r="N24">
        <f t="shared" si="13"/>
        <v>775.45399544105385</v>
      </c>
      <c r="O24" s="69">
        <f t="shared" si="16"/>
        <v>6.357774622876522E-2</v>
      </c>
      <c r="P24" s="75">
        <f t="shared" si="14"/>
        <v>149.18999064172866</v>
      </c>
      <c r="S24">
        <f t="shared" si="15"/>
        <v>775.45399544105385</v>
      </c>
    </row>
    <row r="25" spans="1:19" x14ac:dyDescent="0.25">
      <c r="A25" s="19">
        <f t="shared" si="0"/>
        <v>24</v>
      </c>
      <c r="B25" s="15">
        <f t="shared" si="7"/>
        <v>0.89110905578020883</v>
      </c>
      <c r="C25" s="8">
        <f t="shared" ref="C25:C26" si="23">I25</f>
        <v>9.1784232745361507</v>
      </c>
      <c r="D25" s="7">
        <f>1/(1+'Simple Comparison'!$B$10)^'Cash Flow - Purchase Cash'!N28</f>
        <v>0.24697854833412897</v>
      </c>
      <c r="F25" s="41">
        <f>'Simple Comparison'!$B$26*B25/1000</f>
        <v>9.1784232745361507</v>
      </c>
      <c r="G25" s="41">
        <f t="shared" ref="G25:G26" si="24">H24-I24</f>
        <v>0</v>
      </c>
      <c r="H25" s="41">
        <f t="shared" ref="H25:H26" si="25">F25+G25</f>
        <v>9.1784232745361507</v>
      </c>
      <c r="I25" s="41">
        <f t="shared" si="3"/>
        <v>9.1784232745361507</v>
      </c>
      <c r="J25" s="4">
        <f t="shared" si="9"/>
        <v>-5.0000000000000044E-3</v>
      </c>
      <c r="K25">
        <f t="shared" si="4"/>
        <v>9178.4232745361514</v>
      </c>
      <c r="L25">
        <f t="shared" si="10"/>
        <v>0.89110905578020883</v>
      </c>
      <c r="M25" s="70">
        <f t="shared" si="11"/>
        <v>0.995</v>
      </c>
      <c r="N25">
        <f t="shared" si="13"/>
        <v>821.57672546384856</v>
      </c>
      <c r="O25" s="69">
        <f t="shared" si="16"/>
        <v>5.9478357573696572E-2</v>
      </c>
      <c r="P25" s="75">
        <f t="shared" si="14"/>
        <v>158.12304460910752</v>
      </c>
      <c r="S25">
        <f t="shared" si="15"/>
        <v>821.57672546384856</v>
      </c>
    </row>
    <row r="26" spans="1:19" x14ac:dyDescent="0.25">
      <c r="A26" s="19">
        <f t="shared" si="0"/>
        <v>25</v>
      </c>
      <c r="B26" s="15">
        <f t="shared" si="7"/>
        <v>0.88665351050130781</v>
      </c>
      <c r="C26" s="8">
        <f t="shared" si="23"/>
        <v>9.1325311581634701</v>
      </c>
      <c r="D26" s="7">
        <f>1/(1+'Simple Comparison'!$B$10)^'Cash Flow - Purchase Cash'!N29</f>
        <v>0.23299863050389524</v>
      </c>
      <c r="F26" s="41">
        <f>'Simple Comparison'!$B$26*B26/1000</f>
        <v>9.1325311581634701</v>
      </c>
      <c r="G26" s="41">
        <f t="shared" si="24"/>
        <v>0</v>
      </c>
      <c r="H26" s="41">
        <f t="shared" si="25"/>
        <v>9.1325311581634701</v>
      </c>
      <c r="I26" s="41">
        <f t="shared" si="3"/>
        <v>9.1325311581634701</v>
      </c>
      <c r="J26" s="4">
        <f t="shared" si="9"/>
        <v>-5.0000000000000044E-3</v>
      </c>
      <c r="K26">
        <f t="shared" si="4"/>
        <v>9132.5311581634705</v>
      </c>
      <c r="L26">
        <f t="shared" si="10"/>
        <v>0.88665351050130781</v>
      </c>
      <c r="M26" s="70">
        <f t="shared" si="11"/>
        <v>0.995</v>
      </c>
      <c r="N26">
        <f t="shared" si="13"/>
        <v>867.46884183652946</v>
      </c>
      <c r="O26" s="69">
        <f t="shared" si="16"/>
        <v>5.5858588675051557E-2</v>
      </c>
      <c r="P26" s="75">
        <f t="shared" si="14"/>
        <v>167.01143330664956</v>
      </c>
      <c r="S26">
        <f t="shared" si="15"/>
        <v>867.46884183652946</v>
      </c>
    </row>
    <row r="27" spans="1:19" x14ac:dyDescent="0.25">
      <c r="A27" s="19"/>
      <c r="B27" s="15"/>
      <c r="C27" s="8"/>
      <c r="D27" s="7"/>
      <c r="F27" s="41"/>
      <c r="G27" s="41"/>
      <c r="H27" s="41"/>
      <c r="R27">
        <f>SUM(S8:S26)-SUM(R2:R7)</f>
        <v>7373.7004745307768</v>
      </c>
    </row>
    <row r="28" spans="1:19" x14ac:dyDescent="0.25">
      <c r="A28" s="19"/>
      <c r="B28" s="15"/>
      <c r="C28" s="8"/>
      <c r="D28" s="7"/>
      <c r="F28" s="41"/>
      <c r="G28" s="41"/>
      <c r="H28" s="41"/>
      <c r="J28">
        <f>K28/L28</f>
        <v>0.97050519810187696</v>
      </c>
      <c r="K28">
        <f>SUM(K2:K26)</f>
        <v>242626.29952546925</v>
      </c>
      <c r="L28">
        <f>10000*25</f>
        <v>250000</v>
      </c>
    </row>
    <row r="29" spans="1:19" x14ac:dyDescent="0.25">
      <c r="L29">
        <f>L28-K28</f>
        <v>7373.7004745307495</v>
      </c>
    </row>
    <row r="31" spans="1:19" x14ac:dyDescent="0.25">
      <c r="K31">
        <f>56198.84</f>
        <v>56198.84</v>
      </c>
      <c r="L31">
        <f>K31/K28</f>
        <v>0.23162715711328163</v>
      </c>
      <c r="N31">
        <v>49858.720000000001</v>
      </c>
      <c r="O31">
        <f>N31/K28</f>
        <v>0.2054959421032021</v>
      </c>
    </row>
    <row r="32" spans="1:19" x14ac:dyDescent="0.25">
      <c r="L32">
        <f>(K31/J28)/100</f>
        <v>579.06789278320412</v>
      </c>
      <c r="O32">
        <f>N31/J28/100</f>
        <v>513.73985525800526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Inputs</vt:lpstr>
      <vt:lpstr>Simple Comparison</vt:lpstr>
      <vt:lpstr>Electricity Costs</vt:lpstr>
      <vt:lpstr>Cash Flow - Purchase Cash</vt:lpstr>
      <vt:lpstr>Cash Flow - Purchase Loan</vt:lpstr>
      <vt:lpstr>PV Degrad. &amp; SPV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Kneifel, Joshua D</dc:creator>
  <cp:lastModifiedBy>Kneifel, Joshua D (Fed)</cp:lastModifiedBy>
  <cp:lastPrinted>2017-04-03T16:59:05Z</cp:lastPrinted>
  <dcterms:created xsi:type="dcterms:W3CDTF">2017-03-29T11:17:02Z</dcterms:created>
  <dcterms:modified xsi:type="dcterms:W3CDTF">2021-04-19T18:27:08Z</dcterms:modified>
</cp:coreProperties>
</file>