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66925"/>
  <xr:revisionPtr revIDLastSave="0" documentId="8_{CB4F20B5-6A89-4D1E-A4F9-5049A6C2D9B1}" xr6:coauthVersionLast="36" xr6:coauthVersionMax="36" xr10:uidLastSave="{00000000-0000-0000-0000-000000000000}"/>
  <bookViews>
    <workbookView xWindow="-287" yWindow="73" windowWidth="17100" windowHeight="9780" tabRatio="845" activeTab="4" xr2:uid="{40EABCCB-9659-45C5-A322-E01603F8160F}"/>
  </bookViews>
  <sheets>
    <sheet name="INPUT TABLE" sheetId="23" r:id="rId1"/>
    <sheet name="Population" sheetId="1" r:id="rId2"/>
    <sheet name="Employment" sheetId="2" r:id="rId3"/>
    <sheet name="Drivers" sheetId="9" r:id="rId4"/>
    <sheet name="Revenues - Graph" sheetId="29" r:id="rId5"/>
    <sheet name="Revenues - Table" sheetId="26" r:id="rId6"/>
    <sheet name="Non-Revenue - Pop. Graph" sheetId="27" r:id="rId7"/>
    <sheet name="Non-Revenue - Veh. Graph" sheetId="32" r:id="rId8"/>
    <sheet name="Non-Revenue - Sales Graph" sheetId="33" r:id="rId9"/>
    <sheet name="Non-Revenues - Table" sheetId="31" r:id="rId10"/>
    <sheet name="EV" sheetId="12" r:id="rId11"/>
    <sheet name="Registered Vehicles" sheetId="8" r:id="rId12"/>
    <sheet name="Hybrid Vehicle Projection" sheetId="20" r:id="rId13"/>
    <sheet name="Gas Tax" sheetId="21" r:id="rId14"/>
    <sheet name="GasTax Calcs" sheetId="5" r:id="rId15"/>
    <sheet name="Carbon Tax" sheetId="28" r:id="rId16"/>
    <sheet name="Emissions" sheetId="16" r:id="rId17"/>
    <sheet name="Vehicle Miles Trav." sheetId="7" r:id="rId18"/>
  </sheets>
  <definedNames>
    <definedName name="_xlnm._FilterDatabase" localSheetId="3" hidden="1">Drivers!$M$5:$O$139</definedName>
    <definedName name="_xlnm._FilterDatabase" localSheetId="2" hidden="1">Employment!$F$1:$H$1</definedName>
    <definedName name="_xlnm._FilterDatabase" localSheetId="10" hidden="1">EV!$T$7:$BJ$69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7" l="1"/>
  <c r="F17" i="7"/>
  <c r="G17" i="7" s="1"/>
  <c r="P3" i="7" s="1"/>
  <c r="Q3" i="7" s="1"/>
  <c r="E17" i="7"/>
  <c r="H17" i="7" s="1"/>
  <c r="D17" i="7"/>
  <c r="L16" i="7"/>
  <c r="F16" i="7"/>
  <c r="G16" i="7" s="1"/>
  <c r="E16" i="7"/>
  <c r="H16" i="7" s="1"/>
  <c r="D16" i="7"/>
  <c r="L15" i="7"/>
  <c r="H15" i="7"/>
  <c r="F15" i="7"/>
  <c r="G15" i="7" s="1"/>
  <c r="E15" i="7"/>
  <c r="D15" i="7"/>
  <c r="L14" i="7"/>
  <c r="F14" i="7"/>
  <c r="E14" i="7"/>
  <c r="H14" i="7" s="1"/>
  <c r="D14" i="7"/>
  <c r="L13" i="7"/>
  <c r="F13" i="7"/>
  <c r="G13" i="7" s="1"/>
  <c r="E13" i="7"/>
  <c r="H13" i="7" s="1"/>
  <c r="D13" i="7"/>
  <c r="L12" i="7"/>
  <c r="H12" i="7"/>
  <c r="G12" i="7"/>
  <c r="F12" i="7"/>
  <c r="E12" i="7"/>
  <c r="D12" i="7"/>
  <c r="L11" i="7"/>
  <c r="F11" i="7"/>
  <c r="G11" i="7" s="1"/>
  <c r="E11" i="7"/>
  <c r="H11" i="7" s="1"/>
  <c r="D11" i="7"/>
  <c r="L10" i="7"/>
  <c r="H10" i="7"/>
  <c r="G10" i="7"/>
  <c r="F10" i="7"/>
  <c r="E10" i="7"/>
  <c r="D10" i="7"/>
  <c r="L9" i="7"/>
  <c r="H9" i="7"/>
  <c r="G9" i="7"/>
  <c r="F9" i="7"/>
  <c r="E9" i="7"/>
  <c r="D9" i="7"/>
  <c r="L8" i="7"/>
  <c r="F8" i="7"/>
  <c r="E8" i="7"/>
  <c r="H8" i="7" s="1"/>
  <c r="D8" i="7"/>
  <c r="L7" i="7"/>
  <c r="H7" i="7"/>
  <c r="G7" i="7"/>
  <c r="F7" i="7"/>
  <c r="E7" i="7"/>
  <c r="D7" i="7"/>
  <c r="L6" i="7"/>
  <c r="H6" i="7"/>
  <c r="F6" i="7"/>
  <c r="G6" i="7" s="1"/>
  <c r="E6" i="7"/>
  <c r="D6" i="7"/>
  <c r="L5" i="7"/>
  <c r="F5" i="7"/>
  <c r="G5" i="7" s="1"/>
  <c r="E5" i="7"/>
  <c r="D5" i="7"/>
  <c r="O4" i="7"/>
  <c r="R4" i="7" s="1"/>
  <c r="S4" i="7" s="1"/>
  <c r="L4" i="7"/>
  <c r="H4" i="7"/>
  <c r="G4" i="7"/>
  <c r="F4" i="7"/>
  <c r="E4" i="7"/>
  <c r="D4" i="7"/>
  <c r="R3" i="7"/>
  <c r="L3" i="7"/>
  <c r="H3" i="7"/>
  <c r="G3" i="7"/>
  <c r="F3" i="7"/>
  <c r="E3" i="7"/>
  <c r="D3" i="7"/>
  <c r="V42" i="5"/>
  <c r="W42" i="5" s="1"/>
  <c r="W41" i="5"/>
  <c r="V41" i="5"/>
  <c r="W40" i="5"/>
  <c r="V40" i="5"/>
  <c r="V39" i="5"/>
  <c r="W39" i="5" s="1"/>
  <c r="W38" i="5"/>
  <c r="V38" i="5"/>
  <c r="V37" i="5"/>
  <c r="W37" i="5" s="1"/>
  <c r="V36" i="5"/>
  <c r="W36" i="5" s="1"/>
  <c r="B36" i="5"/>
  <c r="V35" i="5"/>
  <c r="W35" i="5" s="1"/>
  <c r="V34" i="5"/>
  <c r="W34" i="5" s="1"/>
  <c r="B34" i="5"/>
  <c r="W33" i="5"/>
  <c r="V33" i="5"/>
  <c r="B33" i="5"/>
  <c r="W32" i="5"/>
  <c r="V32" i="5"/>
  <c r="W31" i="5"/>
  <c r="V31" i="5"/>
  <c r="V30" i="5"/>
  <c r="W30" i="5" s="1"/>
  <c r="W29" i="5"/>
  <c r="V29" i="5"/>
  <c r="B29" i="5"/>
  <c r="W28" i="5"/>
  <c r="V28" i="5"/>
  <c r="W27" i="5"/>
  <c r="V27" i="5"/>
  <c r="B27" i="5"/>
  <c r="W26" i="5"/>
  <c r="V26" i="5"/>
  <c r="V25" i="5"/>
  <c r="W25" i="5" s="1"/>
  <c r="V24" i="5"/>
  <c r="W24" i="5" s="1"/>
  <c r="V23" i="5"/>
  <c r="W23" i="5" s="1"/>
  <c r="V22" i="5"/>
  <c r="W22" i="5" s="1"/>
  <c r="B22" i="5"/>
  <c r="W21" i="5"/>
  <c r="V21" i="5"/>
  <c r="A9" i="5"/>
  <c r="A10" i="5" s="1"/>
  <c r="A8" i="5"/>
  <c r="J6" i="5"/>
  <c r="J7" i="5" s="1"/>
  <c r="D6" i="5"/>
  <c r="C6" i="5"/>
  <c r="B6" i="5"/>
  <c r="E6" i="5" s="1"/>
  <c r="G3" i="5"/>
  <c r="F3" i="5"/>
  <c r="E3" i="5"/>
  <c r="D3" i="5"/>
  <c r="C3" i="5"/>
  <c r="B3" i="5"/>
  <c r="A3" i="5"/>
  <c r="B24" i="5" s="1"/>
  <c r="M114" i="21"/>
  <c r="O113" i="21"/>
  <c r="N113" i="21"/>
  <c r="M113" i="21"/>
  <c r="N112" i="21"/>
  <c r="M112" i="21"/>
  <c r="O110" i="21"/>
  <c r="N110" i="21"/>
  <c r="M110" i="21"/>
  <c r="M109" i="21"/>
  <c r="N107" i="21"/>
  <c r="M107" i="21"/>
  <c r="M104" i="21"/>
  <c r="N101" i="21"/>
  <c r="N100" i="21"/>
  <c r="M98" i="21"/>
  <c r="O97" i="21"/>
  <c r="N97" i="21"/>
  <c r="M97" i="21"/>
  <c r="N96" i="21"/>
  <c r="M96" i="21"/>
  <c r="O94" i="21"/>
  <c r="N94" i="21"/>
  <c r="M94" i="21"/>
  <c r="M93" i="21"/>
  <c r="M91" i="21"/>
  <c r="M88" i="21"/>
  <c r="N85" i="21"/>
  <c r="N84" i="21"/>
  <c r="N78" i="21"/>
  <c r="N114" i="21" s="1"/>
  <c r="M78" i="21"/>
  <c r="L78" i="21"/>
  <c r="O77" i="21"/>
  <c r="N77" i="21"/>
  <c r="M77" i="21"/>
  <c r="L77" i="21"/>
  <c r="Q77" i="21" s="1"/>
  <c r="Q113" i="21" s="1"/>
  <c r="N76" i="21"/>
  <c r="O76" i="21" s="1"/>
  <c r="O112" i="21" s="1"/>
  <c r="M76" i="21"/>
  <c r="L76" i="21"/>
  <c r="P75" i="21"/>
  <c r="P111" i="21" s="1"/>
  <c r="N75" i="21"/>
  <c r="M75" i="21"/>
  <c r="M111" i="21" s="1"/>
  <c r="L75" i="21"/>
  <c r="Q75" i="21" s="1"/>
  <c r="Q111" i="21" s="1"/>
  <c r="P74" i="21"/>
  <c r="P110" i="21" s="1"/>
  <c r="N74" i="21"/>
  <c r="O74" i="21" s="1"/>
  <c r="M74" i="21"/>
  <c r="L74" i="21"/>
  <c r="O73" i="21"/>
  <c r="O109" i="21" s="1"/>
  <c r="N73" i="21"/>
  <c r="N109" i="21" s="1"/>
  <c r="M73" i="21"/>
  <c r="L73" i="21"/>
  <c r="Q73" i="21" s="1"/>
  <c r="Q109" i="21" s="1"/>
  <c r="N72" i="21"/>
  <c r="O72" i="21" s="1"/>
  <c r="O108" i="21" s="1"/>
  <c r="M72" i="21"/>
  <c r="M108" i="21" s="1"/>
  <c r="L72" i="21"/>
  <c r="P71" i="21"/>
  <c r="P107" i="21" s="1"/>
  <c r="N71" i="21"/>
  <c r="O71" i="21" s="1"/>
  <c r="O107" i="21" s="1"/>
  <c r="M71" i="21"/>
  <c r="L71" i="21"/>
  <c r="Q71" i="21" s="1"/>
  <c r="Q107" i="21" s="1"/>
  <c r="N70" i="21"/>
  <c r="N106" i="21" s="1"/>
  <c r="M70" i="21"/>
  <c r="M106" i="21" s="1"/>
  <c r="L70" i="21"/>
  <c r="P70" i="21" s="1"/>
  <c r="P106" i="21" s="1"/>
  <c r="V69" i="21"/>
  <c r="W69" i="21" s="1"/>
  <c r="P69" i="21"/>
  <c r="P105" i="21" s="1"/>
  <c r="O69" i="21"/>
  <c r="O105" i="21" s="1"/>
  <c r="N69" i="21"/>
  <c r="N105" i="21" s="1"/>
  <c r="M69" i="21"/>
  <c r="M105" i="21" s="1"/>
  <c r="L69" i="21"/>
  <c r="Q69" i="21" s="1"/>
  <c r="Q105" i="21" s="1"/>
  <c r="N68" i="21"/>
  <c r="N104" i="21" s="1"/>
  <c r="M68" i="21"/>
  <c r="L68" i="21"/>
  <c r="P67" i="21"/>
  <c r="P103" i="21" s="1"/>
  <c r="N67" i="21"/>
  <c r="M67" i="21"/>
  <c r="M103" i="21" s="1"/>
  <c r="L67" i="21"/>
  <c r="Q67" i="21" s="1"/>
  <c r="Q103" i="21" s="1"/>
  <c r="N66" i="21"/>
  <c r="N102" i="21" s="1"/>
  <c r="M66" i="21"/>
  <c r="M102" i="21" s="1"/>
  <c r="L66" i="21"/>
  <c r="O65" i="21"/>
  <c r="O101" i="21" s="1"/>
  <c r="N65" i="21"/>
  <c r="M65" i="21"/>
  <c r="M101" i="21" s="1"/>
  <c r="L65" i="21"/>
  <c r="Q65" i="21" s="1"/>
  <c r="Q101" i="21" s="1"/>
  <c r="N64" i="21"/>
  <c r="O64" i="21" s="1"/>
  <c r="O100" i="21" s="1"/>
  <c r="M64" i="21"/>
  <c r="M100" i="21" s="1"/>
  <c r="L64" i="21"/>
  <c r="P63" i="21"/>
  <c r="P99" i="21" s="1"/>
  <c r="N63" i="21"/>
  <c r="M63" i="21"/>
  <c r="M99" i="21" s="1"/>
  <c r="L63" i="21"/>
  <c r="Q63" i="21" s="1"/>
  <c r="Q99" i="21" s="1"/>
  <c r="N62" i="21"/>
  <c r="N98" i="21" s="1"/>
  <c r="M62" i="21"/>
  <c r="L62" i="21"/>
  <c r="P61" i="21"/>
  <c r="P97" i="21" s="1"/>
  <c r="O61" i="21"/>
  <c r="N61" i="21"/>
  <c r="M61" i="21"/>
  <c r="L61" i="21"/>
  <c r="Q61" i="21" s="1"/>
  <c r="Q97" i="21" s="1"/>
  <c r="N60" i="21"/>
  <c r="O60" i="21" s="1"/>
  <c r="O96" i="21" s="1"/>
  <c r="M60" i="21"/>
  <c r="L60" i="21"/>
  <c r="P59" i="21"/>
  <c r="P95" i="21" s="1"/>
  <c r="N59" i="21"/>
  <c r="M59" i="21"/>
  <c r="M95" i="21" s="1"/>
  <c r="L59" i="21"/>
  <c r="Q59" i="21" s="1"/>
  <c r="Q95" i="21" s="1"/>
  <c r="P58" i="21"/>
  <c r="P94" i="21" s="1"/>
  <c r="N58" i="21"/>
  <c r="O58" i="21" s="1"/>
  <c r="M58" i="21"/>
  <c r="L58" i="21"/>
  <c r="P57" i="21"/>
  <c r="P93" i="21" s="1"/>
  <c r="O57" i="21"/>
  <c r="O93" i="21" s="1"/>
  <c r="N57" i="21"/>
  <c r="N93" i="21" s="1"/>
  <c r="M57" i="21"/>
  <c r="L57" i="21"/>
  <c r="Q57" i="21" s="1"/>
  <c r="Q93" i="21" s="1"/>
  <c r="N56" i="21"/>
  <c r="O56" i="21" s="1"/>
  <c r="O92" i="21" s="1"/>
  <c r="M56" i="21"/>
  <c r="M92" i="21" s="1"/>
  <c r="L56" i="21"/>
  <c r="P55" i="21"/>
  <c r="P91" i="21" s="1"/>
  <c r="N55" i="21"/>
  <c r="O55" i="21" s="1"/>
  <c r="O91" i="21" s="1"/>
  <c r="M55" i="21"/>
  <c r="L55" i="21"/>
  <c r="Q55" i="21" s="1"/>
  <c r="Q91" i="21" s="1"/>
  <c r="P54" i="21"/>
  <c r="P90" i="21" s="1"/>
  <c r="N54" i="21"/>
  <c r="N90" i="21" s="1"/>
  <c r="M54" i="21"/>
  <c r="M90" i="21" s="1"/>
  <c r="L54" i="21"/>
  <c r="O53" i="21"/>
  <c r="O89" i="21" s="1"/>
  <c r="N53" i="21"/>
  <c r="N89" i="21" s="1"/>
  <c r="M53" i="21"/>
  <c r="M89" i="21" s="1"/>
  <c r="L53" i="21"/>
  <c r="Q53" i="21" s="1"/>
  <c r="Q89" i="21" s="1"/>
  <c r="N52" i="21"/>
  <c r="N88" i="21" s="1"/>
  <c r="M52" i="21"/>
  <c r="L52" i="21"/>
  <c r="P51" i="21"/>
  <c r="P87" i="21" s="1"/>
  <c r="N51" i="21"/>
  <c r="M51" i="21"/>
  <c r="M87" i="21" s="1"/>
  <c r="L51" i="21"/>
  <c r="P50" i="21"/>
  <c r="P86" i="21" s="1"/>
  <c r="N50" i="21"/>
  <c r="N86" i="21" s="1"/>
  <c r="M50" i="21"/>
  <c r="M86" i="21" s="1"/>
  <c r="L50" i="21"/>
  <c r="P49" i="21"/>
  <c r="P85" i="21" s="1"/>
  <c r="O49" i="21"/>
  <c r="O85" i="21" s="1"/>
  <c r="N49" i="21"/>
  <c r="M49" i="21"/>
  <c r="M85" i="21" s="1"/>
  <c r="L49" i="21"/>
  <c r="Q49" i="21" s="1"/>
  <c r="Q85" i="21" s="1"/>
  <c r="T48" i="21"/>
  <c r="U48" i="21" s="1"/>
  <c r="R48" i="21"/>
  <c r="S48" i="21" s="1"/>
  <c r="P48" i="21"/>
  <c r="P84" i="21" s="1"/>
  <c r="N48" i="21"/>
  <c r="O48" i="21" s="1"/>
  <c r="O84" i="21" s="1"/>
  <c r="M48" i="21"/>
  <c r="M84" i="21" s="1"/>
  <c r="L48" i="21"/>
  <c r="M33" i="21"/>
  <c r="L33" i="21"/>
  <c r="J33" i="21"/>
  <c r="H33" i="21"/>
  <c r="E33" i="21"/>
  <c r="C33" i="21"/>
  <c r="M32" i="21"/>
  <c r="L32" i="21"/>
  <c r="J32" i="21"/>
  <c r="H32" i="21"/>
  <c r="E32" i="21"/>
  <c r="C32" i="21"/>
  <c r="M31" i="21"/>
  <c r="L31" i="21"/>
  <c r="J31" i="21"/>
  <c r="H31" i="21"/>
  <c r="E31" i="21"/>
  <c r="C31" i="21"/>
  <c r="M30" i="21"/>
  <c r="L30" i="21"/>
  <c r="J30" i="21"/>
  <c r="H30" i="21"/>
  <c r="E30" i="21"/>
  <c r="C30" i="21"/>
  <c r="M29" i="21"/>
  <c r="L29" i="21"/>
  <c r="J29" i="21"/>
  <c r="H29" i="21"/>
  <c r="E29" i="21"/>
  <c r="C29" i="21"/>
  <c r="M28" i="21"/>
  <c r="L28" i="21"/>
  <c r="J28" i="21"/>
  <c r="H28" i="21"/>
  <c r="E28" i="21"/>
  <c r="C28" i="21"/>
  <c r="M27" i="21"/>
  <c r="L27" i="21"/>
  <c r="J27" i="21"/>
  <c r="H27" i="21"/>
  <c r="E27" i="21"/>
  <c r="C27" i="21"/>
  <c r="M26" i="21"/>
  <c r="L26" i="21"/>
  <c r="J26" i="21"/>
  <c r="H26" i="21"/>
  <c r="E26" i="21"/>
  <c r="C26" i="21"/>
  <c r="M25" i="21"/>
  <c r="L25" i="21"/>
  <c r="J25" i="21"/>
  <c r="H25" i="21"/>
  <c r="E25" i="21"/>
  <c r="C25" i="21"/>
  <c r="M24" i="21"/>
  <c r="L24" i="21"/>
  <c r="J24" i="21"/>
  <c r="H24" i="21"/>
  <c r="E24" i="21"/>
  <c r="C24" i="21"/>
  <c r="M23" i="21"/>
  <c r="L23" i="21"/>
  <c r="J23" i="21"/>
  <c r="H23" i="21"/>
  <c r="E23" i="21"/>
  <c r="C23" i="21"/>
  <c r="M22" i="21"/>
  <c r="L22" i="21"/>
  <c r="J22" i="21"/>
  <c r="H22" i="21"/>
  <c r="E22" i="21"/>
  <c r="C22" i="21"/>
  <c r="M21" i="21"/>
  <c r="L21" i="21"/>
  <c r="J21" i="21"/>
  <c r="H21" i="21"/>
  <c r="E21" i="21"/>
  <c r="C21" i="21"/>
  <c r="M20" i="21"/>
  <c r="L20" i="21"/>
  <c r="J20" i="21"/>
  <c r="H20" i="21"/>
  <c r="E20" i="21"/>
  <c r="C20" i="21"/>
  <c r="M19" i="21"/>
  <c r="L19" i="21"/>
  <c r="J19" i="21"/>
  <c r="H19" i="21"/>
  <c r="E19" i="21"/>
  <c r="C19" i="21"/>
  <c r="M18" i="21"/>
  <c r="L18" i="21"/>
  <c r="J18" i="21"/>
  <c r="H18" i="21"/>
  <c r="E18" i="21"/>
  <c r="C18" i="21"/>
  <c r="M17" i="21"/>
  <c r="L17" i="21"/>
  <c r="J17" i="21"/>
  <c r="H17" i="21"/>
  <c r="E17" i="21"/>
  <c r="C17" i="21"/>
  <c r="M16" i="21"/>
  <c r="L16" i="21"/>
  <c r="J16" i="21"/>
  <c r="H16" i="21"/>
  <c r="E16" i="21"/>
  <c r="C16" i="21"/>
  <c r="M15" i="21"/>
  <c r="L15" i="21"/>
  <c r="J15" i="21"/>
  <c r="H15" i="21"/>
  <c r="E15" i="21"/>
  <c r="C15" i="21"/>
  <c r="M14" i="21"/>
  <c r="L14" i="21"/>
  <c r="J14" i="21"/>
  <c r="H14" i="21"/>
  <c r="E14" i="21"/>
  <c r="C14" i="21"/>
  <c r="M13" i="21"/>
  <c r="L13" i="21"/>
  <c r="J13" i="21"/>
  <c r="H13" i="21"/>
  <c r="E13" i="21"/>
  <c r="C13" i="21"/>
  <c r="M12" i="21"/>
  <c r="L12" i="21"/>
  <c r="J12" i="21"/>
  <c r="H12" i="21"/>
  <c r="E12" i="21"/>
  <c r="C12" i="21"/>
  <c r="M11" i="21"/>
  <c r="L11" i="21"/>
  <c r="J11" i="21"/>
  <c r="H11" i="21"/>
  <c r="E11" i="21"/>
  <c r="C11" i="21"/>
  <c r="M10" i="21"/>
  <c r="L10" i="21"/>
  <c r="J10" i="21"/>
  <c r="H10" i="21"/>
  <c r="E10" i="21"/>
  <c r="C10" i="21"/>
  <c r="M9" i="21"/>
  <c r="L9" i="21"/>
  <c r="J9" i="21"/>
  <c r="H9" i="21"/>
  <c r="E9" i="21"/>
  <c r="C9" i="21"/>
  <c r="M8" i="21"/>
  <c r="L8" i="21"/>
  <c r="J8" i="21"/>
  <c r="H8" i="21"/>
  <c r="E8" i="21"/>
  <c r="C8" i="21"/>
  <c r="M7" i="21"/>
  <c r="L7" i="21"/>
  <c r="J7" i="21"/>
  <c r="H7" i="21"/>
  <c r="E7" i="21"/>
  <c r="C7" i="21"/>
  <c r="M6" i="21"/>
  <c r="L6" i="21"/>
  <c r="J6" i="21"/>
  <c r="H6" i="21"/>
  <c r="E6" i="21"/>
  <c r="C6" i="21"/>
  <c r="M5" i="21"/>
  <c r="L5" i="21"/>
  <c r="J5" i="21"/>
  <c r="H5" i="21"/>
  <c r="E5" i="21"/>
  <c r="C5" i="21"/>
  <c r="M4" i="21"/>
  <c r="L4" i="21"/>
  <c r="J4" i="21"/>
  <c r="H4" i="21"/>
  <c r="E4" i="21"/>
  <c r="C4" i="21"/>
  <c r="M3" i="21"/>
  <c r="L3" i="21"/>
  <c r="J3" i="21"/>
  <c r="H3" i="21"/>
  <c r="E3" i="21"/>
  <c r="C3" i="21"/>
  <c r="A2" i="21"/>
  <c r="J60" i="20"/>
  <c r="J59" i="20"/>
  <c r="J58" i="20"/>
  <c r="E40" i="20" s="1"/>
  <c r="J57" i="20"/>
  <c r="E39" i="20" s="1"/>
  <c r="J56" i="20"/>
  <c r="E38" i="20" s="1"/>
  <c r="J55" i="20"/>
  <c r="J54" i="20"/>
  <c r="E36" i="20" s="1"/>
  <c r="J53" i="20"/>
  <c r="J52" i="20"/>
  <c r="J51" i="20"/>
  <c r="J50" i="20"/>
  <c r="E32" i="20" s="1"/>
  <c r="J49" i="20"/>
  <c r="J48" i="20"/>
  <c r="J47" i="20"/>
  <c r="J46" i="20"/>
  <c r="E28" i="20" s="1"/>
  <c r="J45" i="20"/>
  <c r="E27" i="20" s="1"/>
  <c r="J44" i="20"/>
  <c r="E26" i="20" s="1"/>
  <c r="J43" i="20"/>
  <c r="J42" i="20"/>
  <c r="E24" i="20" s="1"/>
  <c r="E42" i="20"/>
  <c r="J41" i="20"/>
  <c r="E41" i="20"/>
  <c r="J40" i="20"/>
  <c r="E22" i="20" s="1"/>
  <c r="E12" i="31" s="1"/>
  <c r="J39" i="20"/>
  <c r="J38" i="20"/>
  <c r="E20" i="20" s="1"/>
  <c r="J37" i="20"/>
  <c r="E37" i="20"/>
  <c r="J36" i="20"/>
  <c r="J35" i="20"/>
  <c r="E35" i="20"/>
  <c r="J34" i="20"/>
  <c r="E16" i="20" s="1"/>
  <c r="E34" i="20"/>
  <c r="J33" i="20"/>
  <c r="E33" i="20"/>
  <c r="J32" i="20"/>
  <c r="E14" i="20" s="1"/>
  <c r="J31" i="20"/>
  <c r="E13" i="20" s="1"/>
  <c r="E31" i="20"/>
  <c r="E21" i="31" s="1"/>
  <c r="J30" i="20"/>
  <c r="E12" i="20" s="1"/>
  <c r="E30" i="20"/>
  <c r="E29" i="20"/>
  <c r="E25" i="20"/>
  <c r="E23" i="20"/>
  <c r="E21" i="20"/>
  <c r="M19" i="20"/>
  <c r="L19" i="20"/>
  <c r="K19" i="20"/>
  <c r="J19" i="20"/>
  <c r="E19" i="20"/>
  <c r="E18" i="20"/>
  <c r="E8" i="31" s="1"/>
  <c r="E17" i="20"/>
  <c r="E15" i="20"/>
  <c r="D13" i="20"/>
  <c r="D12" i="20"/>
  <c r="D3" i="28" s="1"/>
  <c r="D11" i="20"/>
  <c r="E10" i="20"/>
  <c r="D10" i="20"/>
  <c r="D9" i="20"/>
  <c r="E9" i="20" s="1"/>
  <c r="D8" i="20"/>
  <c r="Y55" i="8"/>
  <c r="Y54" i="8"/>
  <c r="Y53" i="8"/>
  <c r="Y52" i="8"/>
  <c r="Y51" i="8"/>
  <c r="Y50" i="8"/>
  <c r="Y49" i="8"/>
  <c r="Y48" i="8"/>
  <c r="Y47" i="8"/>
  <c r="Y46" i="8"/>
  <c r="Y45" i="8"/>
  <c r="Y44" i="8"/>
  <c r="Y43" i="8"/>
  <c r="Y42" i="8"/>
  <c r="Y41" i="8"/>
  <c r="Y40" i="8"/>
  <c r="Y39" i="8"/>
  <c r="Y38" i="8"/>
  <c r="Y37" i="8"/>
  <c r="Y36" i="8"/>
  <c r="Y24" i="8"/>
  <c r="X24" i="8"/>
  <c r="W24" i="8"/>
  <c r="V24" i="8"/>
  <c r="C11" i="8"/>
  <c r="H10" i="8"/>
  <c r="C4" i="28" s="1"/>
  <c r="H9" i="8"/>
  <c r="G9" i="8"/>
  <c r="J2" i="31" s="1"/>
  <c r="F9" i="8"/>
  <c r="D9" i="8"/>
  <c r="C9" i="8"/>
  <c r="C10" i="8" s="1"/>
  <c r="Q69" i="12"/>
  <c r="P69" i="12"/>
  <c r="O69" i="12"/>
  <c r="N69" i="12"/>
  <c r="R68" i="12"/>
  <c r="R59" i="12"/>
  <c r="Q53" i="12"/>
  <c r="P53" i="12"/>
  <c r="O53" i="12"/>
  <c r="N53" i="12"/>
  <c r="M53" i="12"/>
  <c r="B52" i="12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G51" i="12"/>
  <c r="C51" i="12"/>
  <c r="C52" i="12" s="1"/>
  <c r="B51" i="12"/>
  <c r="M17" i="12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16" i="12"/>
  <c r="M15" i="12"/>
  <c r="B11" i="12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D10" i="12"/>
  <c r="E3" i="28" s="1"/>
  <c r="B10" i="12"/>
  <c r="P7" i="12"/>
  <c r="P6" i="12"/>
  <c r="N6" i="12"/>
  <c r="N7" i="12" s="1"/>
  <c r="F4" i="12"/>
  <c r="O32" i="31"/>
  <c r="N32" i="31"/>
  <c r="E32" i="31"/>
  <c r="O31" i="31"/>
  <c r="N31" i="31"/>
  <c r="E31" i="31"/>
  <c r="O30" i="31"/>
  <c r="N30" i="31"/>
  <c r="E30" i="31"/>
  <c r="O29" i="31"/>
  <c r="N29" i="31"/>
  <c r="E29" i="31"/>
  <c r="O28" i="31"/>
  <c r="N28" i="31"/>
  <c r="E28" i="31"/>
  <c r="O27" i="31"/>
  <c r="N27" i="31"/>
  <c r="E27" i="31"/>
  <c r="O26" i="31"/>
  <c r="N26" i="31"/>
  <c r="E26" i="31"/>
  <c r="O25" i="31"/>
  <c r="N25" i="31"/>
  <c r="E25" i="31"/>
  <c r="O24" i="31"/>
  <c r="N24" i="31"/>
  <c r="E24" i="31"/>
  <c r="O23" i="31"/>
  <c r="N23" i="31"/>
  <c r="E23" i="31"/>
  <c r="O22" i="31"/>
  <c r="N22" i="31"/>
  <c r="E22" i="31"/>
  <c r="O21" i="31"/>
  <c r="N21" i="31"/>
  <c r="O20" i="31"/>
  <c r="N20" i="31"/>
  <c r="E20" i="31"/>
  <c r="O19" i="31"/>
  <c r="N19" i="31"/>
  <c r="E19" i="31"/>
  <c r="O18" i="31"/>
  <c r="N18" i="31"/>
  <c r="E18" i="31"/>
  <c r="O17" i="31"/>
  <c r="N17" i="31"/>
  <c r="E17" i="31"/>
  <c r="O16" i="31"/>
  <c r="N16" i="31"/>
  <c r="E16" i="31"/>
  <c r="O15" i="31"/>
  <c r="N15" i="31"/>
  <c r="E15" i="31"/>
  <c r="O14" i="31"/>
  <c r="N14" i="31"/>
  <c r="E14" i="31"/>
  <c r="O13" i="31"/>
  <c r="N13" i="31"/>
  <c r="E13" i="31"/>
  <c r="O12" i="31"/>
  <c r="N12" i="31"/>
  <c r="O11" i="31"/>
  <c r="N11" i="31"/>
  <c r="E11" i="31"/>
  <c r="O10" i="31"/>
  <c r="N10" i="31"/>
  <c r="E10" i="31"/>
  <c r="O9" i="31"/>
  <c r="N9" i="31"/>
  <c r="E9" i="31"/>
  <c r="O8" i="31"/>
  <c r="N8" i="31"/>
  <c r="O7" i="31"/>
  <c r="N7" i="31"/>
  <c r="E7" i="31"/>
  <c r="O6" i="31"/>
  <c r="N6" i="31"/>
  <c r="E6" i="31"/>
  <c r="O5" i="31"/>
  <c r="N5" i="31"/>
  <c r="E5" i="31"/>
  <c r="O4" i="31"/>
  <c r="N4" i="31"/>
  <c r="E4" i="31"/>
  <c r="O3" i="31"/>
  <c r="N3" i="31"/>
  <c r="F3" i="31"/>
  <c r="E3" i="31"/>
  <c r="A3" i="3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O2" i="31"/>
  <c r="N2" i="31"/>
  <c r="M2" i="31"/>
  <c r="I2" i="31"/>
  <c r="G2" i="31"/>
  <c r="F2" i="31"/>
  <c r="E2" i="31"/>
  <c r="D2" i="31"/>
  <c r="A2" i="31"/>
  <c r="O1" i="31"/>
  <c r="N1" i="31"/>
  <c r="M1" i="31"/>
  <c r="L1" i="31"/>
  <c r="F32" i="26"/>
  <c r="E32" i="26"/>
  <c r="F31" i="26"/>
  <c r="E31" i="26"/>
  <c r="F30" i="26"/>
  <c r="E30" i="26"/>
  <c r="F29" i="26"/>
  <c r="E29" i="26"/>
  <c r="F28" i="26"/>
  <c r="E28" i="26"/>
  <c r="F27" i="26"/>
  <c r="E27" i="26"/>
  <c r="F26" i="26"/>
  <c r="E26" i="26"/>
  <c r="F25" i="26"/>
  <c r="E25" i="26"/>
  <c r="F24" i="26"/>
  <c r="E24" i="26"/>
  <c r="I23" i="26"/>
  <c r="F23" i="26"/>
  <c r="E23" i="26"/>
  <c r="F22" i="26"/>
  <c r="E22" i="26"/>
  <c r="F21" i="26"/>
  <c r="E21" i="26"/>
  <c r="F20" i="26"/>
  <c r="E20" i="26"/>
  <c r="F19" i="26"/>
  <c r="E19" i="26"/>
  <c r="F18" i="26"/>
  <c r="E18" i="26"/>
  <c r="F17" i="26"/>
  <c r="E17" i="26"/>
  <c r="F16" i="26"/>
  <c r="E16" i="26"/>
  <c r="F15" i="26"/>
  <c r="E15" i="26"/>
  <c r="F14" i="26"/>
  <c r="E14" i="26"/>
  <c r="F13" i="26"/>
  <c r="E13" i="26"/>
  <c r="F12" i="26"/>
  <c r="E12" i="26"/>
  <c r="F11" i="26"/>
  <c r="E11" i="26"/>
  <c r="F10" i="26"/>
  <c r="E10" i="26"/>
  <c r="F9" i="26"/>
  <c r="E9" i="26"/>
  <c r="F8" i="26"/>
  <c r="E8" i="26"/>
  <c r="F7" i="26"/>
  <c r="E7" i="26"/>
  <c r="F6" i="26"/>
  <c r="E6" i="26"/>
  <c r="F5" i="26"/>
  <c r="E5" i="26"/>
  <c r="F4" i="26"/>
  <c r="E4" i="26"/>
  <c r="F3" i="26"/>
  <c r="E3" i="26"/>
  <c r="J2" i="26"/>
  <c r="H2" i="26"/>
  <c r="G2" i="26"/>
  <c r="F2" i="26"/>
  <c r="E2" i="26"/>
  <c r="C2" i="26"/>
  <c r="D2" i="26" s="1"/>
  <c r="B2" i="26"/>
  <c r="B3" i="21" s="1"/>
  <c r="D3" i="21" s="1"/>
  <c r="F3" i="21" s="1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B3" i="2"/>
  <c r="B4" i="2" s="1"/>
  <c r="K2" i="2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B4" i="1"/>
  <c r="H3" i="1"/>
  <c r="B3" i="1"/>
  <c r="J2" i="1"/>
  <c r="K2" i="1" s="1"/>
  <c r="L2" i="1" s="1"/>
  <c r="C3" i="1" s="1"/>
  <c r="B2" i="31" s="1"/>
  <c r="H2" i="1"/>
  <c r="C22" i="23"/>
  <c r="C3" i="23"/>
  <c r="B5" i="2" l="1"/>
  <c r="C4" i="2"/>
  <c r="C3" i="31" s="1"/>
  <c r="D11" i="12"/>
  <c r="E4" i="28" s="1"/>
  <c r="N8" i="12"/>
  <c r="P8" i="12"/>
  <c r="C3" i="2"/>
  <c r="C2" i="31" s="1"/>
  <c r="J3" i="1"/>
  <c r="K3" i="1" s="1"/>
  <c r="L3" i="1" s="1"/>
  <c r="C4" i="1" s="1"/>
  <c r="B3" i="31" s="1"/>
  <c r="B5" i="1"/>
  <c r="G52" i="12"/>
  <c r="M3" i="31" s="1"/>
  <c r="C53" i="12"/>
  <c r="D52" i="12"/>
  <c r="D51" i="12"/>
  <c r="F10" i="8"/>
  <c r="I3" i="31" s="1"/>
  <c r="E10" i="8"/>
  <c r="H3" i="31" s="1"/>
  <c r="O67" i="21"/>
  <c r="O103" i="21" s="1"/>
  <c r="N103" i="21"/>
  <c r="O63" i="21"/>
  <c r="O99" i="21" s="1"/>
  <c r="N99" i="21"/>
  <c r="C3" i="28"/>
  <c r="F3" i="28" s="1"/>
  <c r="G3" i="28" s="1"/>
  <c r="H3" i="28" s="1"/>
  <c r="K2" i="26" s="1"/>
  <c r="K2" i="31"/>
  <c r="D10" i="8"/>
  <c r="G3" i="31" s="1"/>
  <c r="G10" i="8"/>
  <c r="J3" i="31" s="1"/>
  <c r="G11" i="8"/>
  <c r="J4" i="31" s="1"/>
  <c r="C12" i="8"/>
  <c r="D11" i="8"/>
  <c r="G4" i="31" s="1"/>
  <c r="E11" i="8"/>
  <c r="H4" i="31" s="1"/>
  <c r="F11" i="8"/>
  <c r="I4" i="31" s="1"/>
  <c r="H11" i="8"/>
  <c r="K3" i="31"/>
  <c r="E9" i="8"/>
  <c r="H2" i="31" s="1"/>
  <c r="P73" i="21"/>
  <c r="P109" i="21" s="1"/>
  <c r="A11" i="5"/>
  <c r="H5" i="7"/>
  <c r="Q68" i="21"/>
  <c r="Q104" i="21" s="1"/>
  <c r="P68" i="21"/>
  <c r="P104" i="21" s="1"/>
  <c r="V68" i="21"/>
  <c r="W68" i="21" s="1"/>
  <c r="I22" i="26" s="1"/>
  <c r="V74" i="21"/>
  <c r="W74" i="21" s="1"/>
  <c r="I28" i="26" s="1"/>
  <c r="Q74" i="21"/>
  <c r="Q110" i="21" s="1"/>
  <c r="G8" i="7"/>
  <c r="E11" i="20"/>
  <c r="Q56" i="21"/>
  <c r="Q92" i="21" s="1"/>
  <c r="P56" i="21"/>
  <c r="P92" i="21" s="1"/>
  <c r="Q62" i="21"/>
  <c r="Q98" i="21" s="1"/>
  <c r="Q50" i="21"/>
  <c r="Q86" i="21" s="1"/>
  <c r="N91" i="21"/>
  <c r="D4" i="28"/>
  <c r="F4" i="28" s="1"/>
  <c r="G4" i="28" s="1"/>
  <c r="H4" i="28" s="1"/>
  <c r="K3" i="26" s="1"/>
  <c r="I4" i="21"/>
  <c r="K4" i="21" s="1"/>
  <c r="N4" i="21" s="1"/>
  <c r="D14" i="20"/>
  <c r="O59" i="21"/>
  <c r="O95" i="21" s="1"/>
  <c r="N95" i="21"/>
  <c r="P77" i="21"/>
  <c r="P113" i="21" s="1"/>
  <c r="P62" i="21"/>
  <c r="P98" i="21" s="1"/>
  <c r="P65" i="21"/>
  <c r="P101" i="21" s="1"/>
  <c r="Q48" i="21"/>
  <c r="Q84" i="21" s="1"/>
  <c r="V48" i="21"/>
  <c r="W48" i="21" s="1"/>
  <c r="I2" i="26" s="1"/>
  <c r="P53" i="21"/>
  <c r="P89" i="21" s="1"/>
  <c r="V65" i="21"/>
  <c r="W65" i="21" s="1"/>
  <c r="I19" i="26" s="1"/>
  <c r="Q72" i="21"/>
  <c r="Q108" i="21" s="1"/>
  <c r="P72" i="21"/>
  <c r="P108" i="21" s="1"/>
  <c r="V78" i="21"/>
  <c r="W78" i="21" s="1"/>
  <c r="I32" i="26" s="1"/>
  <c r="Q78" i="21"/>
  <c r="Q114" i="21" s="1"/>
  <c r="P78" i="21"/>
  <c r="P114" i="21" s="1"/>
  <c r="Q60" i="21"/>
  <c r="Q96" i="21" s="1"/>
  <c r="P60" i="21"/>
  <c r="P96" i="21" s="1"/>
  <c r="V66" i="21"/>
  <c r="W66" i="21" s="1"/>
  <c r="I20" i="26" s="1"/>
  <c r="Q66" i="21"/>
  <c r="Q102" i="21" s="1"/>
  <c r="Q51" i="21"/>
  <c r="Q87" i="21" s="1"/>
  <c r="Q54" i="21"/>
  <c r="Q90" i="21" s="1"/>
  <c r="O75" i="21"/>
  <c r="O111" i="21" s="1"/>
  <c r="N111" i="21"/>
  <c r="O51" i="21"/>
  <c r="O87" i="21" s="1"/>
  <c r="N87" i="21"/>
  <c r="P66" i="21"/>
  <c r="P102" i="21" s="1"/>
  <c r="Q76" i="21"/>
  <c r="Q112" i="21" s="1"/>
  <c r="P76" i="21"/>
  <c r="P112" i="21" s="1"/>
  <c r="V76" i="21"/>
  <c r="W76" i="21" s="1"/>
  <c r="I30" i="26" s="1"/>
  <c r="Q64" i="21"/>
  <c r="Q100" i="21" s="1"/>
  <c r="P64" i="21"/>
  <c r="P100" i="21" s="1"/>
  <c r="V64" i="21"/>
  <c r="W64" i="21" s="1"/>
  <c r="I18" i="26" s="1"/>
  <c r="V70" i="21"/>
  <c r="W70" i="21" s="1"/>
  <c r="I24" i="26" s="1"/>
  <c r="Q70" i="21"/>
  <c r="Q106" i="21" s="1"/>
  <c r="Q52" i="21"/>
  <c r="Q88" i="21" s="1"/>
  <c r="P52" i="21"/>
  <c r="P88" i="21" s="1"/>
  <c r="V52" i="21"/>
  <c r="W52" i="21" s="1"/>
  <c r="I6" i="26" s="1"/>
  <c r="Q58" i="21"/>
  <c r="Q94" i="21" s="1"/>
  <c r="J8" i="5"/>
  <c r="K7" i="5"/>
  <c r="L7" i="5" s="1"/>
  <c r="B32" i="5"/>
  <c r="O50" i="21"/>
  <c r="O86" i="21" s="1"/>
  <c r="O54" i="21"/>
  <c r="O90" i="21" s="1"/>
  <c r="O62" i="21"/>
  <c r="O98" i="21" s="1"/>
  <c r="O66" i="21"/>
  <c r="O102" i="21" s="1"/>
  <c r="O70" i="21"/>
  <c r="O106" i="21" s="1"/>
  <c r="O78" i="21"/>
  <c r="O114" i="21" s="1"/>
  <c r="B7" i="5"/>
  <c r="E7" i="5" s="1"/>
  <c r="B9" i="5"/>
  <c r="B11" i="5"/>
  <c r="B13" i="5"/>
  <c r="V55" i="21" s="1"/>
  <c r="W55" i="21" s="1"/>
  <c r="I9" i="26" s="1"/>
  <c r="B15" i="5"/>
  <c r="V57" i="21" s="1"/>
  <c r="W57" i="21" s="1"/>
  <c r="I11" i="26" s="1"/>
  <c r="B17" i="5"/>
  <c r="B19" i="5"/>
  <c r="B21" i="5"/>
  <c r="C7" i="5"/>
  <c r="R49" i="21" s="1"/>
  <c r="S49" i="21" s="1"/>
  <c r="G3" i="26" s="1"/>
  <c r="B30" i="5"/>
  <c r="O5" i="7"/>
  <c r="G14" i="7"/>
  <c r="N92" i="21"/>
  <c r="N108" i="21"/>
  <c r="D7" i="5"/>
  <c r="T49" i="21" s="1"/>
  <c r="U49" i="21" s="1"/>
  <c r="H3" i="26" s="1"/>
  <c r="B26" i="5"/>
  <c r="V59" i="21"/>
  <c r="W59" i="21" s="1"/>
  <c r="I13" i="26" s="1"/>
  <c r="V63" i="21"/>
  <c r="W63" i="21" s="1"/>
  <c r="I17" i="26" s="1"/>
  <c r="V71" i="21"/>
  <c r="W71" i="21" s="1"/>
  <c r="I25" i="26" s="1"/>
  <c r="V75" i="21"/>
  <c r="W75" i="21" s="1"/>
  <c r="I29" i="26" s="1"/>
  <c r="B28" i="5"/>
  <c r="B23" i="5"/>
  <c r="B35" i="5"/>
  <c r="V77" i="21" s="1"/>
  <c r="W77" i="21" s="1"/>
  <c r="I31" i="26" s="1"/>
  <c r="I3" i="21"/>
  <c r="K3" i="21" s="1"/>
  <c r="N3" i="21" s="1"/>
  <c r="P4" i="7"/>
  <c r="O52" i="21"/>
  <c r="O88" i="21" s="1"/>
  <c r="O68" i="21"/>
  <c r="O104" i="21" s="1"/>
  <c r="B8" i="5"/>
  <c r="B10" i="5"/>
  <c r="B12" i="5"/>
  <c r="B14" i="5"/>
  <c r="V56" i="21" s="1"/>
  <c r="W56" i="21" s="1"/>
  <c r="I10" i="26" s="1"/>
  <c r="B16" i="5"/>
  <c r="B18" i="5"/>
  <c r="B20" i="5"/>
  <c r="V62" i="21" s="1"/>
  <c r="W62" i="21" s="1"/>
  <c r="I16" i="26" s="1"/>
  <c r="B25" i="5"/>
  <c r="B31" i="5"/>
  <c r="Q4" i="7"/>
  <c r="P9" i="12" l="1"/>
  <c r="F4" i="31"/>
  <c r="V54" i="21"/>
  <c r="W54" i="21" s="1"/>
  <c r="I8" i="26" s="1"/>
  <c r="O6" i="7"/>
  <c r="R5" i="7"/>
  <c r="S5" i="7" s="1"/>
  <c r="J3" i="26" s="1"/>
  <c r="P5" i="7"/>
  <c r="Q5" i="7" s="1"/>
  <c r="V60" i="21"/>
  <c r="W60" i="21" s="1"/>
  <c r="I14" i="26" s="1"/>
  <c r="C5" i="28"/>
  <c r="K4" i="31"/>
  <c r="V49" i="21"/>
  <c r="W49" i="21" s="1"/>
  <c r="I3" i="26" s="1"/>
  <c r="C10" i="12"/>
  <c r="O7" i="12"/>
  <c r="L2" i="31"/>
  <c r="V53" i="21"/>
  <c r="W53" i="21" s="1"/>
  <c r="I7" i="26" s="1"/>
  <c r="V73" i="21"/>
  <c r="W73" i="21" s="1"/>
  <c r="I27" i="26" s="1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K8" i="5"/>
  <c r="L3" i="31"/>
  <c r="C11" i="12"/>
  <c r="V61" i="21"/>
  <c r="W61" i="21" s="1"/>
  <c r="I15" i="26" s="1"/>
  <c r="D5" i="28"/>
  <c r="I5" i="21"/>
  <c r="K5" i="21" s="1"/>
  <c r="N5" i="21" s="1"/>
  <c r="D15" i="20"/>
  <c r="C54" i="12"/>
  <c r="G53" i="12"/>
  <c r="M4" i="31" s="1"/>
  <c r="D53" i="12"/>
  <c r="V67" i="21"/>
  <c r="W67" i="21" s="1"/>
  <c r="I21" i="26" s="1"/>
  <c r="V58" i="21"/>
  <c r="W58" i="21" s="1"/>
  <c r="I12" i="26" s="1"/>
  <c r="D8" i="5"/>
  <c r="V72" i="21"/>
  <c r="W72" i="21" s="1"/>
  <c r="I26" i="26" s="1"/>
  <c r="C13" i="8"/>
  <c r="G12" i="8"/>
  <c r="J5" i="31" s="1"/>
  <c r="D12" i="8"/>
  <c r="G5" i="31" s="1"/>
  <c r="H12" i="8"/>
  <c r="F12" i="8"/>
  <c r="I5" i="31" s="1"/>
  <c r="E12" i="8"/>
  <c r="H5" i="31" s="1"/>
  <c r="N9" i="12"/>
  <c r="D12" i="12"/>
  <c r="E5" i="28" s="1"/>
  <c r="B6" i="1"/>
  <c r="J4" i="1"/>
  <c r="K4" i="1" s="1"/>
  <c r="L4" i="1" s="1"/>
  <c r="C5" i="1" s="1"/>
  <c r="B4" i="31" s="1"/>
  <c r="V51" i="21"/>
  <c r="W51" i="21" s="1"/>
  <c r="I5" i="26" s="1"/>
  <c r="V50" i="21"/>
  <c r="W50" i="21" s="1"/>
  <c r="I4" i="26" s="1"/>
  <c r="A12" i="5"/>
  <c r="C8" i="5"/>
  <c r="E8" i="5" s="1"/>
  <c r="C5" i="2"/>
  <c r="C4" i="31" s="1"/>
  <c r="B6" i="2"/>
  <c r="C6" i="28" l="1"/>
  <c r="K5" i="31"/>
  <c r="D3" i="31"/>
  <c r="B3" i="26"/>
  <c r="A13" i="5"/>
  <c r="D13" i="8"/>
  <c r="G6" i="31" s="1"/>
  <c r="C14" i="8"/>
  <c r="H13" i="8"/>
  <c r="G13" i="8"/>
  <c r="J6" i="31" s="1"/>
  <c r="F13" i="8"/>
  <c r="I6" i="31" s="1"/>
  <c r="E13" i="8"/>
  <c r="H6" i="31" s="1"/>
  <c r="T50" i="21"/>
  <c r="U50" i="21" s="1"/>
  <c r="H4" i="26" s="1"/>
  <c r="D9" i="5"/>
  <c r="O8" i="12"/>
  <c r="F5" i="28"/>
  <c r="G5" i="28" s="1"/>
  <c r="H5" i="28" s="1"/>
  <c r="K4" i="26" s="1"/>
  <c r="L8" i="5"/>
  <c r="K9" i="5"/>
  <c r="J5" i="1"/>
  <c r="K5" i="1" s="1"/>
  <c r="L5" i="1" s="1"/>
  <c r="C6" i="1" s="1"/>
  <c r="B5" i="31" s="1"/>
  <c r="B7" i="1"/>
  <c r="C12" i="12"/>
  <c r="L4" i="31"/>
  <c r="D13" i="12"/>
  <c r="E6" i="28" s="1"/>
  <c r="N10" i="12"/>
  <c r="C55" i="12"/>
  <c r="G54" i="12"/>
  <c r="M5" i="31" s="1"/>
  <c r="D54" i="12"/>
  <c r="B7" i="2"/>
  <c r="C6" i="2"/>
  <c r="C5" i="31" s="1"/>
  <c r="D16" i="20"/>
  <c r="D6" i="28"/>
  <c r="I6" i="21"/>
  <c r="K6" i="21" s="1"/>
  <c r="N6" i="21" s="1"/>
  <c r="O7" i="7"/>
  <c r="R6" i="7"/>
  <c r="S6" i="7" s="1"/>
  <c r="J4" i="26" s="1"/>
  <c r="P6" i="7"/>
  <c r="Q6" i="7" s="1"/>
  <c r="R50" i="21"/>
  <c r="S50" i="21" s="1"/>
  <c r="G4" i="26" s="1"/>
  <c r="C9" i="5"/>
  <c r="F5" i="31"/>
  <c r="A14" i="5" l="1"/>
  <c r="B8" i="1"/>
  <c r="J6" i="1"/>
  <c r="K6" i="1" s="1"/>
  <c r="L6" i="1" s="1"/>
  <c r="C7" i="1" s="1"/>
  <c r="B6" i="31" s="1"/>
  <c r="R7" i="7"/>
  <c r="S7" i="7" s="1"/>
  <c r="J5" i="26" s="1"/>
  <c r="Q7" i="7"/>
  <c r="P7" i="7"/>
  <c r="O8" i="7"/>
  <c r="B4" i="21"/>
  <c r="D4" i="21" s="1"/>
  <c r="F4" i="21" s="1"/>
  <c r="C3" i="26"/>
  <c r="D3" i="26" s="1"/>
  <c r="L9" i="5"/>
  <c r="K10" i="5"/>
  <c r="F6" i="28"/>
  <c r="G6" i="28" s="1"/>
  <c r="H6" i="28" s="1"/>
  <c r="K5" i="26" s="1"/>
  <c r="I7" i="21"/>
  <c r="K7" i="21" s="1"/>
  <c r="N7" i="21" s="1"/>
  <c r="D7" i="28"/>
  <c r="D17" i="20"/>
  <c r="B4" i="26"/>
  <c r="D4" i="31"/>
  <c r="T51" i="21"/>
  <c r="U51" i="21" s="1"/>
  <c r="H5" i="26" s="1"/>
  <c r="D10" i="5"/>
  <c r="C7" i="2"/>
  <c r="C6" i="31" s="1"/>
  <c r="B8" i="2"/>
  <c r="C13" i="12"/>
  <c r="L5" i="31"/>
  <c r="D55" i="12"/>
  <c r="C56" i="12"/>
  <c r="G55" i="12"/>
  <c r="M6" i="31" s="1"/>
  <c r="N11" i="12"/>
  <c r="D14" i="12"/>
  <c r="E7" i="28" s="1"/>
  <c r="C7" i="28"/>
  <c r="K6" i="31"/>
  <c r="P10" i="12"/>
  <c r="E14" i="8"/>
  <c r="H7" i="31" s="1"/>
  <c r="G14" i="8"/>
  <c r="J7" i="31" s="1"/>
  <c r="C15" i="8"/>
  <c r="H14" i="8"/>
  <c r="F14" i="8"/>
  <c r="I7" i="31" s="1"/>
  <c r="D14" i="8"/>
  <c r="G7" i="31" s="1"/>
  <c r="R51" i="21"/>
  <c r="S51" i="21" s="1"/>
  <c r="G5" i="26" s="1"/>
  <c r="C10" i="5"/>
  <c r="E9" i="5"/>
  <c r="O9" i="12"/>
  <c r="C8" i="28" l="1"/>
  <c r="K7" i="31"/>
  <c r="H15" i="8"/>
  <c r="G15" i="8"/>
  <c r="J8" i="31" s="1"/>
  <c r="E15" i="8"/>
  <c r="H8" i="31" s="1"/>
  <c r="C16" i="8"/>
  <c r="F15" i="8"/>
  <c r="I8" i="31" s="1"/>
  <c r="D15" i="8"/>
  <c r="G8" i="31" s="1"/>
  <c r="T52" i="21"/>
  <c r="U52" i="21" s="1"/>
  <c r="H6" i="26" s="1"/>
  <c r="D11" i="5"/>
  <c r="J7" i="1"/>
  <c r="K7" i="1" s="1"/>
  <c r="L7" i="1" s="1"/>
  <c r="C8" i="1" s="1"/>
  <c r="B7" i="31" s="1"/>
  <c r="B9" i="1"/>
  <c r="P11" i="12"/>
  <c r="F6" i="31"/>
  <c r="B5" i="21"/>
  <c r="D5" i="21" s="1"/>
  <c r="F5" i="21" s="1"/>
  <c r="C4" i="26"/>
  <c r="D4" i="26" s="1"/>
  <c r="D8" i="28"/>
  <c r="I8" i="21"/>
  <c r="K8" i="21" s="1"/>
  <c r="N8" i="21" s="1"/>
  <c r="D18" i="20"/>
  <c r="A15" i="5"/>
  <c r="F7" i="28"/>
  <c r="G7" i="28" s="1"/>
  <c r="H7" i="28" s="1"/>
  <c r="K6" i="26" s="1"/>
  <c r="B9" i="2"/>
  <c r="C8" i="2"/>
  <c r="C7" i="31" s="1"/>
  <c r="D15" i="12"/>
  <c r="E8" i="28" s="1"/>
  <c r="N12" i="12"/>
  <c r="L10" i="5"/>
  <c r="K11" i="5"/>
  <c r="B5" i="26"/>
  <c r="D5" i="31"/>
  <c r="C57" i="12"/>
  <c r="G56" i="12"/>
  <c r="M7" i="31" s="1"/>
  <c r="D56" i="12"/>
  <c r="C14" i="12"/>
  <c r="L6" i="31"/>
  <c r="R52" i="21"/>
  <c r="S52" i="21" s="1"/>
  <c r="G6" i="26" s="1"/>
  <c r="E10" i="5"/>
  <c r="C11" i="5"/>
  <c r="O9" i="7"/>
  <c r="R8" i="7"/>
  <c r="S8" i="7" s="1"/>
  <c r="J6" i="26" s="1"/>
  <c r="P8" i="7"/>
  <c r="Q8" i="7" s="1"/>
  <c r="O10" i="12"/>
  <c r="O11" i="12" s="1"/>
  <c r="D7" i="31" l="1"/>
  <c r="B7" i="26"/>
  <c r="C17" i="8"/>
  <c r="D16" i="8"/>
  <c r="G9" i="31" s="1"/>
  <c r="H16" i="8"/>
  <c r="G16" i="8"/>
  <c r="J9" i="31" s="1"/>
  <c r="F16" i="8"/>
  <c r="I9" i="31" s="1"/>
  <c r="E16" i="8"/>
  <c r="H9" i="31" s="1"/>
  <c r="D9" i="28"/>
  <c r="I9" i="21"/>
  <c r="K9" i="21" s="1"/>
  <c r="N9" i="21" s="1"/>
  <c r="D19" i="20"/>
  <c r="C9" i="28"/>
  <c r="F9" i="28" s="1"/>
  <c r="G9" i="28" s="1"/>
  <c r="H9" i="28" s="1"/>
  <c r="K8" i="26" s="1"/>
  <c r="K8" i="31"/>
  <c r="C15" i="12"/>
  <c r="L7" i="31"/>
  <c r="O12" i="12"/>
  <c r="F8" i="28"/>
  <c r="G8" i="28" s="1"/>
  <c r="H8" i="28" s="1"/>
  <c r="K7" i="26" s="1"/>
  <c r="G57" i="12"/>
  <c r="M8" i="31" s="1"/>
  <c r="D57" i="12"/>
  <c r="C58" i="12"/>
  <c r="B6" i="21"/>
  <c r="D6" i="21" s="1"/>
  <c r="F6" i="21" s="1"/>
  <c r="C5" i="26"/>
  <c r="D5" i="26" s="1"/>
  <c r="P12" i="12"/>
  <c r="F7" i="31"/>
  <c r="N13" i="12"/>
  <c r="D16" i="12"/>
  <c r="E9" i="28" s="1"/>
  <c r="B6" i="26"/>
  <c r="D6" i="31"/>
  <c r="L11" i="5"/>
  <c r="K12" i="5"/>
  <c r="J8" i="1"/>
  <c r="K8" i="1" s="1"/>
  <c r="L8" i="1" s="1"/>
  <c r="C9" i="1" s="1"/>
  <c r="B8" i="31" s="1"/>
  <c r="B10" i="1"/>
  <c r="T53" i="21"/>
  <c r="U53" i="21" s="1"/>
  <c r="H7" i="26" s="1"/>
  <c r="D12" i="5"/>
  <c r="P9" i="7"/>
  <c r="O10" i="7"/>
  <c r="R9" i="7"/>
  <c r="S9" i="7" s="1"/>
  <c r="J7" i="26" s="1"/>
  <c r="Q9" i="7"/>
  <c r="R53" i="21"/>
  <c r="S53" i="21" s="1"/>
  <c r="G7" i="26" s="1"/>
  <c r="E11" i="5"/>
  <c r="C12" i="5"/>
  <c r="B10" i="2"/>
  <c r="C9" i="2"/>
  <c r="C8" i="31" s="1"/>
  <c r="A16" i="5"/>
  <c r="C10" i="28" l="1"/>
  <c r="K9" i="31"/>
  <c r="R10" i="7"/>
  <c r="S10" i="7" s="1"/>
  <c r="J8" i="26" s="1"/>
  <c r="Q10" i="7"/>
  <c r="P10" i="7"/>
  <c r="O11" i="7"/>
  <c r="C59" i="12"/>
  <c r="G58" i="12"/>
  <c r="M9" i="31" s="1"/>
  <c r="D58" i="12"/>
  <c r="C18" i="8"/>
  <c r="E17" i="8"/>
  <c r="H10" i="31" s="1"/>
  <c r="H17" i="8"/>
  <c r="G17" i="8"/>
  <c r="J10" i="31" s="1"/>
  <c r="F17" i="8"/>
  <c r="I10" i="31" s="1"/>
  <c r="D17" i="8"/>
  <c r="G10" i="31" s="1"/>
  <c r="T54" i="21"/>
  <c r="U54" i="21" s="1"/>
  <c r="H8" i="26" s="1"/>
  <c r="D13" i="5"/>
  <c r="B8" i="21"/>
  <c r="D8" i="21" s="1"/>
  <c r="F8" i="21" s="1"/>
  <c r="C7" i="26"/>
  <c r="D7" i="26" s="1"/>
  <c r="B11" i="1"/>
  <c r="J9" i="1"/>
  <c r="K9" i="1" s="1"/>
  <c r="L9" i="1" s="1"/>
  <c r="C10" i="1" s="1"/>
  <c r="B9" i="31" s="1"/>
  <c r="D8" i="31"/>
  <c r="B8" i="26"/>
  <c r="L12" i="5"/>
  <c r="K13" i="5"/>
  <c r="C16" i="5"/>
  <c r="A17" i="5"/>
  <c r="B7" i="21"/>
  <c r="D7" i="21" s="1"/>
  <c r="F7" i="21" s="1"/>
  <c r="C6" i="26"/>
  <c r="D6" i="26" s="1"/>
  <c r="D10" i="28"/>
  <c r="D20" i="20"/>
  <c r="I10" i="21"/>
  <c r="K10" i="21" s="1"/>
  <c r="N10" i="21" s="1"/>
  <c r="C10" i="2"/>
  <c r="C9" i="31" s="1"/>
  <c r="B11" i="2"/>
  <c r="R54" i="21"/>
  <c r="S54" i="21" s="1"/>
  <c r="G8" i="26" s="1"/>
  <c r="E12" i="5"/>
  <c r="C13" i="5"/>
  <c r="N14" i="12"/>
  <c r="D17" i="12"/>
  <c r="E10" i="28" s="1"/>
  <c r="F8" i="31"/>
  <c r="P13" i="12"/>
  <c r="O13" i="12"/>
  <c r="L8" i="31"/>
  <c r="C16" i="12"/>
  <c r="J10" i="1" l="1"/>
  <c r="K10" i="1" s="1"/>
  <c r="L10" i="1" s="1"/>
  <c r="C11" i="1" s="1"/>
  <c r="B10" i="31" s="1"/>
  <c r="B12" i="1"/>
  <c r="T55" i="21"/>
  <c r="U55" i="21" s="1"/>
  <c r="H9" i="26" s="1"/>
  <c r="D14" i="5"/>
  <c r="F10" i="28"/>
  <c r="G10" i="28" s="1"/>
  <c r="H10" i="28" s="1"/>
  <c r="K9" i="26" s="1"/>
  <c r="D11" i="28"/>
  <c r="I11" i="21"/>
  <c r="K11" i="21" s="1"/>
  <c r="N11" i="21" s="1"/>
  <c r="D21" i="20"/>
  <c r="A18" i="5"/>
  <c r="C17" i="5"/>
  <c r="C11" i="28"/>
  <c r="K10" i="31"/>
  <c r="B9" i="26"/>
  <c r="D9" i="31"/>
  <c r="R58" i="21"/>
  <c r="S58" i="21" s="1"/>
  <c r="G12" i="26" s="1"/>
  <c r="F9" i="31"/>
  <c r="P14" i="12"/>
  <c r="E18" i="8"/>
  <c r="H11" i="31" s="1"/>
  <c r="G18" i="8"/>
  <c r="J11" i="31" s="1"/>
  <c r="F18" i="8"/>
  <c r="I11" i="31" s="1"/>
  <c r="C19" i="8"/>
  <c r="H18" i="8"/>
  <c r="D18" i="8"/>
  <c r="G11" i="31" s="1"/>
  <c r="L13" i="5"/>
  <c r="K14" i="5"/>
  <c r="C17" i="12"/>
  <c r="O14" i="12"/>
  <c r="L9" i="31"/>
  <c r="B12" i="2"/>
  <c r="C11" i="2"/>
  <c r="C10" i="31" s="1"/>
  <c r="D18" i="12"/>
  <c r="E11" i="28" s="1"/>
  <c r="N15" i="12"/>
  <c r="B9" i="21"/>
  <c r="D9" i="21" s="1"/>
  <c r="F9" i="21" s="1"/>
  <c r="C8" i="26"/>
  <c r="D8" i="26" s="1"/>
  <c r="D59" i="12"/>
  <c r="G59" i="12"/>
  <c r="M10" i="31" s="1"/>
  <c r="C60" i="12"/>
  <c r="R55" i="21"/>
  <c r="S55" i="21" s="1"/>
  <c r="G9" i="26" s="1"/>
  <c r="E13" i="5"/>
  <c r="C14" i="5"/>
  <c r="O12" i="7"/>
  <c r="R11" i="7"/>
  <c r="S11" i="7" s="1"/>
  <c r="J9" i="26" s="1"/>
  <c r="P11" i="7"/>
  <c r="Q11" i="7" s="1"/>
  <c r="C61" i="12" l="1"/>
  <c r="G60" i="12"/>
  <c r="M11" i="31" s="1"/>
  <c r="D60" i="12"/>
  <c r="T56" i="21"/>
  <c r="U56" i="21" s="1"/>
  <c r="H10" i="26" s="1"/>
  <c r="D15" i="5"/>
  <c r="P15" i="12"/>
  <c r="F10" i="31"/>
  <c r="N16" i="12"/>
  <c r="D19" i="12"/>
  <c r="E12" i="28" s="1"/>
  <c r="J11" i="1"/>
  <c r="K11" i="1" s="1"/>
  <c r="L11" i="1" s="1"/>
  <c r="C12" i="1" s="1"/>
  <c r="B11" i="31" s="1"/>
  <c r="B13" i="1"/>
  <c r="C20" i="8"/>
  <c r="H19" i="8"/>
  <c r="G19" i="8"/>
  <c r="J12" i="31" s="1"/>
  <c r="F19" i="8"/>
  <c r="I12" i="31" s="1"/>
  <c r="E19" i="8"/>
  <c r="H12" i="31" s="1"/>
  <c r="D19" i="8"/>
  <c r="G12" i="31" s="1"/>
  <c r="B13" i="2"/>
  <c r="C12" i="2"/>
  <c r="C11" i="31" s="1"/>
  <c r="D10" i="31"/>
  <c r="B10" i="26"/>
  <c r="O13" i="7"/>
  <c r="R12" i="7"/>
  <c r="S12" i="7" s="1"/>
  <c r="J10" i="26" s="1"/>
  <c r="P12" i="7"/>
  <c r="Q12" i="7" s="1"/>
  <c r="R56" i="21"/>
  <c r="S56" i="21" s="1"/>
  <c r="G10" i="26" s="1"/>
  <c r="E14" i="5"/>
  <c r="C15" i="5"/>
  <c r="C18" i="5"/>
  <c r="A19" i="5"/>
  <c r="C18" i="12"/>
  <c r="O15" i="12"/>
  <c r="L10" i="31"/>
  <c r="B10" i="21"/>
  <c r="D10" i="21" s="1"/>
  <c r="F10" i="21" s="1"/>
  <c r="C9" i="26"/>
  <c r="D9" i="26" s="1"/>
  <c r="F11" i="28"/>
  <c r="G11" i="28" s="1"/>
  <c r="H11" i="28" s="1"/>
  <c r="K10" i="26" s="1"/>
  <c r="L14" i="5"/>
  <c r="K15" i="5"/>
  <c r="R59" i="21"/>
  <c r="S59" i="21" s="1"/>
  <c r="G13" i="26" s="1"/>
  <c r="C12" i="28"/>
  <c r="K11" i="31"/>
  <c r="D22" i="20"/>
  <c r="D12" i="28"/>
  <c r="I12" i="21"/>
  <c r="K12" i="21" s="1"/>
  <c r="N12" i="21" s="1"/>
  <c r="D61" i="12" l="1"/>
  <c r="C62" i="12"/>
  <c r="G61" i="12"/>
  <c r="M12" i="31" s="1"/>
  <c r="R60" i="21"/>
  <c r="S60" i="21" s="1"/>
  <c r="G14" i="26" s="1"/>
  <c r="A20" i="5"/>
  <c r="C19" i="5"/>
  <c r="D13" i="28"/>
  <c r="I13" i="21"/>
  <c r="K13" i="21" s="1"/>
  <c r="N13" i="21" s="1"/>
  <c r="D23" i="20"/>
  <c r="R57" i="21"/>
  <c r="S57" i="21" s="1"/>
  <c r="G11" i="26" s="1"/>
  <c r="E15" i="5"/>
  <c r="C21" i="8"/>
  <c r="E20" i="8"/>
  <c r="H13" i="31" s="1"/>
  <c r="D20" i="8"/>
  <c r="G13" i="31" s="1"/>
  <c r="H20" i="8"/>
  <c r="G20" i="8"/>
  <c r="J13" i="31" s="1"/>
  <c r="F20" i="8"/>
  <c r="I13" i="31" s="1"/>
  <c r="D20" i="12"/>
  <c r="E13" i="28" s="1"/>
  <c r="N17" i="12"/>
  <c r="C13" i="28"/>
  <c r="K12" i="31"/>
  <c r="F12" i="28"/>
  <c r="G12" i="28" s="1"/>
  <c r="H12" i="28" s="1"/>
  <c r="K11" i="26" s="1"/>
  <c r="B14" i="1"/>
  <c r="J12" i="1"/>
  <c r="K12" i="1" s="1"/>
  <c r="L12" i="1" s="1"/>
  <c r="C13" i="1" s="1"/>
  <c r="B12" i="31" s="1"/>
  <c r="L15" i="5"/>
  <c r="K16" i="5"/>
  <c r="R13" i="7"/>
  <c r="S13" i="7" s="1"/>
  <c r="J11" i="26" s="1"/>
  <c r="P13" i="7"/>
  <c r="Q13" i="7" s="1"/>
  <c r="O14" i="7"/>
  <c r="P16" i="12"/>
  <c r="F11" i="31"/>
  <c r="D11" i="31"/>
  <c r="B11" i="26"/>
  <c r="B11" i="21"/>
  <c r="D11" i="21" s="1"/>
  <c r="F11" i="21" s="1"/>
  <c r="C10" i="26"/>
  <c r="D10" i="26" s="1"/>
  <c r="T57" i="21"/>
  <c r="U57" i="21" s="1"/>
  <c r="H11" i="26" s="1"/>
  <c r="D16" i="5"/>
  <c r="C19" i="12"/>
  <c r="L11" i="31"/>
  <c r="O16" i="12"/>
  <c r="B14" i="2"/>
  <c r="C13" i="2"/>
  <c r="C12" i="31" s="1"/>
  <c r="C14" i="28" l="1"/>
  <c r="K13" i="31"/>
  <c r="D14" i="28"/>
  <c r="D24" i="20"/>
  <c r="I14" i="21"/>
  <c r="K14" i="21" s="1"/>
  <c r="N14" i="21" s="1"/>
  <c r="J13" i="1"/>
  <c r="K13" i="1" s="1"/>
  <c r="L13" i="1" s="1"/>
  <c r="C14" i="1" s="1"/>
  <c r="B13" i="31" s="1"/>
  <c r="B15" i="1"/>
  <c r="R61" i="21"/>
  <c r="S61" i="21" s="1"/>
  <c r="G15" i="26" s="1"/>
  <c r="O17" i="12"/>
  <c r="L12" i="31"/>
  <c r="C20" i="12"/>
  <c r="B15" i="2"/>
  <c r="C14" i="2"/>
  <c r="C13" i="31" s="1"/>
  <c r="R14" i="7"/>
  <c r="S14" i="7" s="1"/>
  <c r="J12" i="26" s="1"/>
  <c r="Q14" i="7"/>
  <c r="P14" i="7"/>
  <c r="O15" i="7"/>
  <c r="G21" i="8"/>
  <c r="J14" i="31" s="1"/>
  <c r="F21" i="8"/>
  <c r="I14" i="31" s="1"/>
  <c r="D21" i="8"/>
  <c r="G14" i="31" s="1"/>
  <c r="C22" i="8"/>
  <c r="H21" i="8"/>
  <c r="E21" i="8"/>
  <c r="H14" i="31" s="1"/>
  <c r="F13" i="28"/>
  <c r="G13" i="28" s="1"/>
  <c r="H13" i="28" s="1"/>
  <c r="K12" i="26" s="1"/>
  <c r="C20" i="5"/>
  <c r="A21" i="5"/>
  <c r="P17" i="12"/>
  <c r="F12" i="31"/>
  <c r="B12" i="26"/>
  <c r="D12" i="31"/>
  <c r="N18" i="12"/>
  <c r="D21" i="12"/>
  <c r="E14" i="28" s="1"/>
  <c r="T58" i="21"/>
  <c r="U58" i="21" s="1"/>
  <c r="H12" i="26" s="1"/>
  <c r="E16" i="5"/>
  <c r="D17" i="5"/>
  <c r="L16" i="5"/>
  <c r="K17" i="5"/>
  <c r="B12" i="21"/>
  <c r="D12" i="21" s="1"/>
  <c r="F12" i="21" s="1"/>
  <c r="C11" i="26"/>
  <c r="D11" i="26" s="1"/>
  <c r="C63" i="12"/>
  <c r="G62" i="12"/>
  <c r="M13" i="31" s="1"/>
  <c r="D62" i="12"/>
  <c r="B13" i="21" l="1"/>
  <c r="D13" i="21" s="1"/>
  <c r="F13" i="21" s="1"/>
  <c r="C12" i="26"/>
  <c r="D12" i="26" s="1"/>
  <c r="G63" i="12"/>
  <c r="M14" i="31" s="1"/>
  <c r="C64" i="12"/>
  <c r="D63" i="12"/>
  <c r="B16" i="1"/>
  <c r="J14" i="1"/>
  <c r="K14" i="1" s="1"/>
  <c r="L14" i="1" s="1"/>
  <c r="C15" i="1" s="1"/>
  <c r="B14" i="31" s="1"/>
  <c r="R62" i="21"/>
  <c r="S62" i="21" s="1"/>
  <c r="G16" i="26" s="1"/>
  <c r="B16" i="2"/>
  <c r="C15" i="2"/>
  <c r="C14" i="31" s="1"/>
  <c r="A22" i="5"/>
  <c r="C21" i="5"/>
  <c r="D13" i="31"/>
  <c r="B13" i="26"/>
  <c r="L17" i="5"/>
  <c r="K18" i="5"/>
  <c r="G22" i="8"/>
  <c r="J15" i="31" s="1"/>
  <c r="C23" i="8"/>
  <c r="H22" i="8"/>
  <c r="F22" i="8"/>
  <c r="I15" i="31" s="1"/>
  <c r="E22" i="8"/>
  <c r="H15" i="31" s="1"/>
  <c r="D22" i="8"/>
  <c r="G15" i="31" s="1"/>
  <c r="I15" i="21"/>
  <c r="K15" i="21" s="1"/>
  <c r="N15" i="21" s="1"/>
  <c r="D15" i="28"/>
  <c r="D25" i="20"/>
  <c r="F13" i="31"/>
  <c r="P18" i="12"/>
  <c r="O18" i="12"/>
  <c r="C21" i="12"/>
  <c r="L13" i="31"/>
  <c r="T59" i="21"/>
  <c r="U59" i="21" s="1"/>
  <c r="H13" i="26" s="1"/>
  <c r="E17" i="5"/>
  <c r="D18" i="5"/>
  <c r="O16" i="7"/>
  <c r="R15" i="7"/>
  <c r="S15" i="7" s="1"/>
  <c r="J13" i="26" s="1"/>
  <c r="Q15" i="7"/>
  <c r="P15" i="7"/>
  <c r="C15" i="28"/>
  <c r="K14" i="31"/>
  <c r="D22" i="12"/>
  <c r="E15" i="28" s="1"/>
  <c r="N19" i="12"/>
  <c r="F14" i="28"/>
  <c r="G14" i="28" s="1"/>
  <c r="H14" i="28" s="1"/>
  <c r="K13" i="26" s="1"/>
  <c r="R63" i="21" l="1"/>
  <c r="S63" i="21" s="1"/>
  <c r="G17" i="26" s="1"/>
  <c r="D16" i="28"/>
  <c r="I16" i="21"/>
  <c r="K16" i="21" s="1"/>
  <c r="N16" i="21" s="1"/>
  <c r="D26" i="20"/>
  <c r="J15" i="1"/>
  <c r="K15" i="1" s="1"/>
  <c r="L15" i="1" s="1"/>
  <c r="C16" i="1" s="1"/>
  <c r="B15" i="31" s="1"/>
  <c r="B17" i="1"/>
  <c r="B14" i="26"/>
  <c r="D14" i="31"/>
  <c r="N20" i="12"/>
  <c r="D23" i="12"/>
  <c r="E16" i="28" s="1"/>
  <c r="F15" i="28"/>
  <c r="G15" i="28" s="1"/>
  <c r="H15" i="28" s="1"/>
  <c r="K14" i="26" s="1"/>
  <c r="O19" i="12"/>
  <c r="L14" i="31"/>
  <c r="C22" i="12"/>
  <c r="C16" i="28"/>
  <c r="F16" i="28" s="1"/>
  <c r="G16" i="28" s="1"/>
  <c r="H16" i="28" s="1"/>
  <c r="K15" i="26" s="1"/>
  <c r="K15" i="31"/>
  <c r="G23" i="8"/>
  <c r="J16" i="31" s="1"/>
  <c r="E23" i="8"/>
  <c r="H16" i="31" s="1"/>
  <c r="C24" i="8"/>
  <c r="H23" i="8"/>
  <c r="F23" i="8"/>
  <c r="I16" i="31" s="1"/>
  <c r="D23" i="8"/>
  <c r="G16" i="31" s="1"/>
  <c r="C65" i="12"/>
  <c r="G64" i="12"/>
  <c r="M15" i="31" s="1"/>
  <c r="D64" i="12"/>
  <c r="B14" i="21"/>
  <c r="D14" i="21" s="1"/>
  <c r="F14" i="21" s="1"/>
  <c r="C13" i="26"/>
  <c r="D13" i="26" s="1"/>
  <c r="C22" i="5"/>
  <c r="A23" i="5"/>
  <c r="B17" i="2"/>
  <c r="C16" i="2"/>
  <c r="C15" i="31" s="1"/>
  <c r="T60" i="21"/>
  <c r="U60" i="21" s="1"/>
  <c r="H14" i="26" s="1"/>
  <c r="E18" i="5"/>
  <c r="D19" i="5"/>
  <c r="L18" i="5"/>
  <c r="K19" i="5"/>
  <c r="F14" i="31"/>
  <c r="P19" i="12"/>
  <c r="R16" i="7"/>
  <c r="S16" i="7" s="1"/>
  <c r="J14" i="26" s="1"/>
  <c r="P16" i="7"/>
  <c r="Q16" i="7" s="1"/>
  <c r="O17" i="7"/>
  <c r="N21" i="12" l="1"/>
  <c r="D24" i="12"/>
  <c r="E17" i="28" s="1"/>
  <c r="R64" i="21"/>
  <c r="S64" i="21" s="1"/>
  <c r="G18" i="26" s="1"/>
  <c r="B18" i="2"/>
  <c r="C17" i="2"/>
  <c r="C16" i="31" s="1"/>
  <c r="D15" i="31"/>
  <c r="B15" i="26"/>
  <c r="D65" i="12"/>
  <c r="C66" i="12"/>
  <c r="G65" i="12"/>
  <c r="M16" i="31" s="1"/>
  <c r="D17" i="28"/>
  <c r="I17" i="21"/>
  <c r="K17" i="21" s="1"/>
  <c r="N17" i="21" s="1"/>
  <c r="D27" i="20"/>
  <c r="T61" i="21"/>
  <c r="U61" i="21" s="1"/>
  <c r="H15" i="26" s="1"/>
  <c r="E19" i="5"/>
  <c r="D20" i="5"/>
  <c r="O18" i="7"/>
  <c r="R17" i="7"/>
  <c r="S17" i="7" s="1"/>
  <c r="J15" i="26" s="1"/>
  <c r="P17" i="7"/>
  <c r="Q17" i="7" s="1"/>
  <c r="F15" i="31"/>
  <c r="P20" i="12"/>
  <c r="J16" i="1"/>
  <c r="K16" i="1" s="1"/>
  <c r="L16" i="1" s="1"/>
  <c r="C17" i="1" s="1"/>
  <c r="B16" i="31" s="1"/>
  <c r="B18" i="1"/>
  <c r="C17" i="28"/>
  <c r="K16" i="31"/>
  <c r="C23" i="5"/>
  <c r="A24" i="5"/>
  <c r="L19" i="5"/>
  <c r="K20" i="5"/>
  <c r="L15" i="31"/>
  <c r="O20" i="12"/>
  <c r="C23" i="12"/>
  <c r="C14" i="26"/>
  <c r="D14" i="26" s="1"/>
  <c r="B15" i="21"/>
  <c r="D15" i="21" s="1"/>
  <c r="F15" i="21" s="1"/>
  <c r="G24" i="8"/>
  <c r="J17" i="31" s="1"/>
  <c r="F24" i="8"/>
  <c r="I17" i="31" s="1"/>
  <c r="D24" i="8"/>
  <c r="G17" i="31" s="1"/>
  <c r="H24" i="8"/>
  <c r="E24" i="8"/>
  <c r="H17" i="31" s="1"/>
  <c r="C25" i="8"/>
  <c r="L20" i="5" l="1"/>
  <c r="K21" i="5"/>
  <c r="A25" i="5"/>
  <c r="C24" i="5"/>
  <c r="R65" i="21"/>
  <c r="S65" i="21" s="1"/>
  <c r="G19" i="26" s="1"/>
  <c r="G25" i="8"/>
  <c r="J18" i="31" s="1"/>
  <c r="D25" i="8"/>
  <c r="G18" i="31" s="1"/>
  <c r="F25" i="8"/>
  <c r="I18" i="31" s="1"/>
  <c r="C26" i="8"/>
  <c r="H25" i="8"/>
  <c r="E25" i="8"/>
  <c r="H18" i="31" s="1"/>
  <c r="C67" i="12"/>
  <c r="G66" i="12"/>
  <c r="M17" i="31" s="1"/>
  <c r="D66" i="12"/>
  <c r="B19" i="1"/>
  <c r="J17" i="1"/>
  <c r="K17" i="1" s="1"/>
  <c r="L17" i="1" s="1"/>
  <c r="C18" i="1" s="1"/>
  <c r="B17" i="31" s="1"/>
  <c r="C18" i="2"/>
  <c r="C17" i="31" s="1"/>
  <c r="B19" i="2"/>
  <c r="O21" i="12"/>
  <c r="L16" i="31"/>
  <c r="C24" i="12"/>
  <c r="P21" i="12"/>
  <c r="F16" i="31"/>
  <c r="D18" i="28"/>
  <c r="D28" i="20"/>
  <c r="I18" i="21"/>
  <c r="K18" i="21" s="1"/>
  <c r="N18" i="21" s="1"/>
  <c r="F17" i="28"/>
  <c r="G17" i="28" s="1"/>
  <c r="H17" i="28" s="1"/>
  <c r="K16" i="26" s="1"/>
  <c r="B16" i="21"/>
  <c r="D16" i="21" s="1"/>
  <c r="F16" i="21" s="1"/>
  <c r="C15" i="26"/>
  <c r="D15" i="26" s="1"/>
  <c r="C18" i="28"/>
  <c r="F18" i="28" s="1"/>
  <c r="G18" i="28" s="1"/>
  <c r="H18" i="28" s="1"/>
  <c r="K17" i="26" s="1"/>
  <c r="K17" i="31"/>
  <c r="R18" i="7"/>
  <c r="S18" i="7" s="1"/>
  <c r="J16" i="26" s="1"/>
  <c r="P18" i="7"/>
  <c r="Q18" i="7" s="1"/>
  <c r="O19" i="7"/>
  <c r="B16" i="26"/>
  <c r="D16" i="31"/>
  <c r="T62" i="21"/>
  <c r="U62" i="21" s="1"/>
  <c r="H16" i="26" s="1"/>
  <c r="D21" i="5"/>
  <c r="E20" i="5"/>
  <c r="N22" i="12"/>
  <c r="D25" i="12"/>
  <c r="E18" i="28" s="1"/>
  <c r="H26" i="8" l="1"/>
  <c r="G26" i="8"/>
  <c r="J19" i="31" s="1"/>
  <c r="E26" i="8"/>
  <c r="H19" i="31" s="1"/>
  <c r="C27" i="8"/>
  <c r="F26" i="8"/>
  <c r="I19" i="31" s="1"/>
  <c r="D26" i="8"/>
  <c r="G19" i="31" s="1"/>
  <c r="D19" i="28"/>
  <c r="I19" i="21"/>
  <c r="K19" i="21" s="1"/>
  <c r="N19" i="21" s="1"/>
  <c r="D29" i="20"/>
  <c r="G67" i="12"/>
  <c r="M18" i="31" s="1"/>
  <c r="C68" i="12"/>
  <c r="D67" i="12"/>
  <c r="D26" i="12"/>
  <c r="E19" i="28" s="1"/>
  <c r="N23" i="12"/>
  <c r="R66" i="21"/>
  <c r="S66" i="21" s="1"/>
  <c r="G20" i="26" s="1"/>
  <c r="O22" i="12"/>
  <c r="C25" i="12"/>
  <c r="L17" i="31"/>
  <c r="T63" i="21"/>
  <c r="U63" i="21" s="1"/>
  <c r="H17" i="26" s="1"/>
  <c r="D22" i="5"/>
  <c r="E21" i="5"/>
  <c r="F17" i="31"/>
  <c r="P22" i="12"/>
  <c r="O20" i="7"/>
  <c r="R19" i="7"/>
  <c r="S19" i="7" s="1"/>
  <c r="J17" i="26" s="1"/>
  <c r="P19" i="7"/>
  <c r="Q19" i="7" s="1"/>
  <c r="B17" i="26"/>
  <c r="D17" i="31"/>
  <c r="C25" i="5"/>
  <c r="A26" i="5"/>
  <c r="B17" i="21"/>
  <c r="D17" i="21" s="1"/>
  <c r="F17" i="21" s="1"/>
  <c r="C16" i="26"/>
  <c r="D16" i="26" s="1"/>
  <c r="B20" i="2"/>
  <c r="C19" i="2"/>
  <c r="C18" i="31" s="1"/>
  <c r="L21" i="5"/>
  <c r="K22" i="5"/>
  <c r="C19" i="28"/>
  <c r="K18" i="31"/>
  <c r="J18" i="1"/>
  <c r="K18" i="1" s="1"/>
  <c r="L18" i="1" s="1"/>
  <c r="C19" i="1" s="1"/>
  <c r="B18" i="31" s="1"/>
  <c r="B20" i="1"/>
  <c r="D27" i="12" l="1"/>
  <c r="E20" i="28" s="1"/>
  <c r="N24" i="12"/>
  <c r="J19" i="1"/>
  <c r="K19" i="1" s="1"/>
  <c r="L19" i="1" s="1"/>
  <c r="C20" i="1" s="1"/>
  <c r="B19" i="31" s="1"/>
  <c r="B21" i="1"/>
  <c r="B18" i="21"/>
  <c r="D18" i="21" s="1"/>
  <c r="F18" i="21" s="1"/>
  <c r="C17" i="26"/>
  <c r="D17" i="26" s="1"/>
  <c r="C69" i="12"/>
  <c r="G68" i="12"/>
  <c r="M19" i="31" s="1"/>
  <c r="D68" i="12"/>
  <c r="R67" i="21"/>
  <c r="S67" i="21" s="1"/>
  <c r="G21" i="26" s="1"/>
  <c r="F19" i="28"/>
  <c r="G19" i="28" s="1"/>
  <c r="H19" i="28" s="1"/>
  <c r="K18" i="26" s="1"/>
  <c r="P23" i="12"/>
  <c r="F18" i="31"/>
  <c r="E27" i="8"/>
  <c r="H20" i="31" s="1"/>
  <c r="C28" i="8"/>
  <c r="H27" i="8"/>
  <c r="G27" i="8"/>
  <c r="J20" i="31" s="1"/>
  <c r="F27" i="8"/>
  <c r="I20" i="31" s="1"/>
  <c r="D27" i="8"/>
  <c r="G20" i="31" s="1"/>
  <c r="D30" i="20"/>
  <c r="D20" i="28"/>
  <c r="I20" i="21"/>
  <c r="K20" i="21" s="1"/>
  <c r="N20" i="21" s="1"/>
  <c r="B21" i="2"/>
  <c r="C20" i="2"/>
  <c r="C19" i="31" s="1"/>
  <c r="O23" i="12"/>
  <c r="L18" i="31"/>
  <c r="C26" i="12"/>
  <c r="O21" i="7"/>
  <c r="R20" i="7"/>
  <c r="S20" i="7" s="1"/>
  <c r="J18" i="26" s="1"/>
  <c r="P20" i="7"/>
  <c r="Q20" i="7" s="1"/>
  <c r="K23" i="5"/>
  <c r="L22" i="5"/>
  <c r="T64" i="21"/>
  <c r="U64" i="21" s="1"/>
  <c r="H18" i="26" s="1"/>
  <c r="E22" i="5"/>
  <c r="D23" i="5"/>
  <c r="A27" i="5"/>
  <c r="C26" i="5"/>
  <c r="D18" i="31"/>
  <c r="B18" i="26"/>
  <c r="C20" i="28"/>
  <c r="F20" i="28" s="1"/>
  <c r="G20" i="28" s="1"/>
  <c r="H20" i="28" s="1"/>
  <c r="K19" i="26" s="1"/>
  <c r="K19" i="31"/>
  <c r="B22" i="2" l="1"/>
  <c r="C21" i="2"/>
  <c r="C20" i="31" s="1"/>
  <c r="G69" i="12"/>
  <c r="M20" i="31" s="1"/>
  <c r="D69" i="12"/>
  <c r="C70" i="12"/>
  <c r="B19" i="21"/>
  <c r="D19" i="21" s="1"/>
  <c r="F19" i="21" s="1"/>
  <c r="C18" i="26"/>
  <c r="D18" i="26" s="1"/>
  <c r="A28" i="5"/>
  <c r="C27" i="5"/>
  <c r="E28" i="8"/>
  <c r="H21" i="31" s="1"/>
  <c r="D28" i="8"/>
  <c r="G21" i="31" s="1"/>
  <c r="G28" i="8"/>
  <c r="J21" i="31" s="1"/>
  <c r="C29" i="8"/>
  <c r="H28" i="8"/>
  <c r="F28" i="8"/>
  <c r="I21" i="31" s="1"/>
  <c r="O22" i="7"/>
  <c r="R21" i="7"/>
  <c r="S21" i="7" s="1"/>
  <c r="J19" i="26" s="1"/>
  <c r="P21" i="7"/>
  <c r="Q21" i="7" s="1"/>
  <c r="T65" i="21"/>
  <c r="U65" i="21" s="1"/>
  <c r="H19" i="26" s="1"/>
  <c r="D24" i="5"/>
  <c r="E23" i="5"/>
  <c r="D21" i="28"/>
  <c r="D31" i="20"/>
  <c r="I21" i="21"/>
  <c r="K21" i="21" s="1"/>
  <c r="N21" i="21" s="1"/>
  <c r="R68" i="21"/>
  <c r="S68" i="21" s="1"/>
  <c r="G22" i="26" s="1"/>
  <c r="B22" i="1"/>
  <c r="J20" i="1"/>
  <c r="K20" i="1" s="1"/>
  <c r="L20" i="1" s="1"/>
  <c r="C21" i="1" s="1"/>
  <c r="B20" i="31" s="1"/>
  <c r="P24" i="12"/>
  <c r="F19" i="31"/>
  <c r="D19" i="31"/>
  <c r="B19" i="26"/>
  <c r="C27" i="12"/>
  <c r="L19" i="31"/>
  <c r="O24" i="12"/>
  <c r="D28" i="12"/>
  <c r="E21" i="28" s="1"/>
  <c r="N25" i="12"/>
  <c r="L23" i="5"/>
  <c r="K24" i="5"/>
  <c r="C21" i="28"/>
  <c r="F21" i="28" s="1"/>
  <c r="G21" i="28" s="1"/>
  <c r="H21" i="28" s="1"/>
  <c r="K20" i="26" s="1"/>
  <c r="K20" i="31"/>
  <c r="C22" i="28" l="1"/>
  <c r="K21" i="31"/>
  <c r="C30" i="8"/>
  <c r="H29" i="8"/>
  <c r="G29" i="8"/>
  <c r="J22" i="31" s="1"/>
  <c r="E29" i="8"/>
  <c r="H22" i="31" s="1"/>
  <c r="F29" i="8"/>
  <c r="I22" i="31" s="1"/>
  <c r="D29" i="8"/>
  <c r="G22" i="31" s="1"/>
  <c r="D70" i="12"/>
  <c r="C71" i="12"/>
  <c r="G70" i="12"/>
  <c r="M21" i="31" s="1"/>
  <c r="J21" i="1"/>
  <c r="K21" i="1" s="1"/>
  <c r="L21" i="1" s="1"/>
  <c r="C22" i="1" s="1"/>
  <c r="B21" i="31" s="1"/>
  <c r="B23" i="1"/>
  <c r="D22" i="28"/>
  <c r="I22" i="21"/>
  <c r="K22" i="21" s="1"/>
  <c r="N22" i="21" s="1"/>
  <c r="D32" i="20"/>
  <c r="A29" i="5"/>
  <c r="C28" i="5"/>
  <c r="L20" i="31"/>
  <c r="C28" i="12"/>
  <c r="O25" i="12"/>
  <c r="F20" i="31"/>
  <c r="P25" i="12"/>
  <c r="R69" i="21"/>
  <c r="S69" i="21" s="1"/>
  <c r="G23" i="26" s="1"/>
  <c r="D20" i="31"/>
  <c r="B20" i="26"/>
  <c r="T66" i="21"/>
  <c r="U66" i="21" s="1"/>
  <c r="H20" i="26" s="1"/>
  <c r="D25" i="5"/>
  <c r="E24" i="5"/>
  <c r="B20" i="21"/>
  <c r="D20" i="21" s="1"/>
  <c r="F20" i="21" s="1"/>
  <c r="C19" i="26"/>
  <c r="D19" i="26" s="1"/>
  <c r="L24" i="5"/>
  <c r="K25" i="5"/>
  <c r="N26" i="12"/>
  <c r="D29" i="12"/>
  <c r="E22" i="28" s="1"/>
  <c r="O23" i="7"/>
  <c r="R22" i="7"/>
  <c r="S22" i="7" s="1"/>
  <c r="J20" i="26" s="1"/>
  <c r="P22" i="7"/>
  <c r="Q22" i="7" s="1"/>
  <c r="B23" i="2"/>
  <c r="C22" i="2"/>
  <c r="C21" i="31" s="1"/>
  <c r="B21" i="21" l="1"/>
  <c r="D21" i="21" s="1"/>
  <c r="F21" i="21" s="1"/>
  <c r="C20" i="26"/>
  <c r="D20" i="26" s="1"/>
  <c r="C23" i="2"/>
  <c r="C22" i="31" s="1"/>
  <c r="B24" i="2"/>
  <c r="C29" i="12"/>
  <c r="L21" i="31"/>
  <c r="O26" i="12"/>
  <c r="C72" i="12"/>
  <c r="D71" i="12"/>
  <c r="G71" i="12"/>
  <c r="M22" i="31" s="1"/>
  <c r="P26" i="12"/>
  <c r="F21" i="31"/>
  <c r="B21" i="26"/>
  <c r="D21" i="31"/>
  <c r="C23" i="28"/>
  <c r="F23" i="28" s="1"/>
  <c r="G23" i="28" s="1"/>
  <c r="H23" i="28" s="1"/>
  <c r="K22" i="26" s="1"/>
  <c r="K22" i="31"/>
  <c r="T67" i="21"/>
  <c r="U67" i="21" s="1"/>
  <c r="H21" i="26" s="1"/>
  <c r="E25" i="5"/>
  <c r="D26" i="5"/>
  <c r="B24" i="1"/>
  <c r="J22" i="1"/>
  <c r="K22" i="1" s="1"/>
  <c r="L22" i="1" s="1"/>
  <c r="C23" i="1" s="1"/>
  <c r="B22" i="31" s="1"/>
  <c r="O24" i="7"/>
  <c r="R23" i="7"/>
  <c r="S23" i="7" s="1"/>
  <c r="J21" i="26" s="1"/>
  <c r="Q23" i="7"/>
  <c r="P23" i="7"/>
  <c r="R70" i="21"/>
  <c r="S70" i="21" s="1"/>
  <c r="G24" i="26" s="1"/>
  <c r="C31" i="8"/>
  <c r="H30" i="8"/>
  <c r="G30" i="8"/>
  <c r="J23" i="31" s="1"/>
  <c r="F30" i="8"/>
  <c r="I23" i="31" s="1"/>
  <c r="E30" i="8"/>
  <c r="H23" i="31" s="1"/>
  <c r="D30" i="8"/>
  <c r="G23" i="31" s="1"/>
  <c r="I23" i="21"/>
  <c r="K23" i="21" s="1"/>
  <c r="N23" i="21" s="1"/>
  <c r="D23" i="28"/>
  <c r="D33" i="20"/>
  <c r="N27" i="12"/>
  <c r="D30" i="12"/>
  <c r="E23" i="28" s="1"/>
  <c r="L25" i="5"/>
  <c r="K26" i="5"/>
  <c r="L26" i="5" s="1"/>
  <c r="C29" i="5"/>
  <c r="A30" i="5"/>
  <c r="F22" i="28"/>
  <c r="G22" i="28" s="1"/>
  <c r="H22" i="28" s="1"/>
  <c r="K21" i="26" s="1"/>
  <c r="D31" i="8" l="1"/>
  <c r="G24" i="31" s="1"/>
  <c r="F31" i="8"/>
  <c r="I24" i="31" s="1"/>
  <c r="H31" i="8"/>
  <c r="C32" i="8"/>
  <c r="G31" i="8"/>
  <c r="J24" i="31" s="1"/>
  <c r="E31" i="8"/>
  <c r="H24" i="31" s="1"/>
  <c r="B22" i="26"/>
  <c r="D22" i="31"/>
  <c r="C73" i="12"/>
  <c r="G72" i="12"/>
  <c r="M23" i="31" s="1"/>
  <c r="D72" i="12"/>
  <c r="F22" i="31"/>
  <c r="P27" i="12"/>
  <c r="C24" i="28"/>
  <c r="F24" i="28" s="1"/>
  <c r="G24" i="28" s="1"/>
  <c r="H24" i="28" s="1"/>
  <c r="K23" i="26" s="1"/>
  <c r="K23" i="31"/>
  <c r="R71" i="21"/>
  <c r="S71" i="21" s="1"/>
  <c r="G25" i="26" s="1"/>
  <c r="N28" i="12"/>
  <c r="D31" i="12"/>
  <c r="E24" i="28" s="1"/>
  <c r="D24" i="28"/>
  <c r="I24" i="21"/>
  <c r="K24" i="21" s="1"/>
  <c r="N24" i="21" s="1"/>
  <c r="D34" i="20"/>
  <c r="J23" i="1"/>
  <c r="K23" i="1" s="1"/>
  <c r="L23" i="1" s="1"/>
  <c r="C24" i="1" s="1"/>
  <c r="B23" i="31" s="1"/>
  <c r="B25" i="1"/>
  <c r="B25" i="2"/>
  <c r="C24" i="2"/>
  <c r="C23" i="31" s="1"/>
  <c r="A31" i="5"/>
  <c r="C30" i="5"/>
  <c r="O27" i="12"/>
  <c r="L22" i="31"/>
  <c r="C30" i="12"/>
  <c r="T68" i="21"/>
  <c r="U68" i="21" s="1"/>
  <c r="H22" i="26" s="1"/>
  <c r="E26" i="5"/>
  <c r="D27" i="5"/>
  <c r="B22" i="21"/>
  <c r="D22" i="21" s="1"/>
  <c r="F22" i="21" s="1"/>
  <c r="C21" i="26"/>
  <c r="D21" i="26" s="1"/>
  <c r="O25" i="7"/>
  <c r="R24" i="7"/>
  <c r="S24" i="7" s="1"/>
  <c r="J22" i="26" s="1"/>
  <c r="P24" i="7"/>
  <c r="Q24" i="7" s="1"/>
  <c r="P28" i="12" l="1"/>
  <c r="F23" i="31"/>
  <c r="B26" i="2"/>
  <c r="C25" i="2"/>
  <c r="C24" i="31" s="1"/>
  <c r="B23" i="21"/>
  <c r="D23" i="21" s="1"/>
  <c r="F23" i="21" s="1"/>
  <c r="C22" i="26"/>
  <c r="D22" i="26" s="1"/>
  <c r="R72" i="21"/>
  <c r="S72" i="21" s="1"/>
  <c r="G26" i="26" s="1"/>
  <c r="C74" i="12"/>
  <c r="G73" i="12"/>
  <c r="M24" i="31" s="1"/>
  <c r="D73" i="12"/>
  <c r="O28" i="12"/>
  <c r="C31" i="12"/>
  <c r="L23" i="31"/>
  <c r="C33" i="8"/>
  <c r="G32" i="8"/>
  <c r="J25" i="31" s="1"/>
  <c r="F32" i="8"/>
  <c r="I25" i="31" s="1"/>
  <c r="H32" i="8"/>
  <c r="E32" i="8"/>
  <c r="H25" i="31" s="1"/>
  <c r="D32" i="8"/>
  <c r="G25" i="31" s="1"/>
  <c r="A32" i="5"/>
  <c r="C31" i="5"/>
  <c r="T69" i="21"/>
  <c r="U69" i="21" s="1"/>
  <c r="H23" i="26" s="1"/>
  <c r="D28" i="5"/>
  <c r="E27" i="5"/>
  <c r="C25" i="28"/>
  <c r="F25" i="28" s="1"/>
  <c r="G25" i="28" s="1"/>
  <c r="H25" i="28" s="1"/>
  <c r="K24" i="26" s="1"/>
  <c r="K24" i="31"/>
  <c r="J24" i="1"/>
  <c r="K24" i="1" s="1"/>
  <c r="L24" i="1" s="1"/>
  <c r="C25" i="1" s="1"/>
  <c r="B24" i="31" s="1"/>
  <c r="B26" i="1"/>
  <c r="P25" i="7"/>
  <c r="Q25" i="7" s="1"/>
  <c r="O26" i="7"/>
  <c r="R25" i="7"/>
  <c r="S25" i="7" s="1"/>
  <c r="J23" i="26" s="1"/>
  <c r="N29" i="12"/>
  <c r="D32" i="12"/>
  <c r="E25" i="28" s="1"/>
  <c r="D23" i="31"/>
  <c r="B23" i="26"/>
  <c r="D35" i="20"/>
  <c r="D25" i="28"/>
  <c r="I25" i="21"/>
  <c r="K25" i="21" s="1"/>
  <c r="N25" i="21" s="1"/>
  <c r="B27" i="1" l="1"/>
  <c r="J25" i="1"/>
  <c r="K25" i="1" s="1"/>
  <c r="L25" i="1" s="1"/>
  <c r="C26" i="1" s="1"/>
  <c r="B25" i="31" s="1"/>
  <c r="D26" i="28"/>
  <c r="D36" i="20"/>
  <c r="I26" i="21"/>
  <c r="K26" i="21" s="1"/>
  <c r="N26" i="21" s="1"/>
  <c r="O27" i="7"/>
  <c r="R26" i="7"/>
  <c r="S26" i="7" s="1"/>
  <c r="J24" i="26" s="1"/>
  <c r="P26" i="7"/>
  <c r="Q26" i="7" s="1"/>
  <c r="C32" i="12"/>
  <c r="O29" i="12"/>
  <c r="L24" i="31"/>
  <c r="D24" i="31"/>
  <c r="B24" i="26"/>
  <c r="T70" i="21"/>
  <c r="U70" i="21" s="1"/>
  <c r="H24" i="26" s="1"/>
  <c r="D29" i="5"/>
  <c r="E28" i="5"/>
  <c r="B27" i="2"/>
  <c r="C26" i="2"/>
  <c r="C25" i="31" s="1"/>
  <c r="G33" i="8"/>
  <c r="J26" i="31" s="1"/>
  <c r="H33" i="8"/>
  <c r="F33" i="8"/>
  <c r="I26" i="31" s="1"/>
  <c r="E33" i="8"/>
  <c r="H26" i="31" s="1"/>
  <c r="D33" i="8"/>
  <c r="G26" i="31" s="1"/>
  <c r="C34" i="8"/>
  <c r="D74" i="12"/>
  <c r="C75" i="12"/>
  <c r="G74" i="12"/>
  <c r="M25" i="31" s="1"/>
  <c r="B24" i="21"/>
  <c r="D24" i="21" s="1"/>
  <c r="F24" i="21" s="1"/>
  <c r="C23" i="26"/>
  <c r="D23" i="26" s="1"/>
  <c r="N30" i="12"/>
  <c r="D33" i="12"/>
  <c r="E26" i="28" s="1"/>
  <c r="C26" i="28"/>
  <c r="K25" i="31"/>
  <c r="R73" i="21"/>
  <c r="S73" i="21" s="1"/>
  <c r="G27" i="26" s="1"/>
  <c r="A33" i="5"/>
  <c r="C32" i="5"/>
  <c r="F24" i="31"/>
  <c r="P29" i="12"/>
  <c r="T71" i="21" l="1"/>
  <c r="U71" i="21" s="1"/>
  <c r="H25" i="26" s="1"/>
  <c r="E29" i="5"/>
  <c r="D30" i="5"/>
  <c r="N31" i="12"/>
  <c r="D34" i="12"/>
  <c r="E27" i="28" s="1"/>
  <c r="B25" i="26"/>
  <c r="D25" i="31"/>
  <c r="C35" i="8"/>
  <c r="H34" i="8"/>
  <c r="D34" i="8"/>
  <c r="G27" i="31" s="1"/>
  <c r="G34" i="8"/>
  <c r="J27" i="31" s="1"/>
  <c r="F34" i="8"/>
  <c r="I27" i="31" s="1"/>
  <c r="E34" i="8"/>
  <c r="H27" i="31" s="1"/>
  <c r="O28" i="7"/>
  <c r="R27" i="7"/>
  <c r="S27" i="7" s="1"/>
  <c r="J25" i="26" s="1"/>
  <c r="Q27" i="7"/>
  <c r="P27" i="7"/>
  <c r="D27" i="28"/>
  <c r="I27" i="21"/>
  <c r="K27" i="21" s="1"/>
  <c r="N27" i="21" s="1"/>
  <c r="D37" i="20"/>
  <c r="C33" i="12"/>
  <c r="L25" i="31"/>
  <c r="O30" i="12"/>
  <c r="R74" i="21"/>
  <c r="S74" i="21" s="1"/>
  <c r="G28" i="26" s="1"/>
  <c r="F25" i="31"/>
  <c r="P30" i="12"/>
  <c r="C27" i="28"/>
  <c r="F27" i="28" s="1"/>
  <c r="G27" i="28" s="1"/>
  <c r="H27" i="28" s="1"/>
  <c r="K26" i="26" s="1"/>
  <c r="K26" i="31"/>
  <c r="B25" i="21"/>
  <c r="D25" i="21" s="1"/>
  <c r="F25" i="21" s="1"/>
  <c r="C24" i="26"/>
  <c r="D24" i="26" s="1"/>
  <c r="C76" i="12"/>
  <c r="D75" i="12"/>
  <c r="G75" i="12"/>
  <c r="M26" i="31" s="1"/>
  <c r="A34" i="5"/>
  <c r="C33" i="5"/>
  <c r="B28" i="2"/>
  <c r="C27" i="2"/>
  <c r="C26" i="31" s="1"/>
  <c r="F26" i="28"/>
  <c r="G26" i="28" s="1"/>
  <c r="H26" i="28" s="1"/>
  <c r="K25" i="26" s="1"/>
  <c r="J26" i="1"/>
  <c r="K26" i="1" s="1"/>
  <c r="L26" i="1" s="1"/>
  <c r="C27" i="1" s="1"/>
  <c r="B26" i="31" s="1"/>
  <c r="B28" i="1"/>
  <c r="P28" i="7" l="1"/>
  <c r="Q28" i="7" s="1"/>
  <c r="O29" i="7"/>
  <c r="R28" i="7"/>
  <c r="S28" i="7" s="1"/>
  <c r="J26" i="26" s="1"/>
  <c r="B26" i="26"/>
  <c r="D26" i="31"/>
  <c r="C77" i="12"/>
  <c r="G76" i="12"/>
  <c r="M27" i="31" s="1"/>
  <c r="D76" i="12"/>
  <c r="C25" i="26"/>
  <c r="D25" i="26" s="1"/>
  <c r="B26" i="21"/>
  <c r="D26" i="21" s="1"/>
  <c r="F26" i="21" s="1"/>
  <c r="J27" i="1"/>
  <c r="K27" i="1" s="1"/>
  <c r="L27" i="1" s="1"/>
  <c r="C28" i="1" s="1"/>
  <c r="B27" i="31" s="1"/>
  <c r="B29" i="1"/>
  <c r="G35" i="8"/>
  <c r="J28" i="31" s="1"/>
  <c r="E35" i="8"/>
  <c r="H28" i="31" s="1"/>
  <c r="D35" i="8"/>
  <c r="G28" i="31" s="1"/>
  <c r="H35" i="8"/>
  <c r="C36" i="8"/>
  <c r="F35" i="8"/>
  <c r="I28" i="31" s="1"/>
  <c r="D28" i="28"/>
  <c r="I28" i="21"/>
  <c r="K28" i="21" s="1"/>
  <c r="N28" i="21" s="1"/>
  <c r="D38" i="20"/>
  <c r="D35" i="12"/>
  <c r="E28" i="28" s="1"/>
  <c r="N32" i="12"/>
  <c r="B29" i="2"/>
  <c r="C28" i="2"/>
  <c r="C27" i="31" s="1"/>
  <c r="T72" i="21"/>
  <c r="U72" i="21" s="1"/>
  <c r="H26" i="26" s="1"/>
  <c r="E30" i="5"/>
  <c r="D31" i="5"/>
  <c r="P31" i="12"/>
  <c r="F26" i="31"/>
  <c r="C28" i="28"/>
  <c r="F28" i="28" s="1"/>
  <c r="G28" i="28" s="1"/>
  <c r="H28" i="28" s="1"/>
  <c r="K27" i="26" s="1"/>
  <c r="K27" i="31"/>
  <c r="R75" i="21"/>
  <c r="S75" i="21" s="1"/>
  <c r="G29" i="26" s="1"/>
  <c r="C34" i="5"/>
  <c r="A35" i="5"/>
  <c r="C34" i="12"/>
  <c r="O31" i="12"/>
  <c r="L26" i="31"/>
  <c r="B30" i="1" l="1"/>
  <c r="J28" i="1"/>
  <c r="K28" i="1" s="1"/>
  <c r="L28" i="1" s="1"/>
  <c r="C29" i="1" s="1"/>
  <c r="B28" i="31" s="1"/>
  <c r="B30" i="2"/>
  <c r="C29" i="2"/>
  <c r="C28" i="31" s="1"/>
  <c r="T73" i="21"/>
  <c r="U73" i="21" s="1"/>
  <c r="H27" i="26" s="1"/>
  <c r="E31" i="5"/>
  <c r="D32" i="5"/>
  <c r="C35" i="12"/>
  <c r="O32" i="12"/>
  <c r="L27" i="31"/>
  <c r="C78" i="12"/>
  <c r="G77" i="12"/>
  <c r="M28" i="31" s="1"/>
  <c r="D77" i="12"/>
  <c r="B27" i="21"/>
  <c r="D27" i="21" s="1"/>
  <c r="F27" i="21" s="1"/>
  <c r="C26" i="26"/>
  <c r="D26" i="26" s="1"/>
  <c r="D27" i="31"/>
  <c r="B27" i="26"/>
  <c r="O30" i="7"/>
  <c r="R29" i="7"/>
  <c r="S29" i="7" s="1"/>
  <c r="J27" i="26" s="1"/>
  <c r="P29" i="7"/>
  <c r="Q29" i="7" s="1"/>
  <c r="P32" i="12"/>
  <c r="F27" i="31"/>
  <c r="R76" i="21"/>
  <c r="S76" i="21" s="1"/>
  <c r="G30" i="26" s="1"/>
  <c r="E36" i="8"/>
  <c r="H29" i="31" s="1"/>
  <c r="G36" i="8"/>
  <c r="J29" i="31" s="1"/>
  <c r="F36" i="8"/>
  <c r="I29" i="31" s="1"/>
  <c r="H36" i="8"/>
  <c r="C37" i="8"/>
  <c r="D36" i="8"/>
  <c r="G29" i="31" s="1"/>
  <c r="D36" i="12"/>
  <c r="E29" i="28" s="1"/>
  <c r="N33" i="12"/>
  <c r="D29" i="28"/>
  <c r="D39" i="20"/>
  <c r="I29" i="21"/>
  <c r="K29" i="21" s="1"/>
  <c r="N29" i="21" s="1"/>
  <c r="A36" i="5"/>
  <c r="C35" i="5"/>
  <c r="C29" i="28"/>
  <c r="K28" i="31"/>
  <c r="L28" i="31" l="1"/>
  <c r="O33" i="12"/>
  <c r="C36" i="12"/>
  <c r="R77" i="21"/>
  <c r="S77" i="21" s="1"/>
  <c r="G31" i="26" s="1"/>
  <c r="B28" i="26"/>
  <c r="D28" i="31"/>
  <c r="D78" i="12"/>
  <c r="C79" i="12"/>
  <c r="G78" i="12"/>
  <c r="M29" i="31" s="1"/>
  <c r="F29" i="28"/>
  <c r="G29" i="28" s="1"/>
  <c r="H29" i="28" s="1"/>
  <c r="K28" i="26" s="1"/>
  <c r="F28" i="31"/>
  <c r="P33" i="12"/>
  <c r="C38" i="8"/>
  <c r="H37" i="8"/>
  <c r="G37" i="8"/>
  <c r="J30" i="31" s="1"/>
  <c r="F37" i="8"/>
  <c r="I30" i="31" s="1"/>
  <c r="D37" i="8"/>
  <c r="G30" i="31" s="1"/>
  <c r="E37" i="8"/>
  <c r="H30" i="31" s="1"/>
  <c r="B31" i="2"/>
  <c r="C30" i="2"/>
  <c r="C29" i="31" s="1"/>
  <c r="T74" i="21"/>
  <c r="U74" i="21" s="1"/>
  <c r="H28" i="26" s="1"/>
  <c r="D33" i="5"/>
  <c r="E32" i="5"/>
  <c r="C36" i="5"/>
  <c r="C30" i="28"/>
  <c r="K29" i="31"/>
  <c r="D30" i="28"/>
  <c r="I30" i="21"/>
  <c r="K30" i="21" s="1"/>
  <c r="N30" i="21" s="1"/>
  <c r="D40" i="20"/>
  <c r="O31" i="7"/>
  <c r="R30" i="7"/>
  <c r="S30" i="7" s="1"/>
  <c r="J28" i="26" s="1"/>
  <c r="Q30" i="7"/>
  <c r="P30" i="7"/>
  <c r="N34" i="12"/>
  <c r="D37" i="12"/>
  <c r="E30" i="28" s="1"/>
  <c r="B28" i="21"/>
  <c r="D28" i="21" s="1"/>
  <c r="F28" i="21" s="1"/>
  <c r="C27" i="26"/>
  <c r="D27" i="26" s="1"/>
  <c r="J29" i="1"/>
  <c r="K29" i="1" s="1"/>
  <c r="L29" i="1" s="1"/>
  <c r="C30" i="1" s="1"/>
  <c r="B29" i="31" s="1"/>
  <c r="B31" i="1"/>
  <c r="D41" i="20" l="1"/>
  <c r="I31" i="21"/>
  <c r="K31" i="21" s="1"/>
  <c r="N31" i="21" s="1"/>
  <c r="D31" i="28"/>
  <c r="B29" i="21"/>
  <c r="D29" i="21" s="1"/>
  <c r="F29" i="21" s="1"/>
  <c r="C28" i="26"/>
  <c r="D28" i="26" s="1"/>
  <c r="C31" i="28"/>
  <c r="K30" i="31"/>
  <c r="L29" i="31"/>
  <c r="O34" i="12"/>
  <c r="C37" i="12"/>
  <c r="G38" i="8"/>
  <c r="J31" i="31" s="1"/>
  <c r="H38" i="8"/>
  <c r="E38" i="8"/>
  <c r="H31" i="31" s="1"/>
  <c r="C39" i="8"/>
  <c r="F38" i="8"/>
  <c r="I31" i="31" s="1"/>
  <c r="D38" i="8"/>
  <c r="G31" i="31" s="1"/>
  <c r="F30" i="28"/>
  <c r="G30" i="28" s="1"/>
  <c r="H30" i="28" s="1"/>
  <c r="K29" i="26" s="1"/>
  <c r="B32" i="1"/>
  <c r="J30" i="1"/>
  <c r="K30" i="1" s="1"/>
  <c r="L30" i="1" s="1"/>
  <c r="C31" i="1" s="1"/>
  <c r="B30" i="31" s="1"/>
  <c r="C80" i="12"/>
  <c r="D79" i="12"/>
  <c r="G79" i="12"/>
  <c r="M30" i="31" s="1"/>
  <c r="D38" i="12"/>
  <c r="E31" i="28" s="1"/>
  <c r="N35" i="12"/>
  <c r="R31" i="7"/>
  <c r="S31" i="7" s="1"/>
  <c r="J29" i="26" s="1"/>
  <c r="P31" i="7"/>
  <c r="Q31" i="7" s="1"/>
  <c r="O32" i="7"/>
  <c r="F29" i="31"/>
  <c r="P34" i="12"/>
  <c r="R78" i="21"/>
  <c r="S78" i="21" s="1"/>
  <c r="G32" i="26" s="1"/>
  <c r="D29" i="31"/>
  <c r="B29" i="26"/>
  <c r="T75" i="21"/>
  <c r="U75" i="21" s="1"/>
  <c r="H29" i="26" s="1"/>
  <c r="E33" i="5"/>
  <c r="D34" i="5"/>
  <c r="B32" i="2"/>
  <c r="C31" i="2"/>
  <c r="C30" i="31" s="1"/>
  <c r="D39" i="12" l="1"/>
  <c r="E32" i="28" s="1"/>
  <c r="N36" i="12"/>
  <c r="D40" i="12" s="1"/>
  <c r="E33" i="28" s="1"/>
  <c r="F31" i="28"/>
  <c r="G31" i="28" s="1"/>
  <c r="H31" i="28" s="1"/>
  <c r="K30" i="26" s="1"/>
  <c r="H39" i="8"/>
  <c r="F39" i="8"/>
  <c r="I32" i="31" s="1"/>
  <c r="E39" i="8"/>
  <c r="H32" i="31" s="1"/>
  <c r="D39" i="8"/>
  <c r="G32" i="31" s="1"/>
  <c r="G39" i="8"/>
  <c r="J32" i="31" s="1"/>
  <c r="T76" i="21"/>
  <c r="U76" i="21" s="1"/>
  <c r="H30" i="26" s="1"/>
  <c r="D35" i="5"/>
  <c r="E34" i="5"/>
  <c r="C32" i="28"/>
  <c r="F32" i="28" s="1"/>
  <c r="G32" i="28" s="1"/>
  <c r="H32" i="28" s="1"/>
  <c r="K31" i="26" s="1"/>
  <c r="K31" i="31"/>
  <c r="B33" i="2"/>
  <c r="C33" i="2" s="1"/>
  <c r="C32" i="31" s="1"/>
  <c r="C32" i="2"/>
  <c r="C31" i="31" s="1"/>
  <c r="F30" i="31"/>
  <c r="P35" i="12"/>
  <c r="C38" i="12"/>
  <c r="L30" i="31"/>
  <c r="O35" i="12"/>
  <c r="C81" i="12"/>
  <c r="G80" i="12"/>
  <c r="M31" i="31" s="1"/>
  <c r="D80" i="12"/>
  <c r="B30" i="21"/>
  <c r="D30" i="21" s="1"/>
  <c r="F30" i="21" s="1"/>
  <c r="C29" i="26"/>
  <c r="D29" i="26" s="1"/>
  <c r="J31" i="1"/>
  <c r="K31" i="1" s="1"/>
  <c r="L31" i="1" s="1"/>
  <c r="C32" i="1" s="1"/>
  <c r="B31" i="31" s="1"/>
  <c r="B33" i="1"/>
  <c r="O33" i="7"/>
  <c r="R32" i="7"/>
  <c r="S32" i="7" s="1"/>
  <c r="J30" i="26" s="1"/>
  <c r="P32" i="7"/>
  <c r="Q32" i="7" s="1"/>
  <c r="B30" i="26"/>
  <c r="D30" i="31"/>
  <c r="D32" i="28"/>
  <c r="I32" i="21"/>
  <c r="K32" i="21" s="1"/>
  <c r="N32" i="21" s="1"/>
  <c r="D42" i="20"/>
  <c r="B31" i="21" l="1"/>
  <c r="D31" i="21" s="1"/>
  <c r="F31" i="21" s="1"/>
  <c r="C30" i="26"/>
  <c r="D30" i="26" s="1"/>
  <c r="J32" i="1"/>
  <c r="K32" i="1" s="1"/>
  <c r="L32" i="1" s="1"/>
  <c r="C33" i="1" s="1"/>
  <c r="B32" i="31" s="1"/>
  <c r="B34" i="1"/>
  <c r="J33" i="1" s="1"/>
  <c r="K33" i="1" s="1"/>
  <c r="L33" i="1" s="1"/>
  <c r="C34" i="1" s="1"/>
  <c r="T77" i="21"/>
  <c r="U77" i="21" s="1"/>
  <c r="H31" i="26" s="1"/>
  <c r="E35" i="5"/>
  <c r="D36" i="5"/>
  <c r="L31" i="31"/>
  <c r="C39" i="12"/>
  <c r="O36" i="12"/>
  <c r="D31" i="31"/>
  <c r="B31" i="26"/>
  <c r="C33" i="28"/>
  <c r="F33" i="28" s="1"/>
  <c r="G33" i="28" s="1"/>
  <c r="H33" i="28" s="1"/>
  <c r="K32" i="26" s="1"/>
  <c r="K32" i="31"/>
  <c r="G81" i="12"/>
  <c r="M32" i="31" s="1"/>
  <c r="D81" i="12"/>
  <c r="D33" i="28"/>
  <c r="I33" i="21"/>
  <c r="K33" i="21" s="1"/>
  <c r="N33" i="21" s="1"/>
  <c r="O34" i="7"/>
  <c r="R33" i="7"/>
  <c r="S33" i="7" s="1"/>
  <c r="J31" i="26" s="1"/>
  <c r="P33" i="7"/>
  <c r="Q33" i="7" s="1"/>
  <c r="F31" i="31"/>
  <c r="P36" i="12"/>
  <c r="F32" i="31" s="1"/>
  <c r="B32" i="26" l="1"/>
  <c r="D32" i="31"/>
  <c r="C40" i="12"/>
  <c r="L32" i="31"/>
  <c r="B32" i="21"/>
  <c r="D32" i="21" s="1"/>
  <c r="F32" i="21" s="1"/>
  <c r="C31" i="26"/>
  <c r="D31" i="26" s="1"/>
  <c r="T78" i="21"/>
  <c r="U78" i="21" s="1"/>
  <c r="H32" i="26" s="1"/>
  <c r="E36" i="5"/>
  <c r="R34" i="7"/>
  <c r="S34" i="7" s="1"/>
  <c r="J32" i="26" s="1"/>
  <c r="Q34" i="7"/>
  <c r="P34" i="7"/>
  <c r="B33" i="21" l="1"/>
  <c r="D33" i="21" s="1"/>
  <c r="F33" i="21" s="1"/>
  <c r="C32" i="26"/>
  <c r="D32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haddad</author>
  </authors>
  <commentList>
    <comment ref="U35" authorId="0" shapeId="0" xr:uid="{33E0847C-3E63-4961-8FFA-36F24844E100}">
      <text>
        <r>
          <rPr>
            <b/>
            <sz val="9"/>
            <color indexed="81"/>
            <rFont val="Tahoma"/>
            <family val="2"/>
          </rPr>
          <t>angela haddad:</t>
        </r>
        <r>
          <rPr>
            <sz val="9"/>
            <color indexed="81"/>
            <rFont val="Tahoma"/>
            <family val="2"/>
          </rPr>
          <t xml:space="preserve">
Record all sedans, station wagons, pickups, jeeps, SUVs, including taxicabs, rentals, ambulances and hearses. Any four or more wheeled passenger vehicles with a maximum GVW less than 10,000 lbs should be reported. https://www.fhwa.dot.gov/policyinformation/hss/guide/ch3.cfm</t>
        </r>
      </text>
    </comment>
    <comment ref="W35" authorId="0" shapeId="0" xr:uid="{EA72078C-B04D-4609-9654-CB1ED151AA44}">
      <text>
        <r>
          <rPr>
            <b/>
            <sz val="9"/>
            <color indexed="81"/>
            <rFont val="Tahoma"/>
            <family val="2"/>
          </rPr>
          <t>angela haddad:</t>
        </r>
        <r>
          <rPr>
            <sz val="9"/>
            <color indexed="81"/>
            <rFont val="Tahoma"/>
            <family val="2"/>
          </rPr>
          <t xml:space="preserve">
Aggregate number of single-unit and truck tractors</t>
        </r>
      </text>
    </comment>
  </commentList>
</comments>
</file>

<file path=xl/sharedStrings.xml><?xml version="1.0" encoding="utf-8"?>
<sst xmlns="http://schemas.openxmlformats.org/spreadsheetml/2006/main" count="1287" uniqueCount="770">
  <si>
    <t>Base Year</t>
  </si>
  <si>
    <t>Inflation Rate</t>
  </si>
  <si>
    <t>%</t>
  </si>
  <si>
    <t>Highway Cost Index</t>
  </si>
  <si>
    <t>Oil Price</t>
  </si>
  <si>
    <t>$/barrel</t>
  </si>
  <si>
    <t>VMT Fee</t>
  </si>
  <si>
    <t>cents/mile/vehicle</t>
  </si>
  <si>
    <t>Avg VMT per Capita</t>
  </si>
  <si>
    <t>miles</t>
  </si>
  <si>
    <t>EV Growth Rate</t>
  </si>
  <si>
    <t>% per year</t>
  </si>
  <si>
    <t>Average Fuel Economy of Conventional Vehicle</t>
  </si>
  <si>
    <t>mpg</t>
  </si>
  <si>
    <t>Average Fuel Economy of Hybrid Vehicle</t>
  </si>
  <si>
    <t>EV Fee Induced</t>
  </si>
  <si>
    <t>$/vehicle</t>
  </si>
  <si>
    <t>Current Gas Tax</t>
  </si>
  <si>
    <t>cents</t>
  </si>
  <si>
    <t>Year of increase (For 1 Time Increase)</t>
  </si>
  <si>
    <t>Gas Tax 1 time Increase</t>
  </si>
  <si>
    <t>Gas Tax Indexed Periodic Increase</t>
  </si>
  <si>
    <t>Every how many years</t>
  </si>
  <si>
    <t>years</t>
  </si>
  <si>
    <t>Tax Increase Year Start</t>
  </si>
  <si>
    <t>Tax Increase Year End</t>
  </si>
  <si>
    <t>Carbon Tax</t>
  </si>
  <si>
    <t>dollars per ton CO2 equivalent</t>
  </si>
  <si>
    <t>Conventional Vehicle Emissions</t>
  </si>
  <si>
    <t>tons CO2 equivalent per year</t>
  </si>
  <si>
    <t>Hybrid Vehicle Emissions</t>
  </si>
  <si>
    <t>Electic Vehicle Emissions</t>
  </si>
  <si>
    <t>Indexed or not?</t>
  </si>
  <si>
    <t>Year</t>
  </si>
  <si>
    <t>Total Population</t>
  </si>
  <si>
    <t>ln(pop)</t>
  </si>
  <si>
    <t>year</t>
  </si>
  <si>
    <t>ln(Population Forecast)</t>
  </si>
  <si>
    <t>Population Forecast</t>
  </si>
  <si>
    <t>Database Inputs</t>
  </si>
  <si>
    <t>Forecasted Population</t>
  </si>
  <si>
    <t xml:space="preserve">Source: https://datacommons.org/place/geoId/48?topic=Demographics </t>
  </si>
  <si>
    <t>Database Outputs</t>
  </si>
  <si>
    <t>Month</t>
  </si>
  <si>
    <t>Employed People</t>
  </si>
  <si>
    <t>Source: https://datacommons.org/place/geoId/48?topic=Economics</t>
  </si>
  <si>
    <t>Average Employed People</t>
  </si>
  <si>
    <t>Forecasted Employment</t>
  </si>
  <si>
    <t>Source: https://www.google.com/publicdata/explore?ds=gb66jodhlsaab_#!ctype=l&amp;strail=false&amp;bcs=d&amp;nselm=h&amp;met_y=Drivers&amp;scale_y=lin&amp;ind_y=false&amp;rdim=state&amp;idim=state:TX&amp;ifdim=state&amp;hl=en_US&amp;dl=en_US&amp;ind=false</t>
  </si>
  <si>
    <t xml:space="preserve">Number of Drivers </t>
  </si>
  <si>
    <t>Source: https://www.fhwa.dot.gov/policyinformation/statistics/2019/dl22.cfm</t>
  </si>
  <si>
    <t>Total EV Count</t>
  </si>
  <si>
    <t>EV Fee FV</t>
  </si>
  <si>
    <t>EV Fee</t>
  </si>
  <si>
    <t>Total Gasoline Gallons</t>
  </si>
  <si>
    <t>Total Diesel Gallons</t>
  </si>
  <si>
    <t>1 Time Fuel Tax Change</t>
  </si>
  <si>
    <t>Periodic Fuel Tax Change</t>
  </si>
  <si>
    <t>Fuel Tax Base</t>
  </si>
  <si>
    <t>Total Employment</t>
  </si>
  <si>
    <t>Total Hybrid Count</t>
  </si>
  <si>
    <t>Total Conventional Vehicle Count</t>
  </si>
  <si>
    <t>Registered Cars</t>
  </si>
  <si>
    <t>Registered Trucks</t>
  </si>
  <si>
    <t>Registered Buses</t>
  </si>
  <si>
    <t>Registered Motorcycles</t>
  </si>
  <si>
    <t>Registered Total</t>
  </si>
  <si>
    <t>Low Oil Price</t>
  </si>
  <si>
    <t>High Oil Price</t>
  </si>
  <si>
    <r>
      <rPr>
        <b/>
        <sz val="11"/>
        <color theme="1"/>
        <rFont val="Calibri"/>
        <family val="2"/>
        <scheme val="minor"/>
      </rPr>
      <t>Source Page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: https://d3eaozktcyljdh.cloudfront.net/cdn/ff/Xr9v-6fz2A5PionA1705nLQIp3cOoS8ZzMRmbAatXG8/1607100255/public/report-files/SB_604_AFV-Report_120120.pdf</t>
    </r>
  </si>
  <si>
    <t>Inputted Oil Price</t>
  </si>
  <si>
    <t>Estimation of 2020-through-2028 Electric Passenger Car Sales for Texas</t>
  </si>
  <si>
    <t>Scenario (Thousand EV Vehicle Sales)</t>
  </si>
  <si>
    <t>Scenario (Thousand Conventional Vehicle Sales)</t>
  </si>
  <si>
    <t>based on data from data from the 2020 AEO, Table 38.7, Light Duty Vehicle Sales by Technology Type:
West South Central Region</t>
  </si>
  <si>
    <t>Oil Barrel Price</t>
  </si>
  <si>
    <t>Estimated Thousands of EV Vehicle Sales</t>
  </si>
  <si>
    <t>Low oil Price</t>
  </si>
  <si>
    <t>Estimated Thousands of Conventional Vehicle Sales</t>
  </si>
  <si>
    <t>Low oil Price-Gasoline</t>
  </si>
  <si>
    <t>High Oil Price-Gasoline</t>
  </si>
  <si>
    <t>New Sales each year (in thousands)</t>
  </si>
  <si>
    <t>Total</t>
  </si>
  <si>
    <t>New Sales each year</t>
  </si>
  <si>
    <t>FUEL TYPE</t>
  </si>
  <si>
    <t>Hybrid: Electric and Gas</t>
  </si>
  <si>
    <t>Electric</t>
  </si>
  <si>
    <t>Natural Gas</t>
  </si>
  <si>
    <t>Propane</t>
  </si>
  <si>
    <t>Ethanol</t>
  </si>
  <si>
    <t>-</t>
  </si>
  <si>
    <t>Methanol</t>
  </si>
  <si>
    <t>Hybrid: Electric and Diesel</t>
  </si>
  <si>
    <t>Subtotal, Alt. Fuels</t>
  </si>
  <si>
    <t>Gasoline</t>
  </si>
  <si>
    <t>Flexible</t>
  </si>
  <si>
    <t>Diesel</t>
  </si>
  <si>
    <t>Convertible</t>
  </si>
  <si>
    <t>Hydrogen Fuel Cell</t>
  </si>
  <si>
    <t>Fuel Type Not Disclosed*</t>
  </si>
  <si>
    <t>Fuel Type Unknown*</t>
  </si>
  <si>
    <t>Subtotal, Non-Alt. Fuels</t>
  </si>
  <si>
    <t>Total Vehicles Registered</t>
  </si>
  <si>
    <t>https://www.eia.gov/outlooks/aeo/data/browser/#/?id=48-AEO2021&amp;region=1-7&amp;cases=highprice~lowprice~hirencst~lorencst&amp;start=2019&amp;end=2050&amp;f=A&amp;linechart=~~~~~~~~~~~~~~~~~~~~~~~~~~~~~~~~~~~~~~~~~~~~~~~~~~~~~~~~~~~~~~~~highprice-d113020a.64-48-AEO2021.1-7~lowprice-d113020a.64-48-AEO2021.1-7~hirencst-d113020a.64-48-AEO2021.1-7~lorencst-d113020a.64-48-AEO2021.1-7~~~~~~~~&amp;map=lowprice-d113020a.4-48-AEO2021.1-7&amp;sourcekey=0</t>
  </si>
  <si>
    <t>Reference Case Car Ownership in the South West</t>
  </si>
  <si>
    <t>Table 38.  Light-Duty Vehicle Sales by Technology Type</t>
  </si>
  <si>
    <t>https://www.eia.gov/outlooks/aeo/data/browser/#/?id=48-AEO2021&amp;region=1-7&amp;cases=ref2021</t>
  </si>
  <si>
    <t>Mon Mar 15 2021 16:42:31 GMT-0500 (Central Daylight Time)</t>
  </si>
  <si>
    <t>Source: U.S. Energy Information Administration</t>
  </si>
  <si>
    <t>type</t>
  </si>
  <si>
    <t>full name</t>
  </si>
  <si>
    <t>units</t>
  </si>
  <si>
    <t>Growth (2020-2050)</t>
  </si>
  <si>
    <t>New Car Sales</t>
  </si>
  <si>
    <t>Conventional Cars</t>
  </si>
  <si>
    <t>Gasoline ICE Vehicles</t>
  </si>
  <si>
    <t>Light-Duty Vehicle Sales: Conventional Cars: Gasoline: Reference case</t>
  </si>
  <si>
    <t>thousands</t>
  </si>
  <si>
    <t>TDI Diesel ICE</t>
  </si>
  <si>
    <t>Light-Duty Vehicle Sales: Conventional Cars: TDI Diesel: Reference case</t>
  </si>
  <si>
    <t>Total Conventional Cars</t>
  </si>
  <si>
    <t>Light-Duty Vehicle Sales: Conventional Cars: Total: Reference case</t>
  </si>
  <si>
    <t>Alternative-Fuel Cars</t>
  </si>
  <si>
    <t>Ethanol-Flex Fuel ICE</t>
  </si>
  <si>
    <t>Light-Duty Vehicle Sales: Alternative-Fuel Cars: Ethanol-Flex Fuel ICE: Reference case</t>
  </si>
  <si>
    <t>100 Mile Electric Vehicle</t>
  </si>
  <si>
    <t>Light-Duty Vehicle Sales: Alternative-Fuel Cars: 100 Mile Electric Vehicle: Reference case</t>
  </si>
  <si>
    <t>200 Mile Electric Vehicle</t>
  </si>
  <si>
    <t>Light-Duty Vehicle Sales: Alternative-Fuel Cars: 200 Mile Electric Vehicle: Reference case</t>
  </si>
  <si>
    <t>300 Mile Electric Vehicle</t>
  </si>
  <si>
    <t>Light-Duty Vehicle Sales: Alternative-Fuel Cars: 300 Mile Electric Vehicle: Reference case</t>
  </si>
  <si>
    <t>Plug-in 10 Gasoline Hybrid</t>
  </si>
  <si>
    <t>Light-Duty Vehicle Sales: Alternative-Fuel Cars: Plug-in 10 Gasoline Hybrid: Reference case</t>
  </si>
  <si>
    <t>Plug-in 40 Gasoline Hybrid</t>
  </si>
  <si>
    <t>Light-Duty Vehicle Sales: Alternative-Fuel Cars: Plug-in 40 Gasoline Hybrid: Reference case</t>
  </si>
  <si>
    <t>Electric-Diesel Hybrid</t>
  </si>
  <si>
    <t>Light-Duty Vehicle Sales: Alternative-Fuel Cars: Electric-Diesel Hybrid: Reference case</t>
  </si>
  <si>
    <t>- -</t>
  </si>
  <si>
    <t>Electric-Gasoline Hybrid</t>
  </si>
  <si>
    <t>Light-Duty Vehicle Sales: Alternative-Fuel Cars: Electric-Gasoline Hybrid: Reference case</t>
  </si>
  <si>
    <t>Natural Gas ICE</t>
  </si>
  <si>
    <t>Light-Duty Vehicle Sales: Alternative-Fuel Cars: Natural Gas ICE: Reference case</t>
  </si>
  <si>
    <t>Natural Gas Bi-fuel</t>
  </si>
  <si>
    <t>Light-Duty Vehicle Sales: Alternative-Fuel Cars: Natural Gas Bi-fuel: Reference case</t>
  </si>
  <si>
    <t>Propane ICE</t>
  </si>
  <si>
    <t>Light-Duty Vehicle Sales: Alternative-Fuel Cars: Propane: Reference case</t>
  </si>
  <si>
    <t>Propane Bi-fuel</t>
  </si>
  <si>
    <t>Fuel Cell Methanol</t>
  </si>
  <si>
    <t>Light-Duty Vehicle Sales: Alternative-Fuel Cars: Fuel Cell Methanol: Reference case</t>
  </si>
  <si>
    <t>Fuel Cell Hydrogen</t>
  </si>
  <si>
    <t>Light-Duty Vehicle Sales: Alternative-Fuel cars: Fuel Cell Hydrogen: Reference case</t>
  </si>
  <si>
    <t>Total Alternative Cars</t>
  </si>
  <si>
    <t>Light-Duty Vehicle Sales: Alternative-Fuel Cars: Total: Reference case</t>
  </si>
  <si>
    <t>Percent Alternative Car Sales</t>
  </si>
  <si>
    <t>Light-Duty Vehicle Sales: Percent Alternative Car: Reference case</t>
  </si>
  <si>
    <t>percent</t>
  </si>
  <si>
    <t>Total New Car Sales</t>
  </si>
  <si>
    <t>Light-Duty Vehicle Sales: Total New Car: Reference case</t>
  </si>
  <si>
    <t>New Light Truck Sales</t>
  </si>
  <si>
    <t>Conventional Light Trucks</t>
  </si>
  <si>
    <t>Light-Duty Vehicle Sales: Conventional Light Trucks: Gasoline: Reference case</t>
  </si>
  <si>
    <t>Light-Duty Vehicle Sales: Conventional Light Trucks: TDI Diesel: Reference case</t>
  </si>
  <si>
    <t>Total Conventional Light Trucks</t>
  </si>
  <si>
    <t>Light-Duty Vehicle Sales: Conventional Light Trucks: Total: Reference case</t>
  </si>
  <si>
    <t>Alternative-Fuel Light Trucks</t>
  </si>
  <si>
    <t>Light-Duty Vehicle Sales: Alternative-Fuel Light Trucks: Ethanol-Flex Fuel ICE: Reference case</t>
  </si>
  <si>
    <t>Light-Duty Vehicle Sales: Alternative-Fuel Light Trucks: 100 Mile Electric Vehicle: Reference case</t>
  </si>
  <si>
    <t>Light-Duty Vehicle Sales: Alternative-Fuel Light Trucks: 200 Mile Electric Vehicle: Reference case</t>
  </si>
  <si>
    <t>Light-Duty Vehicle Sales: Alternative-Fuel Light Trucks: 300 Mile Electric Vehicle: Reference case</t>
  </si>
  <si>
    <t>Light-Duty Vehicle Sales: Alternative-Fuel Light Trucks: Plug-in 10 Gasoline Hybrid: Reference case</t>
  </si>
  <si>
    <t>Light-Duty Vehicle Sales: Alternative-Fuel Light Trucks: Plug-in 40 Gasoline Hybrid: Reference case</t>
  </si>
  <si>
    <t>Light-Duty Vehicle Sales: Alternative-Fuel Light Trucks: Electric-Diesel Hybrid: Reference case</t>
  </si>
  <si>
    <t>Light-Duty Vehicle Sales: Alternative-Fuel Light Trucks: Electric-Gasoline Hybrid: Reference case</t>
  </si>
  <si>
    <t>Light-Duty Vehicle Sales: Alternative-Fuel Light Trucks: Natural Gas ICE: Reference case</t>
  </si>
  <si>
    <t>Light-Duty Vehicle Sales: Alternative-Fuel Light Trucks: Natural Gas Bi-fuel: Reference case</t>
  </si>
  <si>
    <t>Light-Duty Vehicle Sales: Alternative-Fuel Light Trucks: Propane ICE: Reference case</t>
  </si>
  <si>
    <t>Light-Duty Vehicle Sales: Alternative-Fuel Light Trucks: Propane Bi-fuel: Reference case</t>
  </si>
  <si>
    <t>Light-Duty Vehicle Sales: Alternative-Fuel Light Trucks: Fuel Cell Methanol: Reference case</t>
  </si>
  <si>
    <t>Light-Duty Vehicle Sales: Alternative-Fuel Light Trucks: Fuel Cell Hydrogen: Reference case</t>
  </si>
  <si>
    <t>Total Alternative Light Trucks</t>
  </si>
  <si>
    <t>Light-Duty Vehicle Sales: Alternative-Fuel Light Trucks: Total: Reference case</t>
  </si>
  <si>
    <t>Percent Alternative Light Truck Sales</t>
  </si>
  <si>
    <t>Light-Duty Vehicle Sales: Percent Alternative Light Truck Sales: Reference case</t>
  </si>
  <si>
    <t>Total New Light Truck Sales</t>
  </si>
  <si>
    <t>Light-Duty Vehicle Sales: Total New Truck: Reference case</t>
  </si>
  <si>
    <t>Percent Total Alternative Sales</t>
  </si>
  <si>
    <t>Light-Duty Vehicle Sales: Percent Total Alternative Sales: Reference case</t>
  </si>
  <si>
    <t>EPACT Legislative  Alternative Sales</t>
  </si>
  <si>
    <t>Light-Duty Vehicle Sales: EPACT Legislative Alternative Sales: Reference case</t>
  </si>
  <si>
    <t>ZEVP Legislative Alternative Sales</t>
  </si>
  <si>
    <t>Light-Duty Vehicle Sales: ZEVP Legislative Alternative Sales: Reference case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</si>
  <si>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</si>
  <si>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</si>
  <si>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</si>
  <si>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</si>
  <si>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Reference case</t>
  </si>
  <si>
    <t>TDI Diesel</t>
  </si>
  <si>
    <t>Light-Duty Vehicle Sales: Total Sales, Cars and Light Trucks: TDI Diesel: Reference case</t>
  </si>
  <si>
    <t>Flex-Fuel</t>
  </si>
  <si>
    <t>Light-Duty Vehicle Sales: Total Sales, Cars and Light Trucks: Flex-Fuel: Reference case</t>
  </si>
  <si>
    <t>Light-Duty Vehicle Sales: Total Sales, Cars and Light Trucks: Electric: Reference case</t>
  </si>
  <si>
    <t>Plug-in Electric Hybrid</t>
  </si>
  <si>
    <t>Light-Duty Vehicle Sales: Total Sales, Cars and Light Trucks: Plug-in Electric Hybrid: Reference case</t>
  </si>
  <si>
    <t>Electric Hybrid</t>
  </si>
  <si>
    <t>Light-Duty Vehicle Sales: Total Sales, Cars and Light Trucks: Electric Hybrid: Reference case</t>
  </si>
  <si>
    <t>Gaseous (Propane and Natural Gas)</t>
  </si>
  <si>
    <t>Light-Duty Vehicle Sales: Total Sales, Cars and Light Trucks: Gaseous: Reference case</t>
  </si>
  <si>
    <t>Fuel Cell</t>
  </si>
  <si>
    <t>Light-Duty Vehicle Sales: Total Sales, Cars and Light Trucks: Fuel Cell: Reference case</t>
  </si>
  <si>
    <t>Total Vehicles Sales</t>
  </si>
  <si>
    <t>Light-Duty Vehicle Sales: Total Vehicles Sales: Reference case</t>
  </si>
  <si>
    <t>Conventional Gasoline Microhybrids</t>
  </si>
  <si>
    <t>Light-Duty Vehicle Sales: Microhybrids: Conventional Gasoline: Reference case</t>
  </si>
  <si>
    <t>TDI Diesel Microhybrids</t>
  </si>
  <si>
    <t>Light-Duty Vehicle Sales: Microhybrids: TDI Diesel: Reference case</t>
  </si>
  <si>
    <t>Total Alternative-Fueled Vehicle Sales</t>
  </si>
  <si>
    <t>Light-Duty Vehicle Sales: Alternative-Fueled Vehicles: Reference case</t>
  </si>
  <si>
    <t>High Oil Price Scenario</t>
  </si>
  <si>
    <t>api key</t>
  </si>
  <si>
    <t>48-AEO2021.2.</t>
  </si>
  <si>
    <t>Light-Duty Vehicle Sales: Conventional Cars: Gasoline: High oil price</t>
  </si>
  <si>
    <t>48-AEO2021.4.highprice-d113020a</t>
  </si>
  <si>
    <t>Light-Duty Vehicle Sales: Conventional Cars: TDI Diesel: High oil price</t>
  </si>
  <si>
    <t>48-AEO2021.5.highprice-d113020a</t>
  </si>
  <si>
    <t>Light-Duty Vehicle Sales: Conventional Cars: Total: High oil price</t>
  </si>
  <si>
    <t>48-AEO2021.6.highprice-d113020a</t>
  </si>
  <si>
    <t>Light-Duty Vehicle Sales: Alternative-Fuel Cars: Ethanol-Flex Fuel ICE: High oil price</t>
  </si>
  <si>
    <t>48-AEO2021.9.highprice-d113020a</t>
  </si>
  <si>
    <t>Light-Duty Vehicle Sales: Alternative-Fuel Cars: 100 Mile Electric Vehicle: High oil price</t>
  </si>
  <si>
    <t>48-AEO2021.10.highprice-d113020a</t>
  </si>
  <si>
    <t>Light-Duty Vehicle Sales: Alternative-Fuel Cars: 200 Mile Electric Vehicle: High oil price</t>
  </si>
  <si>
    <t>48-AEO2021.11.highprice-d113020a</t>
  </si>
  <si>
    <t>Light-Duty Vehicle Sales: Alternative-Fuel Cars: 300 Mile Electric Vehicle: High oil price</t>
  </si>
  <si>
    <t>48-AEO2021.12.highprice-d113020a</t>
  </si>
  <si>
    <t>Light-Duty Vehicle Sales: Alternative-Fuel Cars: Plug-in 10 Gasoline Hybrid: High oil price</t>
  </si>
  <si>
    <t>48-AEO2021.13.highprice-d113020a</t>
  </si>
  <si>
    <t>Light-Duty Vehicle Sales: Alternative-Fuel Cars: Plug-in 40 Gasoline Hybrid: High oil price</t>
  </si>
  <si>
    <t>48-AEO2021.14.highprice-d113020a</t>
  </si>
  <si>
    <t>Light-Duty Vehicle Sales: Alternative-Fuel Cars: Electric-Diesel Hybrid: High oil price</t>
  </si>
  <si>
    <t>48-AEO2021.15.highprice-d113020a</t>
  </si>
  <si>
    <t>Light-Duty Vehicle Sales: Alternative-Fuel Cars: Electric-Gasoline Hybrid: High oil price</t>
  </si>
  <si>
    <t>48-AEO2021.16.highprice-d113020a</t>
  </si>
  <si>
    <t>Light-Duty Vehicle Sales: Alternative-Fuel Cars: Natural Gas ICE: High oil price</t>
  </si>
  <si>
    <t>48-AEO2021.17.highprice-d113020a</t>
  </si>
  <si>
    <t>Light-Duty Vehicle Sales: Alternative-Fuel Cars: Natural Gas Bi-fuel: High oil price</t>
  </si>
  <si>
    <t>48-AEO2021.18.highprice-d113020a</t>
  </si>
  <si>
    <t>Light-Duty Vehicle Sales: Alternative-Fuel Cars: Propane: High oil price</t>
  </si>
  <si>
    <t>48-AEO2021.19.highprice-d113020a</t>
  </si>
  <si>
    <t>48-AEO2021.20.highprice-d113020a</t>
  </si>
  <si>
    <t>Light-Duty Vehicle Sales: Alternative-Fuel Cars: Fuel Cell Methanol: High oil price</t>
  </si>
  <si>
    <t>48-AEO2021.21.highprice-d113020a</t>
  </si>
  <si>
    <t>Light-Duty Vehicle Sales: Alternative-Fuel cars: Fuel Cell Hydrogen: High oil price</t>
  </si>
  <si>
    <t>48-AEO2021.22.highprice-d113020a</t>
  </si>
  <si>
    <t>Light-Duty Vehicle Sales: Alternative-Fuel Cars: Total: High oil price</t>
  </si>
  <si>
    <t>48-AEO2021.23.highprice-d113020a</t>
  </si>
  <si>
    <t>Light-Duty Vehicle Sales: Percent Alternative Car: High oil price</t>
  </si>
  <si>
    <t>48-AEO2021.25.highprice-d113020a</t>
  </si>
  <si>
    <t>Light-Duty Vehicle Sales: Total New Car: High oil price</t>
  </si>
  <si>
    <t>48-AEO2021.26.highprice-d113020a</t>
  </si>
  <si>
    <t>Light-Duty Vehicle Sales: Conventional Light Trucks: Gasoline: High oil price</t>
  </si>
  <si>
    <t>48-AEO2021.30.highprice-d113020a</t>
  </si>
  <si>
    <t>Light-Duty Vehicle Sales: Conventional Light Trucks: TDI Diesel: High oil price</t>
  </si>
  <si>
    <t>48-AEO2021.31.highprice-d113020a</t>
  </si>
  <si>
    <t>Light-Duty Vehicle Sales: Conventional Light Trucks: Total: High oil price</t>
  </si>
  <si>
    <t>48-AEO2021.32.highprice-d113020a</t>
  </si>
  <si>
    <t>Light-Duty Vehicle Sales: Alternative-Fuel Light Trucks: Ethanol-Flex Fuel ICE: High oil price</t>
  </si>
  <si>
    <t>48-AEO2021.35.highprice-d113020a</t>
  </si>
  <si>
    <t>Light-Duty Vehicle Sales: Alternative-Fuel Light Trucks: 100 Mile Electric Vehicle: High oil price</t>
  </si>
  <si>
    <t>48-AEO2021.36.highprice-d113020a</t>
  </si>
  <si>
    <t>Light-Duty Vehicle Sales: Alternative-Fuel Light Trucks: 200 Mile Electric Vehicle: High oil price</t>
  </si>
  <si>
    <t>48-AEO2021.37.highprice-d113020a</t>
  </si>
  <si>
    <t>Light-Duty Vehicle Sales: Alternative-Fuel Light Trucks: 300 Mile Electric Vehicle: High oil price</t>
  </si>
  <si>
    <t>48-AEO2021.38.highprice-d113020a</t>
  </si>
  <si>
    <t>Light-Duty Vehicle Sales: Alternative-Fuel Light Trucks: Plug-in 10 Gasoline Hybrid: High oil price</t>
  </si>
  <si>
    <t>48-AEO2021.39.highprice-d113020a</t>
  </si>
  <si>
    <t>Light-Duty Vehicle Sales: Alternative-Fuel Light Trucks: Plug-in 40 Gasoline Hybrid: High oil price</t>
  </si>
  <si>
    <t>48-AEO2021.40.highprice-d113020a</t>
  </si>
  <si>
    <t>Light-Duty Vehicle Sales: Alternative-Fuel Light Trucks: Electric-Diesel Hybrid: High oil price</t>
  </si>
  <si>
    <t>48-AEO2021.41.highprice-d113020a</t>
  </si>
  <si>
    <t>Light-Duty Vehicle Sales: Alternative-Fuel Light Trucks: Electric-Gasoline Hybrid: High oil price</t>
  </si>
  <si>
    <t>48-AEO2021.42.highprice-d113020a</t>
  </si>
  <si>
    <t>Light-Duty Vehicle Sales: Alternative-Fuel Light Trucks: Natural Gas ICE: High oil price</t>
  </si>
  <si>
    <t>48-AEO2021.43.highprice-d113020a</t>
  </si>
  <si>
    <t>Light-Duty Vehicle Sales: Alternative-Fuel Light Trucks: Natural Gas Bi-fuel: High oil price</t>
  </si>
  <si>
    <t>48-AEO2021.44.highprice-d113020a</t>
  </si>
  <si>
    <t>Light-Duty Vehicle Sales: Alternative-Fuel Light Trucks: Propane ICE: High oil price</t>
  </si>
  <si>
    <t>48-AEO2021.45.highprice-d113020a</t>
  </si>
  <si>
    <t>Light-Duty Vehicle Sales: Alternative-Fuel Light Trucks: Propane Bi-fuel: High oil price</t>
  </si>
  <si>
    <t>48-AEO2021.46.highprice-d113020a</t>
  </si>
  <si>
    <t>Light-Duty Vehicle Sales: Alternative-Fuel Light Trucks: Fuel Cell Methanol: High oil price</t>
  </si>
  <si>
    <t>48-AEO2021.47.highprice-d113020a</t>
  </si>
  <si>
    <t>Light-Duty Vehicle Sales: Alternative-Fuel Light Trucks: Fuel Cell Hydrogen: High oil price</t>
  </si>
  <si>
    <t>48-AEO2021.48.highprice-d113020a</t>
  </si>
  <si>
    <t>Light-Duty Vehicle Sales: Alternative-Fuel Light Trucks: Total: High oil price</t>
  </si>
  <si>
    <t>48-AEO2021.49.highprice-d113020a</t>
  </si>
  <si>
    <t>Light-Duty Vehicle Sales: Percent Alternative Light Truck Sales: High oil price</t>
  </si>
  <si>
    <t>48-AEO2021.51.highprice-d113020a</t>
  </si>
  <si>
    <t>Light-Duty Vehicle Sales: Total New Truck: High oil price</t>
  </si>
  <si>
    <t>48-AEO2021.52.highprice-d113020a</t>
  </si>
  <si>
    <t>Light-Duty Vehicle Sales: Percent Total Alternative Sales: High oil price</t>
  </si>
  <si>
    <t>48-AEO2021.54.highprice-d113020a</t>
  </si>
  <si>
    <t>Light-Duty Vehicle Sales: EPACT Legislative Alternative Sales: High oil price</t>
  </si>
  <si>
    <t>48-AEO2021.55.highprice-d113020a</t>
  </si>
  <si>
    <t>Light-Duty Vehicle Sales: ZEVP Legislative Alternative Sales: High oil price</t>
  </si>
  <si>
    <t>48-AEO2021.56.highprice-d113020a</t>
  </si>
  <si>
    <t>Light-Duty Vehicle Sales: Total Sales, Cars and Light Trucks: Conventional Gasoline: High oil price</t>
  </si>
  <si>
    <t>48-AEO2021.59.highprice-d113020a</t>
  </si>
  <si>
    <t>Light-Duty Vehicle Sales: Total Sales, Cars and Light Trucks: TDI Diesel: High oil price</t>
  </si>
  <si>
    <t>48-AEO2021.60.highprice-d113020a</t>
  </si>
  <si>
    <t>Light-Duty Vehicle Sales: Total Sales, Cars and Light Trucks: Flex-Fuel: High oil price</t>
  </si>
  <si>
    <t>48-AEO2021.61.highprice-d113020a</t>
  </si>
  <si>
    <t>Light-Duty Vehicle Sales: Total Sales, Cars and Light Trucks: Electric: High oil price</t>
  </si>
  <si>
    <t>48-AEO2021.62.highprice-d113020a</t>
  </si>
  <si>
    <t>Light-Duty Vehicle Sales: Total Sales, Cars and Light Trucks: Plug-in Electric Hybrid: High oil price</t>
  </si>
  <si>
    <t>48-AEO2021.63.highprice-d113020a</t>
  </si>
  <si>
    <t>Light-Duty Vehicle Sales: Total Sales, Cars and Light Trucks: Electric Hybrid: High oil price</t>
  </si>
  <si>
    <t>48-AEO2021.64.highprice-d113020a</t>
  </si>
  <si>
    <t>Light-Duty Vehicle Sales: Total Sales, Cars and Light Trucks: Gaseous: High oil price</t>
  </si>
  <si>
    <t>48-AEO2021.65.highprice-d113020a</t>
  </si>
  <si>
    <t>Light-Duty Vehicle Sales: Total Sales, Cars and Light Trucks: Fuel Cell: High oil price</t>
  </si>
  <si>
    <t>48-AEO2021.66.highprice-d113020a</t>
  </si>
  <si>
    <t>Light-Duty Vehicle Sales: Total Vehicles Sales: High oil price</t>
  </si>
  <si>
    <t>48-AEO2021.67.highprice-d113020a</t>
  </si>
  <si>
    <t>Light-Duty Vehicle Sales: Microhybrids: Conventional Gasoline: High oil price</t>
  </si>
  <si>
    <t>48-AEO2021.70.highprice-d113020a</t>
  </si>
  <si>
    <t>Light-Duty Vehicle Sales: Microhybrids: TDI Diesel: High oil price</t>
  </si>
  <si>
    <t>48-AEO2021.71.highprice-d113020a</t>
  </si>
  <si>
    <t>Light-Duty Vehicle Sales: Alternative-Fueled Vehicles: High oil price</t>
  </si>
  <si>
    <t>48-AEO2021.80.highprice-d113020a</t>
  </si>
  <si>
    <t>Low Oil Price Scenario</t>
  </si>
  <si>
    <t>Light-Duty Vehicle Sales: Conventional Cars: Gasoline: Low oil price</t>
  </si>
  <si>
    <t>48-AEO2021.4.lowprice-d113020a</t>
  </si>
  <si>
    <t>Light-Duty Vehicle Sales: Conventional Cars: TDI Diesel: Low oil price</t>
  </si>
  <si>
    <t>48-AEO2021.5.lowprice-d113020a</t>
  </si>
  <si>
    <t>Light-Duty Vehicle Sales: Conventional Cars: Total: Low oil price</t>
  </si>
  <si>
    <t>48-AEO2021.6.lowprice-d113020a</t>
  </si>
  <si>
    <t>Light-Duty Vehicle Sales: Alternative-Fuel Cars: Ethanol-Flex Fuel ICE: Low oil price</t>
  </si>
  <si>
    <t>48-AEO2021.9.lowprice-d113020a</t>
  </si>
  <si>
    <t>Light-Duty Vehicle Sales: Alternative-Fuel Cars: 100 Mile Electric Vehicle: Low oil price</t>
  </si>
  <si>
    <t>48-AEO2021.10.lowprice-d113020a</t>
  </si>
  <si>
    <t>Light-Duty Vehicle Sales: Alternative-Fuel Cars: 200 Mile Electric Vehicle: Low oil price</t>
  </si>
  <si>
    <t>48-AEO2021.11.lowprice-d113020a</t>
  </si>
  <si>
    <t>Light-Duty Vehicle Sales: Alternative-Fuel Cars: 300 Mile Electric Vehicle: Low oil price</t>
  </si>
  <si>
    <t>48-AEO2021.12.lowprice-d113020a</t>
  </si>
  <si>
    <t>Light-Duty Vehicle Sales: Alternative-Fuel Cars: Plug-in 10 Gasoline Hybrid: Low oil price</t>
  </si>
  <si>
    <t>48-AEO2021.13.lowprice-d113020a</t>
  </si>
  <si>
    <t>Light-Duty Vehicle Sales: Alternative-Fuel Cars: Plug-in 40 Gasoline Hybrid: Low oil price</t>
  </si>
  <si>
    <t>48-AEO2021.14.lowprice-d113020a</t>
  </si>
  <si>
    <t>Light-Duty Vehicle Sales: Alternative-Fuel Cars: Electric-Diesel Hybrid: Low oil price</t>
  </si>
  <si>
    <t>48-AEO2021.15.lowprice-d113020a</t>
  </si>
  <si>
    <t>Light-Duty Vehicle Sales: Alternative-Fuel Cars: Electric-Gasoline Hybrid: Low oil price</t>
  </si>
  <si>
    <t>48-AEO2021.16.lowprice-d113020a</t>
  </si>
  <si>
    <t>Light-Duty Vehicle Sales: Alternative-Fuel Cars: Natural Gas ICE: Low oil price</t>
  </si>
  <si>
    <t>48-AEO2021.17.lowprice-d113020a</t>
  </si>
  <si>
    <t>Light-Duty Vehicle Sales: Alternative-Fuel Cars: Natural Gas Bi-fuel: Low oil price</t>
  </si>
  <si>
    <t>48-AEO2021.18.lowprice-d113020a</t>
  </si>
  <si>
    <t>Light-Duty Vehicle Sales: Alternative-Fuel Cars: Propane: Low oil price</t>
  </si>
  <si>
    <t>48-AEO2021.19.lowprice-d113020a</t>
  </si>
  <si>
    <t>48-AEO2021.20.lowprice-d113020a</t>
  </si>
  <si>
    <t>Light-Duty Vehicle Sales: Alternative-Fuel Cars: Fuel Cell Methanol: Low oil price</t>
  </si>
  <si>
    <t>48-AEO2021.21.lowprice-d113020a</t>
  </si>
  <si>
    <t>Light-Duty Vehicle Sales: Alternative-Fuel cars: Fuel Cell Hydrogen: Low oil price</t>
  </si>
  <si>
    <t>48-AEO2021.22.lowprice-d113020a</t>
  </si>
  <si>
    <t>Light-Duty Vehicle Sales: Alternative-Fuel Cars: Total: Low oil price</t>
  </si>
  <si>
    <t>48-AEO2021.23.lowprice-d113020a</t>
  </si>
  <si>
    <t>Light-Duty Vehicle Sales: Percent Alternative Car: Low oil price</t>
  </si>
  <si>
    <t>48-AEO2021.25.lowprice-d113020a</t>
  </si>
  <si>
    <t>Light-Duty Vehicle Sales: Total New Car: Low oil price</t>
  </si>
  <si>
    <t>48-AEO2021.26.lowprice-d113020a</t>
  </si>
  <si>
    <t>Light-Duty Vehicle Sales: Conventional Light Trucks: Gasoline: Low oil price</t>
  </si>
  <si>
    <t>48-AEO2021.30.lowprice-d113020a</t>
  </si>
  <si>
    <t>Light-Duty Vehicle Sales: Conventional Light Trucks: TDI Diesel: Low oil price</t>
  </si>
  <si>
    <t>48-AEO2021.31.lowprice-d113020a</t>
  </si>
  <si>
    <t>Light-Duty Vehicle Sales: Conventional Light Trucks: Total: Low oil price</t>
  </si>
  <si>
    <t>48-AEO2021.32.lowprice-d113020a</t>
  </si>
  <si>
    <t>Light-Duty Vehicle Sales: Alternative-Fuel Light Trucks: Ethanol-Flex Fuel ICE: Low oil price</t>
  </si>
  <si>
    <t>48-AEO2021.35.lowprice-d113020a</t>
  </si>
  <si>
    <t>Light-Duty Vehicle Sales: Alternative-Fuel Light Trucks: 100 Mile Electric Vehicle: Low oil price</t>
  </si>
  <si>
    <t>48-AEO2021.36.lowprice-d113020a</t>
  </si>
  <si>
    <t>Light-Duty Vehicle Sales: Alternative-Fuel Light Trucks: 200 Mile Electric Vehicle: Low oil price</t>
  </si>
  <si>
    <t>48-AEO2021.37.lowprice-d113020a</t>
  </si>
  <si>
    <t>Light-Duty Vehicle Sales: Alternative-Fuel Light Trucks: 300 Mile Electric Vehicle: Low oil price</t>
  </si>
  <si>
    <t>48-AEO2021.38.lowprice-d113020a</t>
  </si>
  <si>
    <t>Light-Duty Vehicle Sales: Alternative-Fuel Light Trucks: Plug-in 10 Gasoline Hybrid: Low oil price</t>
  </si>
  <si>
    <t>48-AEO2021.39.lowprice-d113020a</t>
  </si>
  <si>
    <t>Light-Duty Vehicle Sales: Alternative-Fuel Light Trucks: Plug-in 40 Gasoline Hybrid: Low oil price</t>
  </si>
  <si>
    <t>48-AEO2021.40.lowprice-d113020a</t>
  </si>
  <si>
    <t>Light-Duty Vehicle Sales: Alternative-Fuel Light Trucks: Electric-Diesel Hybrid: Low oil price</t>
  </si>
  <si>
    <t>48-AEO2021.41.lowprice-d113020a</t>
  </si>
  <si>
    <t>Light-Duty Vehicle Sales: Alternative-Fuel Light Trucks: Electric-Gasoline Hybrid: Low oil price</t>
  </si>
  <si>
    <t>48-AEO2021.42.lowprice-d113020a</t>
  </si>
  <si>
    <t>Light-Duty Vehicle Sales: Alternative-Fuel Light Trucks: Natural Gas ICE: Low oil price</t>
  </si>
  <si>
    <t>48-AEO2021.43.lowprice-d113020a</t>
  </si>
  <si>
    <t>Light-Duty Vehicle Sales: Alternative-Fuel Light Trucks: Natural Gas Bi-fuel: Low oil price</t>
  </si>
  <si>
    <t>48-AEO2021.44.lowprice-d113020a</t>
  </si>
  <si>
    <t>Light-Duty Vehicle Sales: Alternative-Fuel Light Trucks: Propane ICE: Low oil price</t>
  </si>
  <si>
    <t>48-AEO2021.45.lowprice-d113020a</t>
  </si>
  <si>
    <t>Light-Duty Vehicle Sales: Alternative-Fuel Light Trucks: Propane Bi-fuel: Low oil price</t>
  </si>
  <si>
    <t>48-AEO2021.46.lowprice-d113020a</t>
  </si>
  <si>
    <t>Light-Duty Vehicle Sales: Alternative-Fuel Light Trucks: Fuel Cell Methanol: Low oil price</t>
  </si>
  <si>
    <t>48-AEO2021.47.lowprice-d113020a</t>
  </si>
  <si>
    <t>Light-Duty Vehicle Sales: Alternative-Fuel Light Trucks: Fuel Cell Hydrogen: Low oil price</t>
  </si>
  <si>
    <t>48-AEO2021.48.lowprice-d113020a</t>
  </si>
  <si>
    <t>Light-Duty Vehicle Sales: Alternative-Fuel Light Trucks: Total: Low oil price</t>
  </si>
  <si>
    <t>48-AEO2021.49.lowprice-d113020a</t>
  </si>
  <si>
    <t>Light-Duty Vehicle Sales: Percent Alternative Light Truck Sales: Low oil price</t>
  </si>
  <si>
    <t>48-AEO2021.51.lowprice-d113020a</t>
  </si>
  <si>
    <t>Light-Duty Vehicle Sales: Total New Truck: Low oil price</t>
  </si>
  <si>
    <t>48-AEO2021.52.lowprice-d113020a</t>
  </si>
  <si>
    <t>Light-Duty Vehicle Sales: Percent Total Alternative Sales: Low oil price</t>
  </si>
  <si>
    <t>48-AEO2021.54.lowprice-d113020a</t>
  </si>
  <si>
    <t>Light-Duty Vehicle Sales: EPACT Legislative Alternative Sales: Low oil price</t>
  </si>
  <si>
    <t>48-AEO2021.55.lowprice-d113020a</t>
  </si>
  <si>
    <t>Light-Duty Vehicle Sales: ZEVP Legislative Alternative Sales: Low oil price</t>
  </si>
  <si>
    <t>48-AEO2021.56.lowprice-d113020a</t>
  </si>
  <si>
    <t>Light-Duty Vehicle Sales: Total Sales, Cars and Light Trucks: Conventional Gasoline: Low oil price</t>
  </si>
  <si>
    <t>48-AEO2021.59.lowprice-d113020a</t>
  </si>
  <si>
    <t>Light-Duty Vehicle Sales: Total Sales, Cars and Light Trucks: TDI Diesel: Low oil price</t>
  </si>
  <si>
    <t>48-AEO2021.60.lowprice-d113020a</t>
  </si>
  <si>
    <t>Light-Duty Vehicle Sales: Total Sales, Cars and Light Trucks: Flex-Fuel: Low oil price</t>
  </si>
  <si>
    <t>48-AEO2021.61.lowprice-d113020a</t>
  </si>
  <si>
    <t>Light-Duty Vehicle Sales: Total Sales, Cars and Light Trucks: Electric: Low oil price</t>
  </si>
  <si>
    <t>48-AEO2021.62.lowprice-d113020a</t>
  </si>
  <si>
    <t>Light-Duty Vehicle Sales: Total Sales, Cars and Light Trucks: Plug-in Electric Hybrid: Low oil price</t>
  </si>
  <si>
    <t>48-AEO2021.63.lowprice-d113020a</t>
  </si>
  <si>
    <t>Light-Duty Vehicle Sales: Total Sales, Cars and Light Trucks: Electric Hybrid: Low oil price</t>
  </si>
  <si>
    <t>48-AEO2021.64.lowprice-d113020a</t>
  </si>
  <si>
    <t>Light-Duty Vehicle Sales: Total Sales, Cars and Light Trucks: Gaseous: Low oil price</t>
  </si>
  <si>
    <t>48-AEO2021.65.lowprice-d113020a</t>
  </si>
  <si>
    <t>Light-Duty Vehicle Sales: Total Sales, Cars and Light Trucks: Fuel Cell: Low oil price</t>
  </si>
  <si>
    <t>48-AEO2021.66.lowprice-d113020a</t>
  </si>
  <si>
    <t>Light-Duty Vehicle Sales: Total Vehicles Sales: Low oil price</t>
  </si>
  <si>
    <t>48-AEO2021.67.lowprice-d113020a</t>
  </si>
  <si>
    <t>Light-Duty Vehicle Sales: Microhybrids: Conventional Gasoline: Low oil price</t>
  </si>
  <si>
    <t>48-AEO2021.70.lowprice-d113020a</t>
  </si>
  <si>
    <t>Light-Duty Vehicle Sales: Microhybrids: TDI Diesel: Low oil price</t>
  </si>
  <si>
    <t>48-AEO2021.71.lowprice-d113020a</t>
  </si>
  <si>
    <t>Light-Duty Vehicle Sales: Alternative-Fueled Vehicles: Low oil price</t>
  </si>
  <si>
    <t>48-AEO2021.80.lowprice-d113020a</t>
  </si>
  <si>
    <t>Low Renewables Price Scenario</t>
  </si>
  <si>
    <t>Light-Duty Vehicle Sales: Conventional Cars: Gasoline: High renewable cost</t>
  </si>
  <si>
    <t>48-AEO2021.4.hirencst-d113020a</t>
  </si>
  <si>
    <t>Light-Duty Vehicle Sales: Conventional Cars: TDI Diesel: High renewable cost</t>
  </si>
  <si>
    <t>48-AEO2021.5.hirencst-d113020a</t>
  </si>
  <si>
    <t>Light-Duty Vehicle Sales: Conventional Cars: Total: High renewable cost</t>
  </si>
  <si>
    <t>48-AEO2021.6.hirencst-d113020a</t>
  </si>
  <si>
    <t>Light-Duty Vehicle Sales: Alternative-Fuel Cars: Ethanol-Flex Fuel ICE: High renewable cost</t>
  </si>
  <si>
    <t>48-AEO2021.9.hirencst-d113020a</t>
  </si>
  <si>
    <t>Light-Duty Vehicle Sales: Alternative-Fuel Cars: 100 Mile Electric Vehicle: High renewable cost</t>
  </si>
  <si>
    <t>48-AEO2021.10.hirencst-d113020a</t>
  </si>
  <si>
    <t>Light-Duty Vehicle Sales: Alternative-Fuel Cars: 200 Mile Electric Vehicle: High renewable cost</t>
  </si>
  <si>
    <t>48-AEO2021.11.hirencst-d113020a</t>
  </si>
  <si>
    <t>Light-Duty Vehicle Sales: Alternative-Fuel Cars: 300 Mile Electric Vehicle: High renewable cost</t>
  </si>
  <si>
    <t>48-AEO2021.12.hirencst-d113020a</t>
  </si>
  <si>
    <t>Light-Duty Vehicle Sales: Alternative-Fuel Cars: Plug-in 10 Gasoline Hybrid: High renewable cost</t>
  </si>
  <si>
    <t>48-AEO2021.13.hirencst-d113020a</t>
  </si>
  <si>
    <t>Light-Duty Vehicle Sales: Alternative-Fuel Cars: Plug-in 40 Gasoline Hybrid: High renewable cost</t>
  </si>
  <si>
    <t>48-AEO2021.14.hirencst-d113020a</t>
  </si>
  <si>
    <t>Light-Duty Vehicle Sales: Alternative-Fuel Cars: Electric-Diesel Hybrid: High renewable cost</t>
  </si>
  <si>
    <t>48-AEO2021.15.hirencst-d113020a</t>
  </si>
  <si>
    <t>Light-Duty Vehicle Sales: Alternative-Fuel Cars: Electric-Gasoline Hybrid: High renewable cost</t>
  </si>
  <si>
    <t>48-AEO2021.16.hirencst-d113020a</t>
  </si>
  <si>
    <t>Light-Duty Vehicle Sales: Alternative-Fuel Cars: Natural Gas ICE: High renewable cost</t>
  </si>
  <si>
    <t>48-AEO2021.17.hirencst-d113020a</t>
  </si>
  <si>
    <t>Light-Duty Vehicle Sales: Alternative-Fuel Cars: Natural Gas Bi-fuel: High renewable cost</t>
  </si>
  <si>
    <t>48-AEO2021.18.hirencst-d113020a</t>
  </si>
  <si>
    <t>Light-Duty Vehicle Sales: Alternative-Fuel Cars: Propane: High renewable cost</t>
  </si>
  <si>
    <t>48-AEO2021.19.hirencst-d113020a</t>
  </si>
  <si>
    <t>48-AEO2021.20.hirencst-d113020a</t>
  </si>
  <si>
    <t>Light-Duty Vehicle Sales: Alternative-Fuel Cars: Fuel Cell Methanol: High renewable cost</t>
  </si>
  <si>
    <t>48-AEO2021.21.hirencst-d113020a</t>
  </si>
  <si>
    <t>Light-Duty Vehicle Sales: Alternative-Fuel cars: Fuel Cell Hydrogen: High renewable cost</t>
  </si>
  <si>
    <t>48-AEO2021.22.hirencst-d113020a</t>
  </si>
  <si>
    <t>Light-Duty Vehicle Sales: Alternative-Fuel Cars: Total: High renewable cost</t>
  </si>
  <si>
    <t>48-AEO2021.23.hirencst-d113020a</t>
  </si>
  <si>
    <t>Light-Duty Vehicle Sales: Percent Alternative Car: High renewable cost</t>
  </si>
  <si>
    <t>48-AEO2021.25.hirencst-d113020a</t>
  </si>
  <si>
    <t>Light-Duty Vehicle Sales: Total New Car: High renewable cost</t>
  </si>
  <si>
    <t>48-AEO2021.26.hirencst-d113020a</t>
  </si>
  <si>
    <t>Light-Duty Vehicle Sales: Conventional Light Trucks: Gasoline: High renewable cost</t>
  </si>
  <si>
    <t>48-AEO2021.30.hirencst-d113020a</t>
  </si>
  <si>
    <t>Light-Duty Vehicle Sales: Conventional Light Trucks: TDI Diesel: High renewable cost</t>
  </si>
  <si>
    <t>48-AEO2021.31.hirencst-d113020a</t>
  </si>
  <si>
    <t>Light-Duty Vehicle Sales: Conventional Light Trucks: Total: High renewable cost</t>
  </si>
  <si>
    <t>48-AEO2021.32.hirencst-d113020a</t>
  </si>
  <si>
    <t>Light-Duty Vehicle Sales: Alternative-Fuel Light Trucks: Ethanol-Flex Fuel ICE: High renewable cost</t>
  </si>
  <si>
    <t>48-AEO2021.35.hirencst-d113020a</t>
  </si>
  <si>
    <t>Light-Duty Vehicle Sales: Alternative-Fuel Light Trucks: 100 Mile Electric Vehicle: High renewable cost</t>
  </si>
  <si>
    <t>48-AEO2021.36.hirencst-d113020a</t>
  </si>
  <si>
    <t>Light-Duty Vehicle Sales: Alternative-Fuel Light Trucks: 200 Mile Electric Vehicle: High renewable cost</t>
  </si>
  <si>
    <t>48-AEO2021.37.hirencst-d113020a</t>
  </si>
  <si>
    <t>Light-Duty Vehicle Sales: Alternative-Fuel Light Trucks: 300 Mile Electric Vehicle: High renewable cost</t>
  </si>
  <si>
    <t>48-AEO2021.38.hirencst-d113020a</t>
  </si>
  <si>
    <t>Light-Duty Vehicle Sales: Alternative-Fuel Light Trucks: Plug-in 10 Gasoline Hybrid: High renewable cost</t>
  </si>
  <si>
    <t>48-AEO2021.39.hirencst-d113020a</t>
  </si>
  <si>
    <t>Light-Duty Vehicle Sales: Alternative-Fuel Light Trucks: Plug-in 40 Gasoline Hybrid: High renewable cost</t>
  </si>
  <si>
    <t>48-AEO2021.40.hirencst-d113020a</t>
  </si>
  <si>
    <t>Light-Duty Vehicle Sales: Alternative-Fuel Light Trucks: Electric-Diesel Hybrid: High renewable cost</t>
  </si>
  <si>
    <t>48-AEO2021.41.hirencst-d113020a</t>
  </si>
  <si>
    <t>Light-Duty Vehicle Sales: Alternative-Fuel Light Trucks: Electric-Gasoline Hybrid: High renewable cost</t>
  </si>
  <si>
    <t>48-AEO2021.42.hirencst-d113020a</t>
  </si>
  <si>
    <t>Light-Duty Vehicle Sales: Alternative-Fuel Light Trucks: Natural Gas ICE: High renewable cost</t>
  </si>
  <si>
    <t>48-AEO2021.43.hirencst-d113020a</t>
  </si>
  <si>
    <t>Light-Duty Vehicle Sales: Alternative-Fuel Light Trucks: Natural Gas Bi-fuel: High renewable cost</t>
  </si>
  <si>
    <t>48-AEO2021.44.hirencst-d113020a</t>
  </si>
  <si>
    <t>Light-Duty Vehicle Sales: Alternative-Fuel Light Trucks: Propane ICE: High renewable cost</t>
  </si>
  <si>
    <t>48-AEO2021.45.hirencst-d113020a</t>
  </si>
  <si>
    <t>Light-Duty Vehicle Sales: Alternative-Fuel Light Trucks: Propane Bi-fuel: High renewable cost</t>
  </si>
  <si>
    <t>48-AEO2021.46.hirencst-d113020a</t>
  </si>
  <si>
    <t>Light-Duty Vehicle Sales: Alternative-Fuel Light Trucks: Fuel Cell Methanol: High renewable cost</t>
  </si>
  <si>
    <t>48-AEO2021.47.hirencst-d113020a</t>
  </si>
  <si>
    <t>Light-Duty Vehicle Sales: Alternative-Fuel Light Trucks: Fuel Cell Hydrogen: High renewable cost</t>
  </si>
  <si>
    <t>48-AEO2021.48.hirencst-d113020a</t>
  </si>
  <si>
    <t>Light-Duty Vehicle Sales: Alternative-Fuel Light Trucks: Total: High renewable cost</t>
  </si>
  <si>
    <t>48-AEO2021.49.hirencst-d113020a</t>
  </si>
  <si>
    <t>Light-Duty Vehicle Sales: Percent Alternative Light Truck Sales: High renewable cost</t>
  </si>
  <si>
    <t>48-AEO2021.51.hirencst-d113020a</t>
  </si>
  <si>
    <t>Light-Duty Vehicle Sales: Total New Truck: High renewable cost</t>
  </si>
  <si>
    <t>48-AEO2021.52.hirencst-d113020a</t>
  </si>
  <si>
    <t>Light-Duty Vehicle Sales: Percent Total Alternative Sales: High renewable cost</t>
  </si>
  <si>
    <t>48-AEO2021.54.hirencst-d113020a</t>
  </si>
  <si>
    <t>Light-Duty Vehicle Sales: EPACT Legislative Alternative Sales: High renewable cost</t>
  </si>
  <si>
    <t>48-AEO2021.55.hirencst-d113020a</t>
  </si>
  <si>
    <t>Light-Duty Vehicle Sales: ZEVP Legislative Alternative Sales: High renewable cost</t>
  </si>
  <si>
    <t>48-AEO2021.56.hirencst-d113020a</t>
  </si>
  <si>
    <t>Light-Duty Vehicle Sales: Total Sales, Cars and Light Trucks: Conventional Gasoline: High renewable cost</t>
  </si>
  <si>
    <t>48-AEO2021.59.hirencst-d113020a</t>
  </si>
  <si>
    <t>Light-Duty Vehicle Sales: Total Sales, Cars and Light Trucks: TDI Diesel: High renewable cost</t>
  </si>
  <si>
    <t>48-AEO2021.60.hirencst-d113020a</t>
  </si>
  <si>
    <t>Light-Duty Vehicle Sales: Total Sales, Cars and Light Trucks: Flex-Fuel: High renewable cost</t>
  </si>
  <si>
    <t>48-AEO2021.61.hirencst-d113020a</t>
  </si>
  <si>
    <t>Light-Duty Vehicle Sales: Total Sales, Cars and Light Trucks: Electric: High renewable cost</t>
  </si>
  <si>
    <t>48-AEO2021.62.hirencst-d113020a</t>
  </si>
  <si>
    <t>Light-Duty Vehicle Sales: Total Sales, Cars and Light Trucks: Plug-in Electric Hybrid: High renewable cost</t>
  </si>
  <si>
    <t>48-AEO2021.63.hirencst-d113020a</t>
  </si>
  <si>
    <t>Light-Duty Vehicle Sales: Total Sales, Cars and Light Trucks: Electric Hybrid: High renewable cost</t>
  </si>
  <si>
    <t>48-AEO2021.64.hirencst-d113020a</t>
  </si>
  <si>
    <t>Light-Duty Vehicle Sales: Total Sales, Cars and Light Trucks: Gaseous: High renewable cost</t>
  </si>
  <si>
    <t>48-AEO2021.65.hirencst-d113020a</t>
  </si>
  <si>
    <t>Light-Duty Vehicle Sales: Total Sales, Cars and Light Trucks: Fuel Cell: High renewable cost</t>
  </si>
  <si>
    <t>48-AEO2021.66.hirencst-d113020a</t>
  </si>
  <si>
    <t>Light-Duty Vehicle Sales: Total Vehicles Sales: High renewable cost</t>
  </si>
  <si>
    <t>48-AEO2021.67.hirencst-d113020a</t>
  </si>
  <si>
    <t>Light-Duty Vehicle Sales: Microhybrids: Conventional Gasoline: High renewable cost</t>
  </si>
  <si>
    <t>48-AEO2021.70.hirencst-d113020a</t>
  </si>
  <si>
    <t>Light-Duty Vehicle Sales: Microhybrids: TDI Diesel: High renewable cost</t>
  </si>
  <si>
    <t>48-AEO2021.71.hirencst-d113020a</t>
  </si>
  <si>
    <t>Light-Duty Vehicle Sales: Alternative-Fueled Vehicles: High renewable cost</t>
  </si>
  <si>
    <t>48-AEO2021.80.hirencst-d113020a</t>
  </si>
  <si>
    <t>Light-Duty Vehicle Sales: Conventional Cars: Gasoline: Low renewable cost</t>
  </si>
  <si>
    <t>48-AEO2021.4.lorencst-d113020a</t>
  </si>
  <si>
    <t>Light-Duty Vehicle Sales: Conventional Cars: TDI Diesel: Low renewable cost</t>
  </si>
  <si>
    <t>48-AEO2021.5.lorencst-d113020a</t>
  </si>
  <si>
    <t>Light-Duty Vehicle Sales: Conventional Cars: Total: Low renewable cost</t>
  </si>
  <si>
    <t>48-AEO2021.6.lorencst-d113020a</t>
  </si>
  <si>
    <t>Light-Duty Vehicle Sales: Alternative-Fuel Cars: Ethanol-Flex Fuel ICE: Low renewable cost</t>
  </si>
  <si>
    <t>48-AEO2021.9.lorencst-d113020a</t>
  </si>
  <si>
    <t>Light-Duty Vehicle Sales: Alternative-Fuel Cars: 100 Mile Electric Vehicle: Low renewable cost</t>
  </si>
  <si>
    <t>48-AEO2021.10.lorencst-d113020a</t>
  </si>
  <si>
    <t>Light-Duty Vehicle Sales: Alternative-Fuel Cars: 200 Mile Electric Vehicle: Low renewable cost</t>
  </si>
  <si>
    <t>48-AEO2021.11.lorencst-d113020a</t>
  </si>
  <si>
    <t>Light-Duty Vehicle Sales: Alternative-Fuel Cars: 300 Mile Electric Vehicle: Low renewable cost</t>
  </si>
  <si>
    <t>48-AEO2021.12.lorencst-d113020a</t>
  </si>
  <si>
    <t>Light-Duty Vehicle Sales: Alternative-Fuel Cars: Plug-in 10 Gasoline Hybrid: Low renewable cost</t>
  </si>
  <si>
    <t>48-AEO2021.13.lorencst-d113020a</t>
  </si>
  <si>
    <t>Light-Duty Vehicle Sales: Alternative-Fuel Cars: Plug-in 40 Gasoline Hybrid: Low renewable cost</t>
  </si>
  <si>
    <t>48-AEO2021.14.lorencst-d113020a</t>
  </si>
  <si>
    <t>Light-Duty Vehicle Sales: Alternative-Fuel Cars: Electric-Diesel Hybrid: Low renewable cost</t>
  </si>
  <si>
    <t>48-AEO2021.15.lorencst-d113020a</t>
  </si>
  <si>
    <t>Light-Duty Vehicle Sales: Alternative-Fuel Cars: Electric-Gasoline Hybrid: Low renewable cost</t>
  </si>
  <si>
    <t>48-AEO2021.16.lorencst-d113020a</t>
  </si>
  <si>
    <t>Light-Duty Vehicle Sales: Alternative-Fuel Cars: Natural Gas ICE: Low renewable cost</t>
  </si>
  <si>
    <t>48-AEO2021.17.lorencst-d113020a</t>
  </si>
  <si>
    <t>Light-Duty Vehicle Sales: Alternative-Fuel Cars: Natural Gas Bi-fuel: Low renewable cost</t>
  </si>
  <si>
    <t>48-AEO2021.18.lorencst-d113020a</t>
  </si>
  <si>
    <t>Light-Duty Vehicle Sales: Alternative-Fuel Cars: Propane: Low renewable cost</t>
  </si>
  <si>
    <t>48-AEO2021.19.lorencst-d113020a</t>
  </si>
  <si>
    <t>48-AEO2021.20.lorencst-d113020a</t>
  </si>
  <si>
    <t>Light-Duty Vehicle Sales: Alternative-Fuel Cars: Fuel Cell Methanol: Low renewable cost</t>
  </si>
  <si>
    <t>48-AEO2021.21.lorencst-d113020a</t>
  </si>
  <si>
    <t>Light-Duty Vehicle Sales: Alternative-Fuel cars: Fuel Cell Hydrogen: Low renewable cost</t>
  </si>
  <si>
    <t>48-AEO2021.22.lorencst-d113020a</t>
  </si>
  <si>
    <t>Light-Duty Vehicle Sales: Alternative-Fuel Cars: Total: Low renewable cost</t>
  </si>
  <si>
    <t>48-AEO2021.23.lorencst-d113020a</t>
  </si>
  <si>
    <t>Light-Duty Vehicle Sales: Percent Alternative Car: Low renewable cost</t>
  </si>
  <si>
    <t>48-AEO2021.25.lorencst-d113020a</t>
  </si>
  <si>
    <t>Light-Duty Vehicle Sales: Total New Car: Low renewable cost</t>
  </si>
  <si>
    <t>48-AEO2021.26.lorencst-d113020a</t>
  </si>
  <si>
    <t>Light-Duty Vehicle Sales: Conventional Light Trucks: Gasoline: Low renewable cost</t>
  </si>
  <si>
    <t>48-AEO2021.30.lorencst-d113020a</t>
  </si>
  <si>
    <t>Light-Duty Vehicle Sales: Conventional Light Trucks: TDI Diesel: Low renewable cost</t>
  </si>
  <si>
    <t>48-AEO2021.31.lorencst-d113020a</t>
  </si>
  <si>
    <t>Light-Duty Vehicle Sales: Conventional Light Trucks: Total: Low renewable cost</t>
  </si>
  <si>
    <t>48-AEO2021.32.lorencst-d113020a</t>
  </si>
  <si>
    <t>Light-Duty Vehicle Sales: Alternative-Fuel Light Trucks: Ethanol-Flex Fuel ICE: Low renewable cost</t>
  </si>
  <si>
    <t>48-AEO2021.35.lorencst-d113020a</t>
  </si>
  <si>
    <t>Light-Duty Vehicle Sales: Alternative-Fuel Light Trucks: 100 Mile Electric Vehicle: Low renewable cost</t>
  </si>
  <si>
    <t>48-AEO2021.36.lorencst-d113020a</t>
  </si>
  <si>
    <t>Light-Duty Vehicle Sales: Alternative-Fuel Light Trucks: 200 Mile Electric Vehicle: Low renewable cost</t>
  </si>
  <si>
    <t>48-AEO2021.37.lorencst-d113020a</t>
  </si>
  <si>
    <t>Light-Duty Vehicle Sales: Alternative-Fuel Light Trucks: 300 Mile Electric Vehicle: Low renewable cost</t>
  </si>
  <si>
    <t>48-AEO2021.38.lorencst-d113020a</t>
  </si>
  <si>
    <t>Light-Duty Vehicle Sales: Alternative-Fuel Light Trucks: Plug-in 10 Gasoline Hybrid: Low renewable cost</t>
  </si>
  <si>
    <t>48-AEO2021.39.lorencst-d113020a</t>
  </si>
  <si>
    <t>Light-Duty Vehicle Sales: Alternative-Fuel Light Trucks: Plug-in 40 Gasoline Hybrid: Low renewable cost</t>
  </si>
  <si>
    <t>48-AEO2021.40.lorencst-d113020a</t>
  </si>
  <si>
    <t>Light-Duty Vehicle Sales: Alternative-Fuel Light Trucks: Electric-Diesel Hybrid: Low renewable cost</t>
  </si>
  <si>
    <t>48-AEO2021.41.lorencst-d113020a</t>
  </si>
  <si>
    <t>Light-Duty Vehicle Sales: Alternative-Fuel Light Trucks: Electric-Gasoline Hybrid: Low renewable cost</t>
  </si>
  <si>
    <t>48-AEO2021.42.lorencst-d113020a</t>
  </si>
  <si>
    <t>Light-Duty Vehicle Sales: Alternative-Fuel Light Trucks: Natural Gas ICE: Low renewable cost</t>
  </si>
  <si>
    <t>48-AEO2021.43.lorencst-d113020a</t>
  </si>
  <si>
    <t>Light-Duty Vehicle Sales: Alternative-Fuel Light Trucks: Natural Gas Bi-fuel: Low renewable cost</t>
  </si>
  <si>
    <t>48-AEO2021.44.lorencst-d113020a</t>
  </si>
  <si>
    <t>Light-Duty Vehicle Sales: Alternative-Fuel Light Trucks: Propane ICE: Low renewable cost</t>
  </si>
  <si>
    <t>48-AEO2021.45.lorencst-d113020a</t>
  </si>
  <si>
    <t>Light-Duty Vehicle Sales: Alternative-Fuel Light Trucks: Propane Bi-fuel: Low renewable cost</t>
  </si>
  <si>
    <t>48-AEO2021.46.lorencst-d113020a</t>
  </si>
  <si>
    <t>Light-Duty Vehicle Sales: Alternative-Fuel Light Trucks: Fuel Cell Methanol: Low renewable cost</t>
  </si>
  <si>
    <t>48-AEO2021.47.lorencst-d113020a</t>
  </si>
  <si>
    <t>Light-Duty Vehicle Sales: Alternative-Fuel Light Trucks: Fuel Cell Hydrogen: Low renewable cost</t>
  </si>
  <si>
    <t>48-AEO2021.48.lorencst-d113020a</t>
  </si>
  <si>
    <t>Light-Duty Vehicle Sales: Alternative-Fuel Light Trucks: Total: Low renewable cost</t>
  </si>
  <si>
    <t>48-AEO2021.49.lorencst-d113020a</t>
  </si>
  <si>
    <t>Light-Duty Vehicle Sales: Percent Alternative Light Truck Sales: Low renewable cost</t>
  </si>
  <si>
    <t>48-AEO2021.51.lorencst-d113020a</t>
  </si>
  <si>
    <t>Light-Duty Vehicle Sales: Total New Truck: Low renewable cost</t>
  </si>
  <si>
    <t>48-AEO2021.52.lorencst-d113020a</t>
  </si>
  <si>
    <t>Light-Duty Vehicle Sales: Percent Total Alternative Sales: Low renewable cost</t>
  </si>
  <si>
    <t>48-AEO2021.54.lorencst-d113020a</t>
  </si>
  <si>
    <t>Light-Duty Vehicle Sales: EPACT Legislative Alternative Sales: Low renewable cost</t>
  </si>
  <si>
    <t>48-AEO2021.55.lorencst-d113020a</t>
  </si>
  <si>
    <t>Light-Duty Vehicle Sales: ZEVP Legislative Alternative Sales: Low renewable cost</t>
  </si>
  <si>
    <t>48-AEO2021.56.lorencst-d113020a</t>
  </si>
  <si>
    <t>Light-Duty Vehicle Sales: Total Sales, Cars and Light Trucks: Conventional Gasoline: Low renewable cost</t>
  </si>
  <si>
    <t>48-AEO2021.59.lorencst-d113020a</t>
  </si>
  <si>
    <t>Light-Duty Vehicle Sales: Total Sales, Cars and Light Trucks: TDI Diesel: Low renewable cost</t>
  </si>
  <si>
    <t>48-AEO2021.60.lorencst-d113020a</t>
  </si>
  <si>
    <t>Light-Duty Vehicle Sales: Total Sales, Cars and Light Trucks: Flex-Fuel: Low renewable cost</t>
  </si>
  <si>
    <t>48-AEO2021.61.lorencst-d113020a</t>
  </si>
  <si>
    <t>Light-Duty Vehicle Sales: Total Sales, Cars and Light Trucks: Electric: Low renewable cost</t>
  </si>
  <si>
    <t>48-AEO2021.62.lorencst-d113020a</t>
  </si>
  <si>
    <t>Light-Duty Vehicle Sales: Total Sales, Cars and Light Trucks: Plug-in Electric Hybrid: Low renewable cost</t>
  </si>
  <si>
    <t>48-AEO2021.63.lorencst-d113020a</t>
  </si>
  <si>
    <t>Light-Duty Vehicle Sales: Total Sales, Cars and Light Trucks: Electric Hybrid: Low renewable cost</t>
  </si>
  <si>
    <t>48-AEO2021.64.lorencst-d113020a</t>
  </si>
  <si>
    <t>Light-Duty Vehicle Sales: Total Sales, Cars and Light Trucks: Gaseous: Low renewable cost</t>
  </si>
  <si>
    <t>48-AEO2021.65.lorencst-d113020a</t>
  </si>
  <si>
    <t>Light-Duty Vehicle Sales: Total Sales, Cars and Light Trucks: Fuel Cell: Low renewable cost</t>
  </si>
  <si>
    <t>48-AEO2021.66.lorencst-d113020a</t>
  </si>
  <si>
    <t>Light-Duty Vehicle Sales: Total Vehicles Sales: Low renewable cost</t>
  </si>
  <si>
    <t>48-AEO2021.67.lorencst-d113020a</t>
  </si>
  <si>
    <t>Light-Duty Vehicle Sales: Microhybrids: Conventional Gasoline: Low renewable cost</t>
  </si>
  <si>
    <t>48-AEO2021.70.lorencst-d113020a</t>
  </si>
  <si>
    <t>Light-Duty Vehicle Sales: Microhybrids: TDI Diesel: Low renewable cost</t>
  </si>
  <si>
    <t>48-AEO2021.71.lorencst-d113020a</t>
  </si>
  <si>
    <t>Light-Duty Vehicle Sales: Alternative-Fueled Vehicles: Low renewable cost</t>
  </si>
  <si>
    <t>48-AEO2021.80.lorencst-d113020a</t>
  </si>
  <si>
    <t>By Fuel Type</t>
  </si>
  <si>
    <r>
      <rPr>
        <b/>
        <i/>
        <sz val="11"/>
        <color rgb="FF0070C0"/>
        <rFont val="Calibri"/>
        <family val="2"/>
        <scheme val="minor"/>
      </rPr>
      <t>Source:</t>
    </r>
    <r>
      <rPr>
        <i/>
        <sz val="11"/>
        <color theme="1"/>
        <rFont val="Calibri"/>
        <family val="2"/>
        <scheme val="minor"/>
      </rPr>
      <t xml:space="preserve"> https://d3eaozktcyljdh.cloudfront.net/cdn/ff/sdRFjXZCfn4VfIdORJMaZbUG1KOHmKuTQEnwh1V7ULo/1612543135/public/report-files/FY-2020%20Alternatively-Fueled-Vehicle-Report.pdf</t>
    </r>
  </si>
  <si>
    <t>these are total values REGISTERED VEHICLES (not incremental)</t>
  </si>
  <si>
    <t>Automobiles</t>
  </si>
  <si>
    <t>Trucks</t>
  </si>
  <si>
    <t>Buses</t>
  </si>
  <si>
    <t>Motorcycles</t>
  </si>
  <si>
    <t>Statistica</t>
  </si>
  <si>
    <t>Source: https://www.statista.com/statistics/196873/registered-motor-vehicles-in-texas-in-2009-by-vehicle-type/</t>
  </si>
  <si>
    <t>By Vehice Type</t>
  </si>
  <si>
    <t>Automobile</t>
  </si>
  <si>
    <t xml:space="preserve">Trucks </t>
  </si>
  <si>
    <t>https://www.google.com/publicdata/explore?ds=gb66jodhlsaab_#!ctype=l&amp;strail=false&amp;bcs=d&amp;nselm=h&amp;met_y=Auto&amp;scale_y=lin&amp;ind_y=false&amp;rdim=state&amp;idim=state:TX&amp;ifdim=state&amp;hl=en_US&amp;dl=en_US&amp;ind=false</t>
  </si>
  <si>
    <t>Cars trend is stable/ flatish</t>
  </si>
  <si>
    <t>N/A</t>
  </si>
  <si>
    <t>Total Hybrid Cars Registered in Texas</t>
  </si>
  <si>
    <t>New Hybrid Car Sales Each Year</t>
  </si>
  <si>
    <r>
      <t xml:space="preserve">Texas automobile registrations comprised </t>
    </r>
    <r>
      <rPr>
        <b/>
        <u/>
        <sz val="11"/>
        <color rgb="FFFF0000"/>
        <rFont val="Calibri"/>
        <family val="2"/>
        <scheme val="minor"/>
      </rPr>
      <t>69.6%</t>
    </r>
    <r>
      <rPr>
        <b/>
        <sz val="11"/>
        <color theme="1"/>
        <rFont val="Calibri"/>
        <family val="2"/>
        <scheme val="minor"/>
      </rPr>
      <t xml:space="preserve"> of the total from all four West South Central states.</t>
    </r>
  </si>
  <si>
    <t>Light-Duty Vehicle Sales Alternative-Fuel Light Trucks Electric-Gasoline Hybrid (Case Reference case Region West South Central)</t>
  </si>
  <si>
    <t>https://www.eia.gov/outlooks/aeo/data/browser/#/?id=48-AEO2021&amp;region=1-7&amp;cases=ref2021&amp;start=2019&amp;end=2050&amp;f=A&amp;linechart=ref2021-d113020a.42-48-AEO2021.1-7&amp;map=ref2021-d113020a.5-48-AEO2021.1-7&amp;ctype=linechart&amp;sourcekey=0</t>
  </si>
  <si>
    <t>20:49:33 GMT-0500 (Central Daylight Time)</t>
  </si>
  <si>
    <t>Light-Duty Vehicle Sales: Alternative-Fuel Light Trucks: Electric-Gasoline Hybrid thousands</t>
  </si>
  <si>
    <t>In Texas</t>
  </si>
  <si>
    <t xml:space="preserve">EV Projections </t>
  </si>
  <si>
    <t>Hybrid Vehicle Projections</t>
  </si>
  <si>
    <t xml:space="preserve">Total Number of Vehicles </t>
  </si>
  <si>
    <t>Average Annual VMT per Capita</t>
  </si>
  <si>
    <t>Total Miles Traveled</t>
  </si>
  <si>
    <t>Average Fuel Economy (mpg)</t>
  </si>
  <si>
    <t xml:space="preserve">Gallons of Gasoline Reduced </t>
  </si>
  <si>
    <t>Average Fuel Economy for hybrid (mpg)</t>
  </si>
  <si>
    <t>Average Fuel Economy for conventional vehicles (mpg)</t>
  </si>
  <si>
    <t>Gas Forecast for FUTURE VALUE</t>
  </si>
  <si>
    <t>old</t>
  </si>
  <si>
    <t>new</t>
  </si>
  <si>
    <t>Gasoline (Gallons)</t>
  </si>
  <si>
    <t>Gas (Gallons) Conventional</t>
  </si>
  <si>
    <t>Diesel (Gallons) Conventional</t>
  </si>
  <si>
    <t>Total Gallons</t>
  </si>
  <si>
    <t>Current Gas Tax Revenue (gas)</t>
  </si>
  <si>
    <t>Current Gas Tax Revenue (diesel)</t>
  </si>
  <si>
    <t>Total Revenue</t>
  </si>
  <si>
    <t>Gax Tax 1 Year increase</t>
  </si>
  <si>
    <t>Ga Tax Yearly Increase</t>
  </si>
  <si>
    <t>1 time Present Value</t>
  </si>
  <si>
    <t>Gas Tax Periodic</t>
  </si>
  <si>
    <t>Periodic present value</t>
  </si>
  <si>
    <t>Gas Tax Base (with no change)</t>
  </si>
  <si>
    <t>Base present value</t>
  </si>
  <si>
    <t>Forecast for Present Value</t>
  </si>
  <si>
    <t>Existing rate</t>
  </si>
  <si>
    <t>One Time Increase</t>
  </si>
  <si>
    <t>One Time Increase Year</t>
  </si>
  <si>
    <t>Periodic increase (every 3 years)</t>
  </si>
  <si>
    <t>Transition</t>
  </si>
  <si>
    <t>Rate</t>
  </si>
  <si>
    <t>Period (years)</t>
  </si>
  <si>
    <t>Start Year</t>
  </si>
  <si>
    <t>End Year</t>
  </si>
  <si>
    <t>Base</t>
  </si>
  <si>
    <t>1 Time Increase</t>
  </si>
  <si>
    <t>Combined</t>
  </si>
  <si>
    <t>Periodic Increase</t>
  </si>
  <si>
    <t>VI https://www.nh.gov/dot/org/commissioner/amps/documents/ruf-report-final.pdf</t>
  </si>
  <si>
    <t>Light-Duty Vehicles Short Wheelbase Fuel Economy Annual</t>
  </si>
  <si>
    <t>elasticity od gas sales to gas tax</t>
  </si>
  <si>
    <t>annual VMT per capita in texas</t>
  </si>
  <si>
    <t>Ev's Sold</t>
  </si>
  <si>
    <t>projections</t>
  </si>
  <si>
    <t>Electric miles</t>
  </si>
  <si>
    <t>Lost gas sales (gallons)</t>
  </si>
  <si>
    <t>Gallons Accounting for demand elasticity</t>
  </si>
  <si>
    <t>Inc using Electric vehicles</t>
  </si>
  <si>
    <t>Number of Conventional Vehicles</t>
  </si>
  <si>
    <t>Number of Hybrid Vehicles</t>
  </si>
  <si>
    <t>Number of Electric Vehicles</t>
  </si>
  <si>
    <t>Total Emissions</t>
  </si>
  <si>
    <t>Carbon Tax PV</t>
  </si>
  <si>
    <t>Source: https://afdc.energy.gov/vehicles/electric_emissions.html</t>
  </si>
  <si>
    <t>Texas average values</t>
  </si>
  <si>
    <t>Vehicle Type</t>
  </si>
  <si>
    <r>
      <t>Annual Emissions per Vehicle (lbs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</si>
  <si>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t>All electric</t>
  </si>
  <si>
    <t>Plug in hybrid</t>
  </si>
  <si>
    <t>hybrid</t>
  </si>
  <si>
    <t>gasoline</t>
  </si>
  <si>
    <t>in case more detail is needed check this report</t>
  </si>
  <si>
    <t>https://d3eaozktcyljdh.cloudfront.net/cdn/ff/Xr9v-6fz2A5PionA1705nLQIp3cOoS8ZzMRmbAatXG8/1607100255/public/report-files/SB_604_AFV-Report_120120.pdf</t>
  </si>
  <si>
    <t>https://static.tti.tamu.edu/tti.tamu.edu/documents/PRC-14-02F.pdf</t>
  </si>
  <si>
    <t>https://escholarship.org/content/qt3pr533kp/qt3pr533kp.pdf?t=p6es6h</t>
  </si>
  <si>
    <t>https://policy.tti.tamu.edu/finance/how-to-fund-transportation/</t>
  </si>
  <si>
    <t>https://static.tti.tamu.edu/tti.tamu.edu/documents/PRC-15-40-F.pdf</t>
  </si>
  <si>
    <r>
      <rPr>
        <b/>
        <sz val="11"/>
        <color theme="8" tint="-0.249977111117893"/>
        <rFont val="Calibri"/>
        <family val="2"/>
        <scheme val="minor"/>
      </rPr>
      <t>Source: Multi year data table excel</t>
    </r>
    <r>
      <rPr>
        <b/>
        <sz val="11"/>
        <color theme="1"/>
        <rFont val="Calibri"/>
        <family val="2"/>
        <scheme val="minor"/>
      </rPr>
      <t xml:space="preserve"> in https://www.txdot.gov/inside-txdot/division/transportation-planning/roadway-inventory.html </t>
    </r>
  </si>
  <si>
    <t>Population Data</t>
  </si>
  <si>
    <t>Total Average daily vehicle miles traveled (DVMT)</t>
  </si>
  <si>
    <t>Truck Average daily vehicle miles traveled (TDVMT)</t>
  </si>
  <si>
    <t>Non-Truck VMT</t>
  </si>
  <si>
    <t>Total Average Annual vehicle miles traveled (VMT)</t>
  </si>
  <si>
    <t>Truck Average Annual vehicle miles traveled (TVMT)</t>
  </si>
  <si>
    <t>% of Truck VMT</t>
  </si>
  <si>
    <t>Non-Truck Average Annual vehicle miles traveled (NTVMT)</t>
  </si>
  <si>
    <t>Population</t>
  </si>
  <si>
    <t>Annual VMT per Capita</t>
  </si>
  <si>
    <t>use this equation to forecast fuel tax revenue?</t>
  </si>
  <si>
    <t>account for improved fuel
economy and an increase in alternative fuel vehicles\</t>
  </si>
  <si>
    <t>electric vehicle expectation in texas</t>
  </si>
  <si>
    <t>Non-Truck Average Annual vehicle miles traveled (TVMT)</t>
  </si>
  <si>
    <t>VMT Introduced (FV)</t>
  </si>
  <si>
    <t>VMT (PV)</t>
  </si>
  <si>
    <t>Source: https://demographics.texas.gov/Data/TPEPP/Projections/Tool?fid=403065CC5E734C68BEACA3896BC06FF3</t>
  </si>
  <si>
    <t>Conventional Vehicle Total</t>
  </si>
  <si>
    <t>EV Total Of New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</si>
</sst>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"/>
    <numFmt numFmtId="165" formatCode="0.000%"/>
    <numFmt numFmtId="166" formatCode="_(* #,##0_);_(* \(#,##0\);_(* &quot;-&quot;??_);_(@_)"/>
    <numFmt numFmtId="167" formatCode="&quot;$&quot;#,##0.00"/>
    <numFmt numFmtId="168" formatCode="0.000"/>
    <numFmt numFmtId="169" formatCode="_([$$-409]* #,##0.00_);_([$$-409]* \(#,##0.00\);_([$$-409]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9" fillId="0" borderId="0"/>
  </cellStyleXfs>
  <cellXfs count="135">
    <xf numFmtId="0" fontId="0" fillId="0" borderId="0" xfId="0"/>
    <xf numFmtId="43" fontId="0" fillId="0" borderId="0" xfId="1" applyFont="1"/>
    <xf numFmtId="0" fontId="2" fillId="0" borderId="0" xfId="0" applyFont="1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wrapText="1"/>
    </xf>
    <xf numFmtId="0" fontId="6" fillId="0" borderId="0" xfId="5"/>
    <xf numFmtId="44" fontId="7" fillId="2" borderId="1" xfId="2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0" fontId="0" fillId="3" borderId="0" xfId="0" applyFill="1"/>
    <xf numFmtId="0" fontId="11" fillId="0" borderId="0" xfId="0" applyFont="1"/>
    <xf numFmtId="0" fontId="12" fillId="0" borderId="0" xfId="0" applyFont="1"/>
    <xf numFmtId="0" fontId="0" fillId="0" borderId="0" xfId="0" applyAlignment="1"/>
    <xf numFmtId="3" fontId="0" fillId="0" borderId="0" xfId="0" applyNumberFormat="1"/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2" fillId="0" borderId="5" xfId="0" applyFont="1" applyBorder="1"/>
    <xf numFmtId="0" fontId="0" fillId="0" borderId="1" xfId="0" applyFont="1" applyBorder="1" applyAlignment="1">
      <alignment horizontal="center" vertical="center"/>
    </xf>
    <xf numFmtId="3" fontId="15" fillId="4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/>
    </xf>
    <xf numFmtId="165" fontId="0" fillId="0" borderId="0" xfId="3" applyNumberFormat="1" applyFont="1" applyAlignment="1">
      <alignment horizontal="center" vertical="center"/>
    </xf>
    <xf numFmtId="10" fontId="0" fillId="0" borderId="1" xfId="3" applyNumberFormat="1" applyFont="1" applyBorder="1" applyAlignment="1">
      <alignment horizontal="center"/>
    </xf>
    <xf numFmtId="43" fontId="0" fillId="0" borderId="0" xfId="0" applyNumberFormat="1"/>
    <xf numFmtId="43" fontId="0" fillId="0" borderId="1" xfId="0" applyNumberFormat="1" applyBorder="1"/>
    <xf numFmtId="166" fontId="0" fillId="0" borderId="1" xfId="1" applyNumberFormat="1" applyFont="1" applyBorder="1" applyAlignment="1">
      <alignment horizontal="center" vertical="center"/>
    </xf>
    <xf numFmtId="9" fontId="2" fillId="0" borderId="1" xfId="3" applyNumberFormat="1" applyFont="1" applyBorder="1" applyAlignment="1">
      <alignment horizontal="center"/>
    </xf>
    <xf numFmtId="0" fontId="18" fillId="0" borderId="0" xfId="0" applyFont="1"/>
    <xf numFmtId="3" fontId="0" fillId="0" borderId="1" xfId="0" applyNumberFormat="1" applyBorder="1" applyAlignment="1">
      <alignment horizontal="center" vertical="center"/>
    </xf>
    <xf numFmtId="0" fontId="13" fillId="0" borderId="0" xfId="0" applyFont="1"/>
    <xf numFmtId="44" fontId="0" fillId="0" borderId="0" xfId="2" applyFont="1"/>
    <xf numFmtId="3" fontId="0" fillId="0" borderId="1" xfId="0" applyNumberFormat="1" applyBorder="1"/>
    <xf numFmtId="0" fontId="2" fillId="0" borderId="0" xfId="0" applyFont="1" applyAlignment="1"/>
    <xf numFmtId="10" fontId="0" fillId="0" borderId="0" xfId="0" applyNumberFormat="1"/>
    <xf numFmtId="0" fontId="20" fillId="0" borderId="0" xfId="0" applyFont="1"/>
    <xf numFmtId="44" fontId="7" fillId="5" borderId="1" xfId="2" applyFont="1" applyFill="1" applyBorder="1" applyAlignment="1" applyProtection="1">
      <alignment horizontal="right"/>
      <protection locked="0"/>
    </xf>
    <xf numFmtId="44" fontId="0" fillId="5" borderId="1" xfId="2" applyFont="1" applyFill="1" applyBorder="1" applyProtection="1">
      <protection locked="0"/>
    </xf>
    <xf numFmtId="0" fontId="0" fillId="5" borderId="1" xfId="0" applyFill="1" applyBorder="1" applyProtection="1">
      <protection locked="0"/>
    </xf>
    <xf numFmtId="44" fontId="0" fillId="0" borderId="1" xfId="2" applyFont="1" applyBorder="1"/>
    <xf numFmtId="0" fontId="7" fillId="0" borderId="1" xfId="0" applyFont="1" applyBorder="1" applyAlignment="1">
      <alignment vertical="center" wrapText="1"/>
    </xf>
    <xf numFmtId="2" fontId="0" fillId="5" borderId="1" xfId="2" applyNumberFormat="1" applyFont="1" applyFill="1" applyBorder="1" applyProtection="1">
      <protection locked="0"/>
    </xf>
    <xf numFmtId="166" fontId="0" fillId="0" borderId="0" xfId="0" applyNumberFormat="1"/>
    <xf numFmtId="164" fontId="0" fillId="0" borderId="0" xfId="0" applyNumberFormat="1"/>
    <xf numFmtId="44" fontId="0" fillId="0" borderId="0" xfId="0" applyNumberFormat="1"/>
    <xf numFmtId="164" fontId="0" fillId="3" borderId="0" xfId="0" applyNumberFormat="1" applyFill="1"/>
    <xf numFmtId="43" fontId="2" fillId="0" borderId="1" xfId="1" applyFont="1" applyBorder="1"/>
    <xf numFmtId="43" fontId="0" fillId="0" borderId="1" xfId="0" applyNumberFormat="1" applyBorder="1" applyAlignment="1">
      <alignment horizontal="center"/>
    </xf>
    <xf numFmtId="43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23" xfId="0" applyBorder="1"/>
    <xf numFmtId="166" fontId="0" fillId="0" borderId="1" xfId="1" applyNumberFormat="1" applyFont="1" applyBorder="1" applyAlignment="1">
      <alignment horizontal="center"/>
    </xf>
    <xf numFmtId="4" fontId="0" fillId="0" borderId="1" xfId="1" applyNumberFormat="1" applyFont="1" applyBorder="1" applyAlignment="1">
      <alignment horizontal="center" vertical="center"/>
    </xf>
    <xf numFmtId="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/>
    <xf numFmtId="0" fontId="2" fillId="0" borderId="1" xfId="0" applyFont="1" applyBorder="1" applyAlignment="1">
      <alignment wrapText="1"/>
    </xf>
    <xf numFmtId="0" fontId="2" fillId="0" borderId="0" xfId="0" applyFont="1" applyBorder="1"/>
    <xf numFmtId="3" fontId="0" fillId="0" borderId="0" xfId="0" applyNumberFormat="1" applyBorder="1"/>
    <xf numFmtId="4" fontId="0" fillId="0" borderId="0" xfId="0" applyNumberFormat="1"/>
    <xf numFmtId="0" fontId="0" fillId="0" borderId="0" xfId="0" applyFill="1" applyBorder="1"/>
    <xf numFmtId="8" fontId="0" fillId="0" borderId="0" xfId="0" applyNumberFormat="1"/>
    <xf numFmtId="49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21" fillId="5" borderId="1" xfId="2" applyNumberFormat="1" applyFont="1" applyFill="1" applyBorder="1" applyAlignment="1" applyProtection="1">
      <alignment horizontal="right"/>
      <protection locked="0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ill="1" applyBorder="1" applyProtection="1">
      <protection locked="0"/>
    </xf>
    <xf numFmtId="0" fontId="0" fillId="0" borderId="2" xfId="0" applyBorder="1"/>
    <xf numFmtId="0" fontId="7" fillId="0" borderId="1" xfId="0" applyFont="1" applyFill="1" applyBorder="1" applyAlignment="1">
      <alignment horizontal="center" vertical="center" wrapText="1"/>
    </xf>
    <xf numFmtId="167" fontId="0" fillId="0" borderId="1" xfId="0" applyNumberFormat="1" applyBorder="1"/>
    <xf numFmtId="167" fontId="0" fillId="0" borderId="1" xfId="2" applyNumberFormat="1" applyFont="1" applyBorder="1"/>
    <xf numFmtId="169" fontId="0" fillId="0" borderId="0" xfId="0" applyNumberFormat="1"/>
    <xf numFmtId="0" fontId="0" fillId="0" borderId="0" xfId="0" applyAlignment="1">
      <alignment horizontal="left"/>
    </xf>
    <xf numFmtId="44" fontId="0" fillId="0" borderId="1" xfId="0" applyNumberFormat="1" applyBorder="1"/>
    <xf numFmtId="8" fontId="0" fillId="0" borderId="1" xfId="0" applyNumberFormat="1" applyBorder="1"/>
    <xf numFmtId="0" fontId="0" fillId="0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2" xfId="0" applyFill="1" applyBorder="1"/>
    <xf numFmtId="0" fontId="0" fillId="0" borderId="13" xfId="0" applyFill="1" applyBorder="1"/>
    <xf numFmtId="0" fontId="0" fillId="0" borderId="24" xfId="0" applyFill="1" applyBorder="1"/>
    <xf numFmtId="0" fontId="0" fillId="0" borderId="25" xfId="0" applyBorder="1"/>
    <xf numFmtId="0" fontId="0" fillId="0" borderId="26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5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8" fontId="0" fillId="0" borderId="0" xfId="0" applyNumberFormat="1"/>
    <xf numFmtId="0" fontId="2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</cellXfs>
  <cellStyles count="7">
    <cellStyle name="Comma" xfId="1" builtinId="3"/>
    <cellStyle name="Currency" xfId="2" builtinId="4"/>
    <cellStyle name="Hyperlink" xfId="5" builtinId="8"/>
    <cellStyle name="Normal" xfId="0" builtinId="0"/>
    <cellStyle name="Normal 2" xfId="6" xr:uid="{208328DA-D527-470E-B50F-4A55AB4EBDD3}"/>
    <cellStyle name="Normal 3 2" xfId="4" xr:uid="{77E6194B-2628-4FC2-BF61-A27E61BDE7F3}"/>
    <cellStyle name="Percent" xfId="3" builtinId="5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Projection of Texas, </a:t>
            </a:r>
          </a:p>
          <a:p>
            <a:pPr>
              <a:defRPr/>
            </a:pPr>
            <a:r>
              <a:rPr lang="en-US" baseline="0"/>
              <a:t>Using Populations from 1900 to 2019</a:t>
            </a:r>
            <a:endParaRPr lang="en-US"/>
          </a:p>
        </c:rich>
      </c:tx>
      <c:layout>
        <c:manualLayout>
          <c:xMode val="edge"/>
          <c:yMode val="edge"/>
          <c:x val="0.29569745180503826"/>
          <c:y val="4.8146486633347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79904181244545"/>
          <c:y val="0.22515672881902105"/>
          <c:w val="0.7164991949640328"/>
          <c:h val="0.6189621336096597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1"/>
            <c:trendlineLbl>
              <c:layout>
                <c:manualLayout>
                  <c:x val="4.2242458053739447E-2"/>
                  <c:y val="0.4587405752758752"/>
                </c:manualLayout>
              </c:layout>
              <c:numFmt formatCode="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Population!$F$2:$F$510</c:f>
              <c:numCache>
                <c:formatCode>General</c:formatCode>
                <c:ptCount val="509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1990</c:v>
                </c:pt>
                <c:pt idx="30">
                  <c:v>1989</c:v>
                </c:pt>
                <c:pt idx="31">
                  <c:v>1988</c:v>
                </c:pt>
                <c:pt idx="32">
                  <c:v>1987</c:v>
                </c:pt>
                <c:pt idx="33">
                  <c:v>1986</c:v>
                </c:pt>
                <c:pt idx="34">
                  <c:v>1985</c:v>
                </c:pt>
                <c:pt idx="35">
                  <c:v>1984</c:v>
                </c:pt>
                <c:pt idx="36">
                  <c:v>1983</c:v>
                </c:pt>
                <c:pt idx="37">
                  <c:v>1982</c:v>
                </c:pt>
                <c:pt idx="38">
                  <c:v>1981</c:v>
                </c:pt>
                <c:pt idx="39">
                  <c:v>1980</c:v>
                </c:pt>
                <c:pt idx="40">
                  <c:v>1979</c:v>
                </c:pt>
                <c:pt idx="41">
                  <c:v>1978</c:v>
                </c:pt>
                <c:pt idx="42">
                  <c:v>1977</c:v>
                </c:pt>
                <c:pt idx="43">
                  <c:v>1976</c:v>
                </c:pt>
                <c:pt idx="44">
                  <c:v>1975</c:v>
                </c:pt>
                <c:pt idx="45">
                  <c:v>1974</c:v>
                </c:pt>
                <c:pt idx="46">
                  <c:v>1973</c:v>
                </c:pt>
                <c:pt idx="47">
                  <c:v>1972</c:v>
                </c:pt>
                <c:pt idx="48">
                  <c:v>1971</c:v>
                </c:pt>
                <c:pt idx="49">
                  <c:v>1970</c:v>
                </c:pt>
                <c:pt idx="50">
                  <c:v>1969</c:v>
                </c:pt>
                <c:pt idx="51">
                  <c:v>1968</c:v>
                </c:pt>
                <c:pt idx="52">
                  <c:v>1967</c:v>
                </c:pt>
                <c:pt idx="53">
                  <c:v>1966</c:v>
                </c:pt>
                <c:pt idx="54">
                  <c:v>1965</c:v>
                </c:pt>
                <c:pt idx="55">
                  <c:v>1964</c:v>
                </c:pt>
                <c:pt idx="56">
                  <c:v>1963</c:v>
                </c:pt>
                <c:pt idx="57">
                  <c:v>1962</c:v>
                </c:pt>
                <c:pt idx="58">
                  <c:v>1961</c:v>
                </c:pt>
                <c:pt idx="59">
                  <c:v>1960</c:v>
                </c:pt>
                <c:pt idx="60">
                  <c:v>1959</c:v>
                </c:pt>
                <c:pt idx="61">
                  <c:v>1958</c:v>
                </c:pt>
                <c:pt idx="62">
                  <c:v>1957</c:v>
                </c:pt>
                <c:pt idx="63">
                  <c:v>1956</c:v>
                </c:pt>
                <c:pt idx="64">
                  <c:v>1955</c:v>
                </c:pt>
                <c:pt idx="65">
                  <c:v>1954</c:v>
                </c:pt>
                <c:pt idx="66">
                  <c:v>1953</c:v>
                </c:pt>
                <c:pt idx="67">
                  <c:v>1952</c:v>
                </c:pt>
                <c:pt idx="68">
                  <c:v>1951</c:v>
                </c:pt>
                <c:pt idx="69">
                  <c:v>1950</c:v>
                </c:pt>
                <c:pt idx="70">
                  <c:v>1949</c:v>
                </c:pt>
                <c:pt idx="71">
                  <c:v>1948</c:v>
                </c:pt>
                <c:pt idx="72">
                  <c:v>1947</c:v>
                </c:pt>
                <c:pt idx="73">
                  <c:v>1946</c:v>
                </c:pt>
                <c:pt idx="74">
                  <c:v>1945</c:v>
                </c:pt>
                <c:pt idx="75">
                  <c:v>1944</c:v>
                </c:pt>
                <c:pt idx="76">
                  <c:v>1943</c:v>
                </c:pt>
                <c:pt idx="77">
                  <c:v>1942</c:v>
                </c:pt>
                <c:pt idx="78">
                  <c:v>1941</c:v>
                </c:pt>
                <c:pt idx="79">
                  <c:v>1940</c:v>
                </c:pt>
                <c:pt idx="80">
                  <c:v>1939</c:v>
                </c:pt>
                <c:pt idx="81">
                  <c:v>1938</c:v>
                </c:pt>
                <c:pt idx="82">
                  <c:v>1937</c:v>
                </c:pt>
                <c:pt idx="83">
                  <c:v>1936</c:v>
                </c:pt>
                <c:pt idx="84">
                  <c:v>1935</c:v>
                </c:pt>
                <c:pt idx="85">
                  <c:v>1934</c:v>
                </c:pt>
                <c:pt idx="86">
                  <c:v>1933</c:v>
                </c:pt>
                <c:pt idx="87">
                  <c:v>1932</c:v>
                </c:pt>
                <c:pt idx="88">
                  <c:v>1931</c:v>
                </c:pt>
                <c:pt idx="89">
                  <c:v>1930</c:v>
                </c:pt>
                <c:pt idx="90">
                  <c:v>1929</c:v>
                </c:pt>
                <c:pt idx="91">
                  <c:v>1928</c:v>
                </c:pt>
                <c:pt idx="92">
                  <c:v>1927</c:v>
                </c:pt>
                <c:pt idx="93">
                  <c:v>1926</c:v>
                </c:pt>
                <c:pt idx="94">
                  <c:v>1925</c:v>
                </c:pt>
                <c:pt idx="95">
                  <c:v>1924</c:v>
                </c:pt>
                <c:pt idx="96">
                  <c:v>1923</c:v>
                </c:pt>
                <c:pt idx="97">
                  <c:v>1922</c:v>
                </c:pt>
                <c:pt idx="98">
                  <c:v>1921</c:v>
                </c:pt>
                <c:pt idx="99">
                  <c:v>1920</c:v>
                </c:pt>
                <c:pt idx="100">
                  <c:v>1919</c:v>
                </c:pt>
                <c:pt idx="101">
                  <c:v>1918</c:v>
                </c:pt>
                <c:pt idx="102">
                  <c:v>1917</c:v>
                </c:pt>
                <c:pt idx="103">
                  <c:v>1916</c:v>
                </c:pt>
                <c:pt idx="104">
                  <c:v>1915</c:v>
                </c:pt>
                <c:pt idx="105">
                  <c:v>1914</c:v>
                </c:pt>
                <c:pt idx="106">
                  <c:v>1913</c:v>
                </c:pt>
                <c:pt idx="107">
                  <c:v>1912</c:v>
                </c:pt>
                <c:pt idx="108">
                  <c:v>1911</c:v>
                </c:pt>
                <c:pt idx="109">
                  <c:v>1910</c:v>
                </c:pt>
                <c:pt idx="110">
                  <c:v>1909</c:v>
                </c:pt>
                <c:pt idx="111">
                  <c:v>1908</c:v>
                </c:pt>
                <c:pt idx="112">
                  <c:v>1907</c:v>
                </c:pt>
                <c:pt idx="113">
                  <c:v>1906</c:v>
                </c:pt>
                <c:pt idx="114">
                  <c:v>1905</c:v>
                </c:pt>
                <c:pt idx="115">
                  <c:v>1904</c:v>
                </c:pt>
                <c:pt idx="116">
                  <c:v>1903</c:v>
                </c:pt>
                <c:pt idx="117">
                  <c:v>1902</c:v>
                </c:pt>
                <c:pt idx="118">
                  <c:v>1901</c:v>
                </c:pt>
                <c:pt idx="119">
                  <c:v>1900</c:v>
                </c:pt>
              </c:numCache>
            </c:numRef>
          </c:xVal>
          <c:yVal>
            <c:numRef>
              <c:f>Population!$H$2:$H$510</c:f>
              <c:numCache>
                <c:formatCode>General</c:formatCode>
                <c:ptCount val="509"/>
                <c:pt idx="0">
                  <c:v>17.182664343380136</c:v>
                </c:pt>
                <c:pt idx="1">
                  <c:v>17.169919081507427</c:v>
                </c:pt>
                <c:pt idx="2">
                  <c:v>17.158205316859981</c:v>
                </c:pt>
                <c:pt idx="3">
                  <c:v>17.144653600913053</c:v>
                </c:pt>
                <c:pt idx="4">
                  <c:v>17.128607096656928</c:v>
                </c:pt>
                <c:pt idx="5">
                  <c:v>17.110025550678941</c:v>
                </c:pt>
                <c:pt idx="6">
                  <c:v>17.091910334299847</c:v>
                </c:pt>
                <c:pt idx="7">
                  <c:v>17.076851097748456</c:v>
                </c:pt>
                <c:pt idx="8">
                  <c:v>17.059883705703005</c:v>
                </c:pt>
                <c:pt idx="9">
                  <c:v>17.042887941950227</c:v>
                </c:pt>
                <c:pt idx="10">
                  <c:v>17.025170082912673</c:v>
                </c:pt>
                <c:pt idx="11">
                  <c:v>17.005600455046508</c:v>
                </c:pt>
                <c:pt idx="12">
                  <c:v>16.986225776449945</c:v>
                </c:pt>
                <c:pt idx="13">
                  <c:v>16.966389772055834</c:v>
                </c:pt>
                <c:pt idx="14">
                  <c:v>16.941862940465938</c:v>
                </c:pt>
                <c:pt idx="15">
                  <c:v>16.924951533895349</c:v>
                </c:pt>
                <c:pt idx="16">
                  <c:v>16.908752953311076</c:v>
                </c:pt>
                <c:pt idx="17">
                  <c:v>16.893088497500614</c:v>
                </c:pt>
                <c:pt idx="18">
                  <c:v>16.875633998049679</c:v>
                </c:pt>
                <c:pt idx="19">
                  <c:v>16.830740706499821</c:v>
                </c:pt>
                <c:pt idx="20">
                  <c:v>16.813447449561057</c:v>
                </c:pt>
                <c:pt idx="21">
                  <c:v>16.796757879292745</c:v>
                </c:pt>
                <c:pt idx="22">
                  <c:v>16.778483403233356</c:v>
                </c:pt>
                <c:pt idx="23">
                  <c:v>16.760277904264957</c:v>
                </c:pt>
                <c:pt idx="24">
                  <c:v>16.742948251883085</c:v>
                </c:pt>
                <c:pt idx="25">
                  <c:v>16.724503363012719</c:v>
                </c:pt>
                <c:pt idx="26">
                  <c:v>16.705702521920699</c:v>
                </c:pt>
                <c:pt idx="27">
                  <c:v>16.686273479785527</c:v>
                </c:pt>
                <c:pt idx="28">
                  <c:v>16.668520992969164</c:v>
                </c:pt>
                <c:pt idx="29">
                  <c:v>16.65135068429926</c:v>
                </c:pt>
                <c:pt idx="30">
                  <c:v>16.647930057597605</c:v>
                </c:pt>
                <c:pt idx="31">
                  <c:v>16.637290197394602</c:v>
                </c:pt>
                <c:pt idx="32">
                  <c:v>16.62894277449319</c:v>
                </c:pt>
                <c:pt idx="33">
                  <c:v>16.626225584614343</c:v>
                </c:pt>
                <c:pt idx="34">
                  <c:v>16.622567854425398</c:v>
                </c:pt>
                <c:pt idx="35">
                  <c:v>16.605001565866882</c:v>
                </c:pt>
                <c:pt idx="36">
                  <c:v>16.588541494912718</c:v>
                </c:pt>
                <c:pt idx="37">
                  <c:v>16.572457457243505</c:v>
                </c:pt>
                <c:pt idx="38">
                  <c:v>16.545414223135051</c:v>
                </c:pt>
                <c:pt idx="39">
                  <c:v>16.506503643401675</c:v>
                </c:pt>
                <c:pt idx="40">
                  <c:v>16.44656242923514</c:v>
                </c:pt>
                <c:pt idx="41">
                  <c:v>16.418232020681533</c:v>
                </c:pt>
                <c:pt idx="42">
                  <c:v>16.395200733747309</c:v>
                </c:pt>
                <c:pt idx="43">
                  <c:v>16.373054795849573</c:v>
                </c:pt>
                <c:pt idx="44">
                  <c:v>16.346731531779554</c:v>
                </c:pt>
                <c:pt idx="45">
                  <c:v>16.322556074502849</c:v>
                </c:pt>
                <c:pt idx="46">
                  <c:v>16.302044466381837</c:v>
                </c:pt>
                <c:pt idx="47">
                  <c:v>16.280142048830609</c:v>
                </c:pt>
                <c:pt idx="48">
                  <c:v>16.258713574702959</c:v>
                </c:pt>
                <c:pt idx="49">
                  <c:v>16.231304239768313</c:v>
                </c:pt>
                <c:pt idx="50">
                  <c:v>16.217488394836355</c:v>
                </c:pt>
                <c:pt idx="51">
                  <c:v>16.196814405669709</c:v>
                </c:pt>
                <c:pt idx="52">
                  <c:v>16.176270215009392</c:v>
                </c:pt>
                <c:pt idx="53">
                  <c:v>16.1661236199689</c:v>
                </c:pt>
                <c:pt idx="54">
                  <c:v>16.155198738909821</c:v>
                </c:pt>
                <c:pt idx="55">
                  <c:v>16.144737581904742</c:v>
                </c:pt>
                <c:pt idx="56">
                  <c:v>16.133870570073682</c:v>
                </c:pt>
                <c:pt idx="57">
                  <c:v>16.123381655387558</c:v>
                </c:pt>
                <c:pt idx="58">
                  <c:v>16.099931680330648</c:v>
                </c:pt>
                <c:pt idx="59">
                  <c:v>16.079770536636651</c:v>
                </c:pt>
                <c:pt idx="60">
                  <c:v>16.056752020717269</c:v>
                </c:pt>
                <c:pt idx="61">
                  <c:v>16.040350302333469</c:v>
                </c:pt>
                <c:pt idx="62">
                  <c:v>16.020482822091321</c:v>
                </c:pt>
                <c:pt idx="63">
                  <c:v>15.993665572580143</c:v>
                </c:pt>
                <c:pt idx="64">
                  <c:v>15.974225280538619</c:v>
                </c:pt>
                <c:pt idx="65">
                  <c:v>15.941597107467153</c:v>
                </c:pt>
                <c:pt idx="66">
                  <c:v>15.936094042975284</c:v>
                </c:pt>
                <c:pt idx="67">
                  <c:v>15.93345139879472</c:v>
                </c:pt>
                <c:pt idx="68">
                  <c:v>15.908731723052481</c:v>
                </c:pt>
                <c:pt idx="69">
                  <c:v>15.866552625122413</c:v>
                </c:pt>
                <c:pt idx="70">
                  <c:v>15.846680550970412</c:v>
                </c:pt>
                <c:pt idx="71">
                  <c:v>15.847074019399646</c:v>
                </c:pt>
                <c:pt idx="72">
                  <c:v>15.815367620301268</c:v>
                </c:pt>
                <c:pt idx="73">
                  <c:v>15.789174830489941</c:v>
                </c:pt>
                <c:pt idx="74">
                  <c:v>15.73624940844879</c:v>
                </c:pt>
                <c:pt idx="75">
                  <c:v>15.743547645484878</c:v>
                </c:pt>
                <c:pt idx="76">
                  <c:v>15.763133525023262</c:v>
                </c:pt>
                <c:pt idx="77">
                  <c:v>15.719258529140376</c:v>
                </c:pt>
                <c:pt idx="78">
                  <c:v>15.700304893159519</c:v>
                </c:pt>
                <c:pt idx="79">
                  <c:v>15.675707188745557</c:v>
                </c:pt>
                <c:pt idx="80">
                  <c:v>15.665538935316304</c:v>
                </c:pt>
                <c:pt idx="81">
                  <c:v>15.656218908924192</c:v>
                </c:pt>
                <c:pt idx="82">
                  <c:v>15.648092021712584</c:v>
                </c:pt>
                <c:pt idx="83">
                  <c:v>15.6387686942517</c:v>
                </c:pt>
                <c:pt idx="84">
                  <c:v>15.627562730460092</c:v>
                </c:pt>
                <c:pt idx="85">
                  <c:v>15.616064574873825</c:v>
                </c:pt>
                <c:pt idx="86">
                  <c:v>15.609600642530612</c:v>
                </c:pt>
                <c:pt idx="87">
                  <c:v>15.600748810202063</c:v>
                </c:pt>
                <c:pt idx="88">
                  <c:v>15.591648646289372</c:v>
                </c:pt>
                <c:pt idx="89">
                  <c:v>15.580926051852726</c:v>
                </c:pt>
                <c:pt idx="90">
                  <c:v>15.566795194626611</c:v>
                </c:pt>
                <c:pt idx="91">
                  <c:v>15.55158112133174</c:v>
                </c:pt>
                <c:pt idx="92">
                  <c:v>15.534161555371691</c:v>
                </c:pt>
                <c:pt idx="93">
                  <c:v>15.511676473908199</c:v>
                </c:pt>
                <c:pt idx="94">
                  <c:v>15.489236960280737</c:v>
                </c:pt>
                <c:pt idx="95">
                  <c:v>15.46609041372955</c:v>
                </c:pt>
                <c:pt idx="96">
                  <c:v>15.440231093929532</c:v>
                </c:pt>
                <c:pt idx="97">
                  <c:v>15.415907725746225</c:v>
                </c:pt>
                <c:pt idx="98">
                  <c:v>15.395107628387354</c:v>
                </c:pt>
                <c:pt idx="99">
                  <c:v>15.367954748878255</c:v>
                </c:pt>
                <c:pt idx="100">
                  <c:v>15.348283385462889</c:v>
                </c:pt>
                <c:pt idx="101">
                  <c:v>15.355812731563512</c:v>
                </c:pt>
                <c:pt idx="102">
                  <c:v>15.33349085990954</c:v>
                </c:pt>
                <c:pt idx="103">
                  <c:v>15.307065429741657</c:v>
                </c:pt>
                <c:pt idx="104">
                  <c:v>15.289815796406877</c:v>
                </c:pt>
                <c:pt idx="105">
                  <c:v>15.274125580663791</c:v>
                </c:pt>
                <c:pt idx="106">
                  <c:v>15.252260362572658</c:v>
                </c:pt>
                <c:pt idx="107">
                  <c:v>15.228203392938696</c:v>
                </c:pt>
                <c:pt idx="108">
                  <c:v>15.205796940353702</c:v>
                </c:pt>
                <c:pt idx="109">
                  <c:v>15.182112285738429</c:v>
                </c:pt>
                <c:pt idx="110">
                  <c:v>15.156022726429036</c:v>
                </c:pt>
                <c:pt idx="111">
                  <c:v>15.131114178461395</c:v>
                </c:pt>
                <c:pt idx="112">
                  <c:v>15.106394734279506</c:v>
                </c:pt>
                <c:pt idx="113">
                  <c:v>15.08133076561629</c:v>
                </c:pt>
                <c:pt idx="114">
                  <c:v>15.056490087919306</c:v>
                </c:pt>
                <c:pt idx="115">
                  <c:v>15.03160954208805</c:v>
                </c:pt>
                <c:pt idx="116">
                  <c:v>15.006702027925478</c:v>
                </c:pt>
                <c:pt idx="117">
                  <c:v>14.981781495106199</c:v>
                </c:pt>
                <c:pt idx="118">
                  <c:v>14.957182336092831</c:v>
                </c:pt>
                <c:pt idx="119">
                  <c:v>14.932290150587832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61-4FF0-8DEB-631EC5DA1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257312"/>
        <c:axId val="1922465792"/>
      </c:scatterChart>
      <c:valAx>
        <c:axId val="192025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2497722692522086"/>
              <c:y val="0.918579868197413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5792"/>
        <c:crosses val="autoZero"/>
        <c:crossBetween val="midCat"/>
      </c:valAx>
      <c:valAx>
        <c:axId val="1922465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(people)</a:t>
                </a:r>
              </a:p>
            </c:rich>
          </c:tx>
          <c:layout>
            <c:manualLayout>
              <c:xMode val="edge"/>
              <c:yMode val="edge"/>
              <c:x val="1.4123070507665271E-2"/>
              <c:y val="0.39571913285776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 Projection</a:t>
            </a:r>
            <a:r>
              <a:rPr lang="en-US" baseline="0"/>
              <a:t> of Texas,</a:t>
            </a:r>
          </a:p>
          <a:p>
            <a:pPr>
              <a:defRPr/>
            </a:pPr>
            <a:r>
              <a:rPr lang="en-US" sz="1100"/>
              <a:t>Using</a:t>
            </a:r>
            <a:r>
              <a:rPr lang="en-US" sz="1100" baseline="0"/>
              <a:t> Average # of Employed People Years 1976 to 2020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 Employed People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Employment!$J$2:$J$46</c:f>
              <c:numCache>
                <c:formatCode>General</c:formatCode>
                <c:ptCount val="45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</c:numCache>
            </c:numRef>
          </c:xVal>
          <c:yVal>
            <c:numRef>
              <c:f>Employment!$K$2:$K$46</c:f>
              <c:numCache>
                <c:formatCode>#,##0.00</c:formatCode>
                <c:ptCount val="45"/>
                <c:pt idx="0">
                  <c:v>5381248.583333333</c:v>
                </c:pt>
                <c:pt idx="1">
                  <c:v>5633267</c:v>
                </c:pt>
                <c:pt idx="2">
                  <c:v>5909837.916666667</c:v>
                </c:pt>
                <c:pt idx="3">
                  <c:v>6190524.5</c:v>
                </c:pt>
                <c:pt idx="4">
                  <c:v>6404882.75</c:v>
                </c:pt>
                <c:pt idx="5">
                  <c:v>6686969</c:v>
                </c:pt>
                <c:pt idx="6">
                  <c:v>6867965.75</c:v>
                </c:pt>
                <c:pt idx="7">
                  <c:v>7037892.666666667</c:v>
                </c:pt>
                <c:pt idx="8">
                  <c:v>7360152.666666667</c:v>
                </c:pt>
                <c:pt idx="9">
                  <c:v>7463323.416666667</c:v>
                </c:pt>
                <c:pt idx="10">
                  <c:v>7463198</c:v>
                </c:pt>
                <c:pt idx="11">
                  <c:v>7576649.583333333</c:v>
                </c:pt>
                <c:pt idx="12">
                  <c:v>7724807.416666667</c:v>
                </c:pt>
                <c:pt idx="13">
                  <c:v>7881265.166666667</c:v>
                </c:pt>
                <c:pt idx="14">
                  <c:v>8073257.083333333</c:v>
                </c:pt>
                <c:pt idx="15">
                  <c:v>8160512.416666667</c:v>
                </c:pt>
                <c:pt idx="16">
                  <c:v>8317299.5</c:v>
                </c:pt>
                <c:pt idx="17">
                  <c:v>8530186.583333334</c:v>
                </c:pt>
                <c:pt idx="18">
                  <c:v>8793182.5</c:v>
                </c:pt>
                <c:pt idx="19">
                  <c:v>8997537.75</c:v>
                </c:pt>
                <c:pt idx="20">
                  <c:v>9165915.5</c:v>
                </c:pt>
                <c:pt idx="21">
                  <c:v>9395537.083333334</c:v>
                </c:pt>
                <c:pt idx="22">
                  <c:v>9603021.083333334</c:v>
                </c:pt>
                <c:pt idx="23">
                  <c:v>9767851.083333334</c:v>
                </c:pt>
                <c:pt idx="24">
                  <c:v>9929386.666666666</c:v>
                </c:pt>
                <c:pt idx="25">
                  <c:v>10011045.833333334</c:v>
                </c:pt>
                <c:pt idx="26">
                  <c:v>10065869.583333334</c:v>
                </c:pt>
                <c:pt idx="27">
                  <c:v>10185312.166666666</c:v>
                </c:pt>
                <c:pt idx="28">
                  <c:v>10338484.166666666</c:v>
                </c:pt>
                <c:pt idx="29">
                  <c:v>10523257.416666666</c:v>
                </c:pt>
                <c:pt idx="30">
                  <c:v>10774489.75</c:v>
                </c:pt>
                <c:pt idx="31">
                  <c:v>10941413</c:v>
                </c:pt>
                <c:pt idx="32">
                  <c:v>11104114.666666666</c:v>
                </c:pt>
                <c:pt idx="33">
                  <c:v>11008903</c:v>
                </c:pt>
                <c:pt idx="34">
                  <c:v>11244631.916666666</c:v>
                </c:pt>
                <c:pt idx="35">
                  <c:v>11535094.666666666</c:v>
                </c:pt>
                <c:pt idx="36">
                  <c:v>11818674.583333334</c:v>
                </c:pt>
                <c:pt idx="37">
                  <c:v>12052645.75</c:v>
                </c:pt>
                <c:pt idx="38">
                  <c:v>12374171.75</c:v>
                </c:pt>
                <c:pt idx="39">
                  <c:v>12505617.333333334</c:v>
                </c:pt>
                <c:pt idx="40">
                  <c:v>12720225.583333334</c:v>
                </c:pt>
                <c:pt idx="41">
                  <c:v>12989682</c:v>
                </c:pt>
                <c:pt idx="42">
                  <c:v>13285118.416666666</c:v>
                </c:pt>
                <c:pt idx="43">
                  <c:v>13551791.166666666</c:v>
                </c:pt>
                <c:pt idx="44">
                  <c:v>12799752.125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0-4730-88ED-EDBDD11E6B97}"/>
            </c:ext>
          </c:extLst>
        </c:ser>
        <c:ser>
          <c:idx val="1"/>
          <c:order val="1"/>
          <c:tx>
            <c:strRef>
              <c:f>Employment!$C$2</c:f>
              <c:strCache>
                <c:ptCount val="1"/>
                <c:pt idx="0">
                  <c:v>Forecasted Employment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12700" cmpd="sng">
                <a:solidFill>
                  <a:schemeClr val="accent2"/>
                </a:solidFill>
              </a:ln>
              <a:effectLst/>
            </c:spPr>
          </c:marker>
          <c:xVal>
            <c:numRef>
              <c:f>Employment!$B$3:$B$32</c:f>
              <c:numCache>
                <c:formatCode>General</c:formatCode>
                <c:ptCount val="30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</c:numCache>
            </c:numRef>
          </c:xVal>
          <c:yVal>
            <c:numRef>
              <c:f>Employment!$C$3:$C$32</c:f>
              <c:numCache>
                <c:formatCode>#,##0.00</c:formatCode>
                <c:ptCount val="30"/>
                <c:pt idx="0">
                  <c:v>13275220</c:v>
                </c:pt>
                <c:pt idx="1">
                  <c:v>13447881</c:v>
                </c:pt>
                <c:pt idx="2">
                  <c:v>13620542</c:v>
                </c:pt>
                <c:pt idx="3">
                  <c:v>13793203</c:v>
                </c:pt>
                <c:pt idx="4">
                  <c:v>13965864</c:v>
                </c:pt>
                <c:pt idx="5">
                  <c:v>14138525</c:v>
                </c:pt>
                <c:pt idx="6">
                  <c:v>14311186</c:v>
                </c:pt>
                <c:pt idx="7">
                  <c:v>14483847</c:v>
                </c:pt>
                <c:pt idx="8">
                  <c:v>14656508</c:v>
                </c:pt>
                <c:pt idx="9">
                  <c:v>14829169</c:v>
                </c:pt>
                <c:pt idx="10">
                  <c:v>15001830</c:v>
                </c:pt>
                <c:pt idx="11">
                  <c:v>15174491</c:v>
                </c:pt>
                <c:pt idx="12">
                  <c:v>15347152</c:v>
                </c:pt>
                <c:pt idx="13">
                  <c:v>15519813</c:v>
                </c:pt>
                <c:pt idx="14">
                  <c:v>15692474</c:v>
                </c:pt>
                <c:pt idx="15">
                  <c:v>15865135</c:v>
                </c:pt>
                <c:pt idx="16">
                  <c:v>16037796</c:v>
                </c:pt>
                <c:pt idx="17">
                  <c:v>16210457</c:v>
                </c:pt>
                <c:pt idx="18">
                  <c:v>16383118</c:v>
                </c:pt>
                <c:pt idx="19">
                  <c:v>16555779</c:v>
                </c:pt>
                <c:pt idx="20">
                  <c:v>16728440</c:v>
                </c:pt>
                <c:pt idx="21">
                  <c:v>16901101</c:v>
                </c:pt>
                <c:pt idx="22">
                  <c:v>17073762</c:v>
                </c:pt>
                <c:pt idx="23">
                  <c:v>17246423</c:v>
                </c:pt>
                <c:pt idx="24">
                  <c:v>17419084</c:v>
                </c:pt>
                <c:pt idx="25">
                  <c:v>17591745</c:v>
                </c:pt>
                <c:pt idx="26">
                  <c:v>17764406</c:v>
                </c:pt>
                <c:pt idx="27">
                  <c:v>17937067</c:v>
                </c:pt>
                <c:pt idx="28">
                  <c:v>18109728</c:v>
                </c:pt>
                <c:pt idx="29">
                  <c:v>18282389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60-4730-88ED-EDBDD11E6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73920"/>
        <c:axId val="1203454928"/>
      </c:scatterChart>
      <c:valAx>
        <c:axId val="13997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454928"/>
        <c:crosses val="autoZero"/>
        <c:crossBetween val="midCat"/>
      </c:valAx>
      <c:valAx>
        <c:axId val="120345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# of Employed People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7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Drivers Projections</a:t>
            </a:r>
            <a:r>
              <a:rPr lang="en-US" baseline="0"/>
              <a:t> in Texas,</a:t>
            </a:r>
          </a:p>
          <a:p>
            <a:pPr>
              <a:defRPr/>
            </a:pPr>
            <a:r>
              <a:rPr lang="en-US" sz="1200" baseline="0"/>
              <a:t>Using # of Drivers from 1950 to 2016</a:t>
            </a:r>
            <a:r>
              <a:rPr lang="en-US" sz="12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Drivers!$C$3</c:f>
              <c:strCache>
                <c:ptCount val="1"/>
                <c:pt idx="0">
                  <c:v>Number of Drivers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Drivers!$B$4:$B$70</c:f>
              <c:numCache>
                <c:formatCode>General</c:formatCode>
                <c:ptCount val="67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</c:numCache>
            </c:numRef>
          </c:xVal>
          <c:yVal>
            <c:numRef>
              <c:f>Drivers!$C$4:$C$70</c:f>
              <c:numCache>
                <c:formatCode>General</c:formatCode>
                <c:ptCount val="67"/>
                <c:pt idx="0">
                  <c:v>2853644.8611794598</c:v>
                </c:pt>
                <c:pt idx="1">
                  <c:v>3158331.4301242698</c:v>
                </c:pt>
                <c:pt idx="2">
                  <c:v>3397115.3066297001</c:v>
                </c:pt>
                <c:pt idx="3">
                  <c:v>3587003.6371317399</c:v>
                </c:pt>
                <c:pt idx="4">
                  <c:v>3753507.1412843298</c:v>
                </c:pt>
                <c:pt idx="5">
                  <c:v>3895562.8724352098</c:v>
                </c:pt>
                <c:pt idx="6">
                  <c:v>4019548.5104978802</c:v>
                </c:pt>
                <c:pt idx="7">
                  <c:v>4109519.8556886199</c:v>
                </c:pt>
                <c:pt idx="8">
                  <c:v>4186735.8410523902</c:v>
                </c:pt>
                <c:pt idx="9">
                  <c:v>4282021.9195043696</c:v>
                </c:pt>
                <c:pt idx="10">
                  <c:v>4454903.1035704399</c:v>
                </c:pt>
                <c:pt idx="11">
                  <c:v>4742582.5260792803</c:v>
                </c:pt>
                <c:pt idx="12">
                  <c:v>4947352.1097127898</c:v>
                </c:pt>
                <c:pt idx="13">
                  <c:v>5097911.4140816601</c:v>
                </c:pt>
                <c:pt idx="14">
                  <c:v>5237841.2519280501</c:v>
                </c:pt>
                <c:pt idx="15">
                  <c:v>5451114.4087795299</c:v>
                </c:pt>
                <c:pt idx="16">
                  <c:v>5551715.2204927597</c:v>
                </c:pt>
                <c:pt idx="17">
                  <c:v>5591728.0730278501</c:v>
                </c:pt>
                <c:pt idx="18">
                  <c:v>5713587.8177860295</c:v>
                </c:pt>
                <c:pt idx="19">
                  <c:v>6083016.4542220496</c:v>
                </c:pt>
                <c:pt idx="20">
                  <c:v>6456909.4665975096</c:v>
                </c:pt>
                <c:pt idx="21">
                  <c:v>6662741.9968832601</c:v>
                </c:pt>
                <c:pt idx="22">
                  <c:v>6854756.2206897996</c:v>
                </c:pt>
                <c:pt idx="23">
                  <c:v>7106295.4570222097</c:v>
                </c:pt>
                <c:pt idx="24">
                  <c:v>7378030.67974733</c:v>
                </c:pt>
                <c:pt idx="25">
                  <c:v>7673150.7288218997</c:v>
                </c:pt>
                <c:pt idx="26">
                  <c:v>8017166.3238998698</c:v>
                </c:pt>
                <c:pt idx="27">
                  <c:v>8377126.1187615599</c:v>
                </c:pt>
                <c:pt idx="28">
                  <c:v>8758344.8466682006</c:v>
                </c:pt>
                <c:pt idx="29">
                  <c:v>9120430.5348343793</c:v>
                </c:pt>
                <c:pt idx="30">
                  <c:v>9492082.7428708002</c:v>
                </c:pt>
                <c:pt idx="31">
                  <c:v>9947707.7364347894</c:v>
                </c:pt>
                <c:pt idx="32">
                  <c:v>10440673.724736599</c:v>
                </c:pt>
                <c:pt idx="33">
                  <c:v>11020445.0908165</c:v>
                </c:pt>
                <c:pt idx="34">
                  <c:v>11075080.627072699</c:v>
                </c:pt>
                <c:pt idx="35">
                  <c:v>10806528.6828296</c:v>
                </c:pt>
                <c:pt idx="36">
                  <c:v>10963465.6671119</c:v>
                </c:pt>
                <c:pt idx="37">
                  <c:v>11120402.6513943</c:v>
                </c:pt>
                <c:pt idx="38">
                  <c:v>11088135.131576501</c:v>
                </c:pt>
                <c:pt idx="39">
                  <c:v>11066497.0782812</c:v>
                </c:pt>
                <c:pt idx="40">
                  <c:v>11098006.3575984</c:v>
                </c:pt>
                <c:pt idx="41">
                  <c:v>11209236.6358341</c:v>
                </c:pt>
                <c:pt idx="42">
                  <c:v>11360858.8868552</c:v>
                </c:pt>
                <c:pt idx="43">
                  <c:v>11699559.7486719</c:v>
                </c:pt>
                <c:pt idx="44">
                  <c:v>12003183.370964499</c:v>
                </c:pt>
                <c:pt idx="45">
                  <c:v>12261100.287210399</c:v>
                </c:pt>
                <c:pt idx="46">
                  <c:v>12485002.910584301</c:v>
                </c:pt>
                <c:pt idx="47">
                  <c:v>12729101.520351</c:v>
                </c:pt>
                <c:pt idx="48">
                  <c:v>13159215.794260999</c:v>
                </c:pt>
                <c:pt idx="49">
                  <c:v>13323593.4051091</c:v>
                </c:pt>
                <c:pt idx="50">
                  <c:v>13411438.8569954</c:v>
                </c:pt>
                <c:pt idx="51">
                  <c:v>13119812.354029199</c:v>
                </c:pt>
                <c:pt idx="52">
                  <c:v>13124747.967040099</c:v>
                </c:pt>
                <c:pt idx="53">
                  <c:v>13403923.8163309</c:v>
                </c:pt>
                <c:pt idx="54">
                  <c:v>13921762.7562954</c:v>
                </c:pt>
                <c:pt idx="55">
                  <c:v>14494024.564855</c:v>
                </c:pt>
                <c:pt idx="56">
                  <c:v>14657339.2290508</c:v>
                </c:pt>
                <c:pt idx="57">
                  <c:v>14906752.572078699</c:v>
                </c:pt>
                <c:pt idx="58">
                  <c:v>15176361.901499299</c:v>
                </c:pt>
                <c:pt idx="59">
                  <c:v>15349243.085565399</c:v>
                </c:pt>
                <c:pt idx="60">
                  <c:v>15314849.6724432</c:v>
                </c:pt>
                <c:pt idx="61">
                  <c:v>15125266.048092701</c:v>
                </c:pt>
                <c:pt idx="62">
                  <c:v>15116383.3546244</c:v>
                </c:pt>
                <c:pt idx="63">
                  <c:v>15259502.032427499</c:v>
                </c:pt>
                <c:pt idx="64">
                  <c:v>15455768.0428431</c:v>
                </c:pt>
                <c:pt idx="65">
                  <c:v>15664789.4130856</c:v>
                </c:pt>
                <c:pt idx="66">
                  <c:v>15841922.383760599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2-406F-8509-78B5389AD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251087"/>
        <c:axId val="670385519"/>
      </c:scatterChart>
      <c:valAx>
        <c:axId val="60725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385519"/>
        <c:crosses val="autoZero"/>
        <c:crossBetween val="midCat"/>
      </c:valAx>
      <c:valAx>
        <c:axId val="67038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Drivers in Texas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5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</a:t>
            </a:r>
            <a:r>
              <a:rPr lang="en-US" baseline="0"/>
              <a:t> Revenues, Beginning Year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Vehicle Miles Travelled Fee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'Revenues - Table'!$J$2:$J$32</c:f>
              <c:numCache>
                <c:formatCode>_("$"* #,##0.00_);_("$"* \(#,##0.00\);_("$"* "-"??_);_(@_)</c:formatCode>
                <c:ptCount val="31"/>
                <c:pt idx="0">
                  <c:v>2942267269.5349002</c:v>
                </c:pt>
                <c:pt idx="1">
                  <c:v>2929041238.5706344</c:v>
                </c:pt>
                <c:pt idx="2">
                  <c:v>2914710072.1331592</c:v>
                </c:pt>
                <c:pt idx="3">
                  <c:v>2899335547.2241211</c:v>
                </c:pt>
                <c:pt idx="4">
                  <c:v>2882977084.7602987</c:v>
                </c:pt>
                <c:pt idx="5">
                  <c:v>2865691827.7544236</c:v>
                </c:pt>
                <c:pt idx="6">
                  <c:v>2847534717.0838976</c:v>
                </c:pt>
                <c:pt idx="7">
                  <c:v>2828558564.9185634</c:v>
                </c:pt>
                <c:pt idx="8">
                  <c:v>2808814125.8766527</c:v>
                </c:pt>
                <c:pt idx="9">
                  <c:v>2788350165.9760375</c:v>
                </c:pt>
                <c:pt idx="10">
                  <c:v>2767213529.4460192</c:v>
                </c:pt>
                <c:pt idx="11">
                  <c:v>2745449203.4629884</c:v>
                </c:pt>
                <c:pt idx="12">
                  <c:v>2723100380.8714876</c:v>
                </c:pt>
                <c:pt idx="13">
                  <c:v>2700208520.9504452</c:v>
                </c:pt>
                <c:pt idx="14">
                  <c:v>2676813408.2826176</c:v>
                </c:pt>
                <c:pt idx="15">
                  <c:v>2652953209.7836242</c:v>
                </c:pt>
                <c:pt idx="16">
                  <c:v>2628664529.9453306</c:v>
                </c:pt>
                <c:pt idx="17">
                  <c:v>2603982464.3467488</c:v>
                </c:pt>
                <c:pt idx="18">
                  <c:v>2578940651.4841208</c:v>
                </c:pt>
                <c:pt idx="19">
                  <c:v>2553571322.9703264</c:v>
                </c:pt>
                <c:pt idx="20">
                  <c:v>2527905352.1523361</c:v>
                </c:pt>
                <c:pt idx="21">
                  <c:v>2501972301.194016</c:v>
                </c:pt>
                <c:pt idx="22">
                  <c:v>2475800466.6702166</c:v>
                </c:pt>
                <c:pt idx="23">
                  <c:v>2449416923.7167664</c:v>
                </c:pt>
                <c:pt idx="24">
                  <c:v>2422847568.7796836</c:v>
                </c:pt>
                <c:pt idx="25">
                  <c:v>2396117161.0056725</c:v>
                </c:pt>
                <c:pt idx="26">
                  <c:v>2369249362.3147607</c:v>
                </c:pt>
                <c:pt idx="27">
                  <c:v>2342266776.1947284</c:v>
                </c:pt>
                <c:pt idx="28">
                  <c:v>2315190985.2558551</c:v>
                </c:pt>
                <c:pt idx="29">
                  <c:v>2288042587.5833659</c:v>
                </c:pt>
                <c:pt idx="30">
                  <c:v>2260841231.9238987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2-46C8-9FC5-281C5AB82898}"/>
            </c:ext>
          </c:extLst>
        </c:ser>
        <c:ser>
          <c:idx val="5"/>
          <c:order val="1"/>
          <c:tx>
            <c:v>Fuel Tax Base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'Revenues - Table'!$I$2:$I$32</c:f>
              <c:numCache>
                <c:formatCode>"$"#,##0.00_);[Red]\("$"#,##0.00\)</c:formatCode>
                <c:ptCount val="31"/>
                <c:pt idx="0">
                  <c:v>6393343022.4217091</c:v>
                </c:pt>
                <c:pt idx="1">
                  <c:v>6274514911.7661524</c:v>
                </c:pt>
                <c:pt idx="2">
                  <c:v>6233354405.878438</c:v>
                </c:pt>
                <c:pt idx="3">
                  <c:v>6116048987.6302176</c:v>
                </c:pt>
                <c:pt idx="4">
                  <c:v>6073140722.1399059</c:v>
                </c:pt>
                <c:pt idx="5">
                  <c:v>5957835310.1212282</c:v>
                </c:pt>
                <c:pt idx="6">
                  <c:v>5913181552.3964195</c:v>
                </c:pt>
                <c:pt idx="7">
                  <c:v>5799665562.4369316</c:v>
                </c:pt>
                <c:pt idx="8">
                  <c:v>5753675982.4626112</c:v>
                </c:pt>
                <c:pt idx="9">
                  <c:v>5642217807.6634827</c:v>
                </c:pt>
                <c:pt idx="10">
                  <c:v>5595025808.0958424</c:v>
                </c:pt>
                <c:pt idx="11">
                  <c:v>5485532291.8775253</c:v>
                </c:pt>
                <c:pt idx="12">
                  <c:v>5437232959.1222019</c:v>
                </c:pt>
                <c:pt idx="13">
                  <c:v>5329682896.6443815</c:v>
                </c:pt>
                <c:pt idx="14">
                  <c:v>5280418091.6773386</c:v>
                </c:pt>
                <c:pt idx="15">
                  <c:v>5174801405.706686</c:v>
                </c:pt>
                <c:pt idx="16">
                  <c:v>5124759461.1613092</c:v>
                </c:pt>
                <c:pt idx="17">
                  <c:v>5021192528.3529634</c:v>
                </c:pt>
                <c:pt idx="18">
                  <c:v>4970606928.8395395</c:v>
                </c:pt>
                <c:pt idx="19">
                  <c:v>4869154245.6221132</c:v>
                </c:pt>
                <c:pt idx="20">
                  <c:v>4818234367.8138371</c:v>
                </c:pt>
                <c:pt idx="21">
                  <c:v>4719007369.6463699</c:v>
                </c:pt>
                <c:pt idx="22">
                  <c:v>4668013769.723156</c:v>
                </c:pt>
                <c:pt idx="23">
                  <c:v>4571145505.1166229</c:v>
                </c:pt>
                <c:pt idx="24">
                  <c:v>4520262721.9478998</c:v>
                </c:pt>
                <c:pt idx="25">
                  <c:v>4425780264.046279</c:v>
                </c:pt>
                <c:pt idx="26">
                  <c:v>4375081708.5385237</c:v>
                </c:pt>
                <c:pt idx="27">
                  <c:v>4282949099.5513582</c:v>
                </c:pt>
                <c:pt idx="28">
                  <c:v>4232570573.1325121</c:v>
                </c:pt>
                <c:pt idx="29">
                  <c:v>4142808520.7550464</c:v>
                </c:pt>
                <c:pt idx="30">
                  <c:v>4092863883.4740434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4-4ABC-9827-51F839B9A904}"/>
            </c:ext>
          </c:extLst>
        </c:ser>
        <c:ser>
          <c:idx val="3"/>
          <c:order val="2"/>
          <c:tx>
            <c:v>Fuel Tax Periodic Increase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'Revenues - Table'!$H$2:$H$32</c:f>
              <c:numCache>
                <c:formatCode>_("$"* #,##0.00_);_("$"* \(#,##0.00\);_("$"* "-"??_);_(@_)</c:formatCode>
                <c:ptCount val="31"/>
                <c:pt idx="0">
                  <c:v>639334302.24217093</c:v>
                </c:pt>
                <c:pt idx="1">
                  <c:v>627451491.17661512</c:v>
                </c:pt>
                <c:pt idx="2">
                  <c:v>623335440.58784378</c:v>
                </c:pt>
                <c:pt idx="3">
                  <c:v>1253790042.4641943</c:v>
                </c:pt>
                <c:pt idx="4">
                  <c:v>1244993848.0386803</c:v>
                </c:pt>
                <c:pt idx="5">
                  <c:v>1221356238.5748515</c:v>
                </c:pt>
                <c:pt idx="6">
                  <c:v>1848608382.8179305</c:v>
                </c:pt>
                <c:pt idx="7">
                  <c:v>1813120446.4568453</c:v>
                </c:pt>
                <c:pt idx="8">
                  <c:v>1798742954.0173738</c:v>
                </c:pt>
                <c:pt idx="9">
                  <c:v>2386323125.9593234</c:v>
                </c:pt>
                <c:pt idx="10">
                  <c:v>2366363712.1671853</c:v>
                </c:pt>
                <c:pt idx="11">
                  <c:v>2320054455.9843631</c:v>
                </c:pt>
                <c:pt idx="12">
                  <c:v>2299626706.0017433</c:v>
                </c:pt>
                <c:pt idx="13">
                  <c:v>2254139415.3585849</c:v>
                </c:pt>
                <c:pt idx="14">
                  <c:v>2233303327.9553208</c:v>
                </c:pt>
                <c:pt idx="15">
                  <c:v>2188633740.7804642</c:v>
                </c:pt>
                <c:pt idx="16">
                  <c:v>2167468969.4782271</c:v>
                </c:pt>
                <c:pt idx="17">
                  <c:v>2123666306.1869326</c:v>
                </c:pt>
                <c:pt idx="18">
                  <c:v>2102271601.1127253</c:v>
                </c:pt>
                <c:pt idx="19">
                  <c:v>2059363139.86482</c:v>
                </c:pt>
                <c:pt idx="20">
                  <c:v>2037827054.9196637</c:v>
                </c:pt>
                <c:pt idx="21">
                  <c:v>1995859926.2978415</c:v>
                </c:pt>
                <c:pt idx="22">
                  <c:v>1974292661.2753174</c:v>
                </c:pt>
                <c:pt idx="23">
                  <c:v>1933323136.8999648</c:v>
                </c:pt>
                <c:pt idx="24">
                  <c:v>1911802740.7848456</c:v>
                </c:pt>
                <c:pt idx="25">
                  <c:v>1871842270.9883981</c:v>
                </c:pt>
                <c:pt idx="26">
                  <c:v>1850399792.2353508</c:v>
                </c:pt>
                <c:pt idx="27">
                  <c:v>1811433169.0074387</c:v>
                </c:pt>
                <c:pt idx="28">
                  <c:v>1790126043.5572729</c:v>
                </c:pt>
                <c:pt idx="29">
                  <c:v>1752162025.0234647</c:v>
                </c:pt>
                <c:pt idx="30">
                  <c:v>1731038408.9164391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2-46C8-9FC5-281C5AB82898}"/>
            </c:ext>
          </c:extLst>
        </c:ser>
        <c:ser>
          <c:idx val="1"/>
          <c:order val="3"/>
          <c:tx>
            <c:v>Fuel Tax 1 Time Increase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'Revenues - Table'!$A$2:$A$32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'Revenues - Table'!$G$2:$G$32</c:f>
              <c:numCache>
                <c:formatCode>_("$"* #,##0.00_);_("$"* \(#,##0.00\);_("$"*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1398756452.0239606</c:v>
                </c:pt>
                <c:pt idx="11">
                  <c:v>1371383072.9693813</c:v>
                </c:pt>
                <c:pt idx="12">
                  <c:v>1359308239.7805505</c:v>
                </c:pt>
                <c:pt idx="13">
                  <c:v>1332420724.1610954</c:v>
                </c:pt>
                <c:pt idx="14">
                  <c:v>1320104522.9193347</c:v>
                </c:pt>
                <c:pt idx="15">
                  <c:v>1293700351.4266715</c:v>
                </c:pt>
                <c:pt idx="16">
                  <c:v>1281189865.2903273</c:v>
                </c:pt>
                <c:pt idx="17">
                  <c:v>1255298132.0882409</c:v>
                </c:pt>
                <c:pt idx="18">
                  <c:v>1242651732.2098849</c:v>
                </c:pt>
                <c:pt idx="19">
                  <c:v>1217288561.4055283</c:v>
                </c:pt>
                <c:pt idx="20">
                  <c:v>1204558591.9534593</c:v>
                </c:pt>
                <c:pt idx="21">
                  <c:v>1179751842.4115925</c:v>
                </c:pt>
                <c:pt idx="22">
                  <c:v>1167003442.430789</c:v>
                </c:pt>
                <c:pt idx="23">
                  <c:v>1142786376.2791557</c:v>
                </c:pt>
                <c:pt idx="24">
                  <c:v>1130065680.486975</c:v>
                </c:pt>
                <c:pt idx="25">
                  <c:v>1106445066.0115697</c:v>
                </c:pt>
                <c:pt idx="26">
                  <c:v>1093770427.1346309</c:v>
                </c:pt>
                <c:pt idx="27">
                  <c:v>1070737274.8878396</c:v>
                </c:pt>
                <c:pt idx="28">
                  <c:v>1058142643.283128</c:v>
                </c:pt>
                <c:pt idx="29">
                  <c:v>1035702130.1887616</c:v>
                </c:pt>
                <c:pt idx="30">
                  <c:v>1023215970.8685108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32-46C8-9FC5-281C5AB82898}"/>
            </c:ext>
          </c:extLst>
        </c:ser>
        <c:ser>
          <c:idx val="4"/>
          <c:order val="4"/>
          <c:tx>
            <c:v>Carbon Tax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'Revenues - Table'!$K$2:$K$32</c:f>
              <c:numCache>
                <c:formatCode>_("$"* #,##0.00_);_("$"* \(#,##0.00\);_("$"* "-"??_);_(@_)</c:formatCode>
                <c:ptCount val="31"/>
                <c:pt idx="0">
                  <c:v>135378819.0077202</c:v>
                </c:pt>
                <c:pt idx="1">
                  <c:v>134703030.61041996</c:v>
                </c:pt>
                <c:pt idx="2">
                  <c:v>134014506.18355808</c:v>
                </c:pt>
                <c:pt idx="3">
                  <c:v>133280414.66355649</c:v>
                </c:pt>
                <c:pt idx="4">
                  <c:v>132507591.910843</c:v>
                </c:pt>
                <c:pt idx="5">
                  <c:v>131702385.92423543</c:v>
                </c:pt>
                <c:pt idx="6">
                  <c:v>130876549.97968081</c:v>
                </c:pt>
                <c:pt idx="7">
                  <c:v>130025371.13002492</c:v>
                </c:pt>
                <c:pt idx="8">
                  <c:v>129145959.75753865</c:v>
                </c:pt>
                <c:pt idx="9">
                  <c:v>128239276.69172141</c:v>
                </c:pt>
                <c:pt idx="10">
                  <c:v>127308397.70983329</c:v>
                </c:pt>
                <c:pt idx="11">
                  <c:v>126355138.39067949</c:v>
                </c:pt>
                <c:pt idx="12">
                  <c:v>125380786.07547857</c:v>
                </c:pt>
                <c:pt idx="13">
                  <c:v>124386838.39008772</c:v>
                </c:pt>
                <c:pt idx="14">
                  <c:v>123374708.75118662</c:v>
                </c:pt>
                <c:pt idx="15">
                  <c:v>122345055.23551713</c:v>
                </c:pt>
                <c:pt idx="16">
                  <c:v>121298894.51289514</c:v>
                </c:pt>
                <c:pt idx="17">
                  <c:v>120237670.56832696</c:v>
                </c:pt>
                <c:pt idx="18">
                  <c:v>119162726.19827037</c:v>
                </c:pt>
                <c:pt idx="19">
                  <c:v>118074844.47918338</c:v>
                </c:pt>
                <c:pt idx="20">
                  <c:v>116975250.53434359</c:v>
                </c:pt>
                <c:pt idx="21">
                  <c:v>115865210.69309999</c:v>
                </c:pt>
                <c:pt idx="22">
                  <c:v>114745961.0446464</c:v>
                </c:pt>
                <c:pt idx="23">
                  <c:v>113617881.42878436</c:v>
                </c:pt>
                <c:pt idx="24">
                  <c:v>112482279.30119923</c:v>
                </c:pt>
                <c:pt idx="25">
                  <c:v>111340678.22037753</c:v>
                </c:pt>
                <c:pt idx="26">
                  <c:v>110193636.20397669</c:v>
                </c:pt>
                <c:pt idx="27">
                  <c:v>109041734.77203347</c:v>
                </c:pt>
                <c:pt idx="28">
                  <c:v>107885832.79797556</c:v>
                </c:pt>
                <c:pt idx="29">
                  <c:v>106726262.60320176</c:v>
                </c:pt>
                <c:pt idx="30">
                  <c:v>105563775.49371795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32-46C8-9FC5-281C5AB82898}"/>
            </c:ext>
          </c:extLst>
        </c:ser>
        <c:ser>
          <c:idx val="0"/>
          <c:order val="5"/>
          <c:tx>
            <c:v>Electric Vehicle Fee</c:v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'Revenues - Table'!$A$2:$A$32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'Revenues - Table'!$D$2:$D$32</c:f>
              <c:numCache>
                <c:formatCode>_("$"* #,##0.00_);_("$"* \(#,##0.00\);_("$"* "-"??_);_(@_)</c:formatCode>
                <c:ptCount val="31"/>
                <c:pt idx="0">
                  <c:v>9104500</c:v>
                </c:pt>
                <c:pt idx="1">
                  <c:v>12044099.719648782</c:v>
                </c:pt>
                <c:pt idx="2">
                  <c:v>14958306.683842476</c:v>
                </c:pt>
                <c:pt idx="3">
                  <c:v>18003649.051285967</c:v>
                </c:pt>
                <c:pt idx="4">
                  <c:v>20987372.900828235</c:v>
                </c:pt>
                <c:pt idx="5">
                  <c:v>24053658.458446138</c:v>
                </c:pt>
                <c:pt idx="6">
                  <c:v>27231608.894131586</c:v>
                </c:pt>
                <c:pt idx="7">
                  <c:v>30503054.973912422</c:v>
                </c:pt>
                <c:pt idx="8">
                  <c:v>33876563.172910556</c:v>
                </c:pt>
                <c:pt idx="9">
                  <c:v>37539912.895734772</c:v>
                </c:pt>
                <c:pt idx="10">
                  <c:v>41575680.347497672</c:v>
                </c:pt>
                <c:pt idx="11">
                  <c:v>46044078.593069978</c:v>
                </c:pt>
                <c:pt idx="12">
                  <c:v>51019182.486258887</c:v>
                </c:pt>
                <c:pt idx="13">
                  <c:v>56492114.307206832</c:v>
                </c:pt>
                <c:pt idx="14">
                  <c:v>62540610.440895557</c:v>
                </c:pt>
                <c:pt idx="15">
                  <c:v>69185431.051402733</c:v>
                </c:pt>
                <c:pt idx="16">
                  <c:v>76349891.602058128</c:v>
                </c:pt>
                <c:pt idx="17">
                  <c:v>83952747.957667887</c:v>
                </c:pt>
                <c:pt idx="18">
                  <c:v>91971644.784469664</c:v>
                </c:pt>
                <c:pt idx="19">
                  <c:v>100377509.24299821</c:v>
                </c:pt>
                <c:pt idx="20">
                  <c:v>109067848.31055106</c:v>
                </c:pt>
                <c:pt idx="21">
                  <c:v>117961151.58983834</c:v>
                </c:pt>
                <c:pt idx="22">
                  <c:v>126868019.03004685</c:v>
                </c:pt>
                <c:pt idx="23">
                  <c:v>135850792.16386387</c:v>
                </c:pt>
                <c:pt idx="24">
                  <c:v>144800892.30328429</c:v>
                </c:pt>
                <c:pt idx="25">
                  <c:v>153732458.18440565</c:v>
                </c:pt>
                <c:pt idx="26">
                  <c:v>162732469.95550686</c:v>
                </c:pt>
                <c:pt idx="27">
                  <c:v>171711310.82058755</c:v>
                </c:pt>
                <c:pt idx="28">
                  <c:v>180678946.70247608</c:v>
                </c:pt>
                <c:pt idx="29">
                  <c:v>189637275.58970124</c:v>
                </c:pt>
                <c:pt idx="30">
                  <c:v>198530083.05141935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32-46C8-9FC5-281C5AB82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6126367"/>
        <c:axId val="696124703"/>
      </c:barChart>
      <c:catAx>
        <c:axId val="69612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4703"/>
        <c:crosses val="autoZero"/>
        <c:auto val="1"/>
        <c:lblAlgn val="ctr"/>
        <c:lblOffset val="100"/>
        <c:noMultiLvlLbl val="0"/>
      </c:catAx>
      <c:valAx>
        <c:axId val="69612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and Employment</a:t>
            </a:r>
            <a:r>
              <a:rPr lang="en-US" baseline="0"/>
              <a:t> Projection of Texas, </a:t>
            </a:r>
          </a:p>
          <a:p>
            <a:pPr>
              <a:defRPr/>
            </a:pPr>
            <a:r>
              <a:rPr lang="en-US" baseline="0"/>
              <a:t>Using Populations from 1900 to 2019</a:t>
            </a:r>
            <a:endParaRPr lang="en-US"/>
          </a:p>
        </c:rich>
      </c:tx>
      <c:layout>
        <c:manualLayout>
          <c:xMode val="edge"/>
          <c:yMode val="edge"/>
          <c:x val="0.29569745180503826"/>
          <c:y val="4.8146486633347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79905143436018"/>
          <c:y val="0.19638079154418692"/>
          <c:w val="0.7164991949640328"/>
          <c:h val="0.61896213360965979"/>
        </c:manualLayout>
      </c:layout>
      <c:scatterChart>
        <c:scatterStyle val="smoothMarker"/>
        <c:varyColors val="0"/>
        <c:ser>
          <c:idx val="0"/>
          <c:order val="0"/>
          <c:tx>
            <c:v>Actual Population Count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7"/>
            <c:marker>
              <c:symbol val="circle"/>
              <c:size val="4"/>
              <c:spPr>
                <a:solidFill>
                  <a:schemeClr val="accent1"/>
                </a:solidFill>
                <a:ln w="127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9DF-4225-BC76-8258732ED7D1}"/>
              </c:ext>
            </c:extLst>
          </c:dPt>
          <c:trendline>
            <c:spPr>
              <a:ln w="34925" cap="rnd">
                <a:solidFill>
                  <a:schemeClr val="accent6"/>
                </a:solidFill>
                <a:prstDash val="sysDash"/>
              </a:ln>
              <a:effectLst/>
            </c:spPr>
            <c:trendlineType val="exp"/>
            <c:forward val="30"/>
            <c:dispRSqr val="0"/>
            <c:dispEq val="1"/>
            <c:trendlineLbl>
              <c:layout>
                <c:manualLayout>
                  <c:x val="-2.1578913611257449E-2"/>
                  <c:y val="5.0609958552614985E-2"/>
                </c:manualLayout>
              </c:layout>
              <c:numFmt formatCode="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Population!$F$2:$F$510</c:f>
              <c:numCache>
                <c:formatCode>General</c:formatCode>
                <c:ptCount val="509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  <c:pt idx="20">
                  <c:v>1999</c:v>
                </c:pt>
                <c:pt idx="21">
                  <c:v>1998</c:v>
                </c:pt>
                <c:pt idx="22">
                  <c:v>1997</c:v>
                </c:pt>
                <c:pt idx="23">
                  <c:v>1996</c:v>
                </c:pt>
                <c:pt idx="24">
                  <c:v>1995</c:v>
                </c:pt>
                <c:pt idx="25">
                  <c:v>1994</c:v>
                </c:pt>
                <c:pt idx="26">
                  <c:v>1993</c:v>
                </c:pt>
                <c:pt idx="27">
                  <c:v>1992</c:v>
                </c:pt>
                <c:pt idx="28">
                  <c:v>1991</c:v>
                </c:pt>
                <c:pt idx="29">
                  <c:v>1990</c:v>
                </c:pt>
                <c:pt idx="30">
                  <c:v>1989</c:v>
                </c:pt>
                <c:pt idx="31">
                  <c:v>1988</c:v>
                </c:pt>
                <c:pt idx="32">
                  <c:v>1987</c:v>
                </c:pt>
                <c:pt idx="33">
                  <c:v>1986</c:v>
                </c:pt>
                <c:pt idx="34">
                  <c:v>1985</c:v>
                </c:pt>
                <c:pt idx="35">
                  <c:v>1984</c:v>
                </c:pt>
                <c:pt idx="36">
                  <c:v>1983</c:v>
                </c:pt>
                <c:pt idx="37">
                  <c:v>1982</c:v>
                </c:pt>
                <c:pt idx="38">
                  <c:v>1981</c:v>
                </c:pt>
                <c:pt idx="39">
                  <c:v>1980</c:v>
                </c:pt>
                <c:pt idx="40">
                  <c:v>1979</c:v>
                </c:pt>
                <c:pt idx="41">
                  <c:v>1978</c:v>
                </c:pt>
                <c:pt idx="42">
                  <c:v>1977</c:v>
                </c:pt>
                <c:pt idx="43">
                  <c:v>1976</c:v>
                </c:pt>
                <c:pt idx="44">
                  <c:v>1975</c:v>
                </c:pt>
                <c:pt idx="45">
                  <c:v>1974</c:v>
                </c:pt>
                <c:pt idx="46">
                  <c:v>1973</c:v>
                </c:pt>
                <c:pt idx="47">
                  <c:v>1972</c:v>
                </c:pt>
                <c:pt idx="48">
                  <c:v>1971</c:v>
                </c:pt>
                <c:pt idx="49">
                  <c:v>1970</c:v>
                </c:pt>
                <c:pt idx="50">
                  <c:v>1969</c:v>
                </c:pt>
                <c:pt idx="51">
                  <c:v>1968</c:v>
                </c:pt>
                <c:pt idx="52">
                  <c:v>1967</c:v>
                </c:pt>
                <c:pt idx="53">
                  <c:v>1966</c:v>
                </c:pt>
                <c:pt idx="54">
                  <c:v>1965</c:v>
                </c:pt>
                <c:pt idx="55">
                  <c:v>1964</c:v>
                </c:pt>
                <c:pt idx="56">
                  <c:v>1963</c:v>
                </c:pt>
                <c:pt idx="57">
                  <c:v>1962</c:v>
                </c:pt>
                <c:pt idx="58">
                  <c:v>1961</c:v>
                </c:pt>
                <c:pt idx="59">
                  <c:v>1960</c:v>
                </c:pt>
                <c:pt idx="60">
                  <c:v>1959</c:v>
                </c:pt>
                <c:pt idx="61">
                  <c:v>1958</c:v>
                </c:pt>
                <c:pt idx="62">
                  <c:v>1957</c:v>
                </c:pt>
                <c:pt idx="63">
                  <c:v>1956</c:v>
                </c:pt>
                <c:pt idx="64">
                  <c:v>1955</c:v>
                </c:pt>
                <c:pt idx="65">
                  <c:v>1954</c:v>
                </c:pt>
                <c:pt idx="66">
                  <c:v>1953</c:v>
                </c:pt>
                <c:pt idx="67">
                  <c:v>1952</c:v>
                </c:pt>
                <c:pt idx="68">
                  <c:v>1951</c:v>
                </c:pt>
                <c:pt idx="69">
                  <c:v>1950</c:v>
                </c:pt>
                <c:pt idx="70">
                  <c:v>1949</c:v>
                </c:pt>
                <c:pt idx="71">
                  <c:v>1948</c:v>
                </c:pt>
                <c:pt idx="72">
                  <c:v>1947</c:v>
                </c:pt>
                <c:pt idx="73">
                  <c:v>1946</c:v>
                </c:pt>
                <c:pt idx="74">
                  <c:v>1945</c:v>
                </c:pt>
                <c:pt idx="75">
                  <c:v>1944</c:v>
                </c:pt>
                <c:pt idx="76">
                  <c:v>1943</c:v>
                </c:pt>
                <c:pt idx="77">
                  <c:v>1942</c:v>
                </c:pt>
                <c:pt idx="78">
                  <c:v>1941</c:v>
                </c:pt>
                <c:pt idx="79">
                  <c:v>1940</c:v>
                </c:pt>
                <c:pt idx="80">
                  <c:v>1939</c:v>
                </c:pt>
                <c:pt idx="81">
                  <c:v>1938</c:v>
                </c:pt>
                <c:pt idx="82">
                  <c:v>1937</c:v>
                </c:pt>
                <c:pt idx="83">
                  <c:v>1936</c:v>
                </c:pt>
                <c:pt idx="84">
                  <c:v>1935</c:v>
                </c:pt>
                <c:pt idx="85">
                  <c:v>1934</c:v>
                </c:pt>
                <c:pt idx="86">
                  <c:v>1933</c:v>
                </c:pt>
                <c:pt idx="87">
                  <c:v>1932</c:v>
                </c:pt>
                <c:pt idx="88">
                  <c:v>1931</c:v>
                </c:pt>
                <c:pt idx="89">
                  <c:v>1930</c:v>
                </c:pt>
                <c:pt idx="90">
                  <c:v>1929</c:v>
                </c:pt>
                <c:pt idx="91">
                  <c:v>1928</c:v>
                </c:pt>
                <c:pt idx="92">
                  <c:v>1927</c:v>
                </c:pt>
                <c:pt idx="93">
                  <c:v>1926</c:v>
                </c:pt>
                <c:pt idx="94">
                  <c:v>1925</c:v>
                </c:pt>
                <c:pt idx="95">
                  <c:v>1924</c:v>
                </c:pt>
                <c:pt idx="96">
                  <c:v>1923</c:v>
                </c:pt>
                <c:pt idx="97">
                  <c:v>1922</c:v>
                </c:pt>
                <c:pt idx="98">
                  <c:v>1921</c:v>
                </c:pt>
                <c:pt idx="99">
                  <c:v>1920</c:v>
                </c:pt>
                <c:pt idx="100">
                  <c:v>1919</c:v>
                </c:pt>
                <c:pt idx="101">
                  <c:v>1918</c:v>
                </c:pt>
                <c:pt idx="102">
                  <c:v>1917</c:v>
                </c:pt>
                <c:pt idx="103">
                  <c:v>1916</c:v>
                </c:pt>
                <c:pt idx="104">
                  <c:v>1915</c:v>
                </c:pt>
                <c:pt idx="105">
                  <c:v>1914</c:v>
                </c:pt>
                <c:pt idx="106">
                  <c:v>1913</c:v>
                </c:pt>
                <c:pt idx="107">
                  <c:v>1912</c:v>
                </c:pt>
                <c:pt idx="108">
                  <c:v>1911</c:v>
                </c:pt>
                <c:pt idx="109">
                  <c:v>1910</c:v>
                </c:pt>
                <c:pt idx="110">
                  <c:v>1909</c:v>
                </c:pt>
                <c:pt idx="111">
                  <c:v>1908</c:v>
                </c:pt>
                <c:pt idx="112">
                  <c:v>1907</c:v>
                </c:pt>
                <c:pt idx="113">
                  <c:v>1906</c:v>
                </c:pt>
                <c:pt idx="114">
                  <c:v>1905</c:v>
                </c:pt>
                <c:pt idx="115">
                  <c:v>1904</c:v>
                </c:pt>
                <c:pt idx="116">
                  <c:v>1903</c:v>
                </c:pt>
                <c:pt idx="117">
                  <c:v>1902</c:v>
                </c:pt>
                <c:pt idx="118">
                  <c:v>1901</c:v>
                </c:pt>
                <c:pt idx="119">
                  <c:v>1900</c:v>
                </c:pt>
              </c:numCache>
            </c:numRef>
          </c:xVal>
          <c:yVal>
            <c:numRef>
              <c:f>Population!$G$2:$G$510</c:f>
              <c:numCache>
                <c:formatCode>_(* #,##0.00_);_(* \(#,##0.00\);_(* "-"??_);_(@_)</c:formatCode>
                <c:ptCount val="509"/>
                <c:pt idx="0">
                  <c:v>28995881</c:v>
                </c:pt>
                <c:pt idx="1">
                  <c:v>28628666</c:v>
                </c:pt>
                <c:pt idx="2">
                  <c:v>28295273</c:v>
                </c:pt>
                <c:pt idx="3">
                  <c:v>27914410</c:v>
                </c:pt>
                <c:pt idx="4">
                  <c:v>27470056</c:v>
                </c:pt>
                <c:pt idx="5">
                  <c:v>26964333</c:v>
                </c:pt>
                <c:pt idx="6">
                  <c:v>26480266</c:v>
                </c:pt>
                <c:pt idx="7">
                  <c:v>26084481</c:v>
                </c:pt>
                <c:pt idx="8">
                  <c:v>25645629</c:v>
                </c:pt>
                <c:pt idx="9">
                  <c:v>25213445</c:v>
                </c:pt>
                <c:pt idx="10">
                  <c:v>24770651</c:v>
                </c:pt>
                <c:pt idx="11">
                  <c:v>24290611</c:v>
                </c:pt>
                <c:pt idx="12">
                  <c:v>23824518</c:v>
                </c:pt>
                <c:pt idx="13">
                  <c:v>23356591</c:v>
                </c:pt>
                <c:pt idx="14">
                  <c:v>22790696</c:v>
                </c:pt>
                <c:pt idx="15">
                  <c:v>22408514</c:v>
                </c:pt>
                <c:pt idx="16">
                  <c:v>22048452</c:v>
                </c:pt>
                <c:pt idx="17">
                  <c:v>21705766</c:v>
                </c:pt>
                <c:pt idx="18">
                  <c:v>21330190</c:v>
                </c:pt>
                <c:pt idx="19">
                  <c:v>20393784</c:v>
                </c:pt>
                <c:pt idx="20">
                  <c:v>20044141</c:v>
                </c:pt>
                <c:pt idx="21">
                  <c:v>19712389</c:v>
                </c:pt>
                <c:pt idx="22">
                  <c:v>19355427</c:v>
                </c:pt>
                <c:pt idx="23">
                  <c:v>19006240</c:v>
                </c:pt>
                <c:pt idx="24">
                  <c:v>18679706</c:v>
                </c:pt>
                <c:pt idx="25">
                  <c:v>18338319</c:v>
                </c:pt>
                <c:pt idx="26">
                  <c:v>17996764</c:v>
                </c:pt>
                <c:pt idx="27">
                  <c:v>17650479</c:v>
                </c:pt>
                <c:pt idx="28">
                  <c:v>17339904</c:v>
                </c:pt>
                <c:pt idx="29">
                  <c:v>17044714</c:v>
                </c:pt>
                <c:pt idx="30">
                  <c:v>16986510</c:v>
                </c:pt>
                <c:pt idx="31">
                  <c:v>16806734</c:v>
                </c:pt>
                <c:pt idx="32">
                  <c:v>16667025</c:v>
                </c:pt>
                <c:pt idx="33">
                  <c:v>16621799</c:v>
                </c:pt>
                <c:pt idx="34">
                  <c:v>16561112</c:v>
                </c:pt>
                <c:pt idx="35">
                  <c:v>16272735</c:v>
                </c:pt>
                <c:pt idx="36">
                  <c:v>16007077</c:v>
                </c:pt>
                <c:pt idx="37">
                  <c:v>15751678</c:v>
                </c:pt>
                <c:pt idx="38">
                  <c:v>15331410</c:v>
                </c:pt>
                <c:pt idx="39">
                  <c:v>14746313</c:v>
                </c:pt>
                <c:pt idx="40">
                  <c:v>13888371</c:v>
                </c:pt>
                <c:pt idx="41">
                  <c:v>13500429</c:v>
                </c:pt>
                <c:pt idx="42">
                  <c:v>13193050</c:v>
                </c:pt>
                <c:pt idx="43">
                  <c:v>12904089</c:v>
                </c:pt>
                <c:pt idx="44">
                  <c:v>12568843</c:v>
                </c:pt>
                <c:pt idx="45">
                  <c:v>12268629</c:v>
                </c:pt>
                <c:pt idx="46">
                  <c:v>12019543</c:v>
                </c:pt>
                <c:pt idx="47">
                  <c:v>11759148</c:v>
                </c:pt>
                <c:pt idx="48">
                  <c:v>11509848</c:v>
                </c:pt>
                <c:pt idx="49">
                  <c:v>11198655</c:v>
                </c:pt>
                <c:pt idx="50">
                  <c:v>11045000</c:v>
                </c:pt>
                <c:pt idx="51">
                  <c:v>10819000</c:v>
                </c:pt>
                <c:pt idx="52">
                  <c:v>10599000</c:v>
                </c:pt>
                <c:pt idx="53">
                  <c:v>10492000</c:v>
                </c:pt>
                <c:pt idx="54">
                  <c:v>10378000</c:v>
                </c:pt>
                <c:pt idx="55">
                  <c:v>10270000</c:v>
                </c:pt>
                <c:pt idx="56">
                  <c:v>10159000</c:v>
                </c:pt>
                <c:pt idx="57">
                  <c:v>10053000</c:v>
                </c:pt>
                <c:pt idx="58">
                  <c:v>9820000</c:v>
                </c:pt>
                <c:pt idx="59">
                  <c:v>9624000</c:v>
                </c:pt>
                <c:pt idx="60">
                  <c:v>9405000</c:v>
                </c:pt>
                <c:pt idx="61">
                  <c:v>9252000</c:v>
                </c:pt>
                <c:pt idx="62">
                  <c:v>9070000</c:v>
                </c:pt>
                <c:pt idx="63">
                  <c:v>8830000</c:v>
                </c:pt>
                <c:pt idx="64">
                  <c:v>8660000</c:v>
                </c:pt>
                <c:pt idx="65">
                  <c:v>8382000</c:v>
                </c:pt>
                <c:pt idx="66">
                  <c:v>8336000</c:v>
                </c:pt>
                <c:pt idx="67">
                  <c:v>8314000</c:v>
                </c:pt>
                <c:pt idx="68">
                  <c:v>8111000</c:v>
                </c:pt>
                <c:pt idx="69">
                  <c:v>7776000</c:v>
                </c:pt>
                <c:pt idx="70">
                  <c:v>7623000</c:v>
                </c:pt>
                <c:pt idx="71">
                  <c:v>7626000</c:v>
                </c:pt>
                <c:pt idx="72">
                  <c:v>7388000</c:v>
                </c:pt>
                <c:pt idx="73">
                  <c:v>7197000</c:v>
                </c:pt>
                <c:pt idx="74">
                  <c:v>6826000</c:v>
                </c:pt>
                <c:pt idx="75">
                  <c:v>6876000</c:v>
                </c:pt>
                <c:pt idx="76">
                  <c:v>7012000</c:v>
                </c:pt>
                <c:pt idx="77">
                  <c:v>6711000</c:v>
                </c:pt>
                <c:pt idx="78">
                  <c:v>6585000</c:v>
                </c:pt>
                <c:pt idx="79">
                  <c:v>6425000</c:v>
                </c:pt>
                <c:pt idx="80">
                  <c:v>6360000</c:v>
                </c:pt>
                <c:pt idx="81">
                  <c:v>6301000</c:v>
                </c:pt>
                <c:pt idx="82">
                  <c:v>6250000</c:v>
                </c:pt>
                <c:pt idx="83">
                  <c:v>6192000</c:v>
                </c:pt>
                <c:pt idx="84">
                  <c:v>6123000</c:v>
                </c:pt>
                <c:pt idx="85">
                  <c:v>6053000</c:v>
                </c:pt>
                <c:pt idx="86">
                  <c:v>6014000</c:v>
                </c:pt>
                <c:pt idx="87">
                  <c:v>5961000</c:v>
                </c:pt>
                <c:pt idx="88">
                  <c:v>5907000</c:v>
                </c:pt>
                <c:pt idx="89">
                  <c:v>5844000</c:v>
                </c:pt>
                <c:pt idx="90">
                  <c:v>5762000</c:v>
                </c:pt>
                <c:pt idx="91">
                  <c:v>5675000</c:v>
                </c:pt>
                <c:pt idx="92">
                  <c:v>5577000</c:v>
                </c:pt>
                <c:pt idx="93">
                  <c:v>5453000</c:v>
                </c:pt>
                <c:pt idx="94">
                  <c:v>5332000</c:v>
                </c:pt>
                <c:pt idx="95">
                  <c:v>5210000</c:v>
                </c:pt>
                <c:pt idx="96">
                  <c:v>5077000</c:v>
                </c:pt>
                <c:pt idx="97">
                  <c:v>4955000</c:v>
                </c:pt>
                <c:pt idx="98">
                  <c:v>4853000</c:v>
                </c:pt>
                <c:pt idx="99">
                  <c:v>4723000</c:v>
                </c:pt>
                <c:pt idx="100">
                  <c:v>4631000</c:v>
                </c:pt>
                <c:pt idx="101">
                  <c:v>4666000</c:v>
                </c:pt>
                <c:pt idx="102">
                  <c:v>4563000</c:v>
                </c:pt>
                <c:pt idx="103">
                  <c:v>4444000</c:v>
                </c:pt>
                <c:pt idx="104">
                  <c:v>4368000</c:v>
                </c:pt>
                <c:pt idx="105">
                  <c:v>4300000</c:v>
                </c:pt>
                <c:pt idx="106">
                  <c:v>4207000</c:v>
                </c:pt>
                <c:pt idx="107">
                  <c:v>4107000</c:v>
                </c:pt>
                <c:pt idx="108">
                  <c:v>4016000</c:v>
                </c:pt>
                <c:pt idx="109">
                  <c:v>3922000</c:v>
                </c:pt>
                <c:pt idx="110">
                  <c:v>3821000</c:v>
                </c:pt>
                <c:pt idx="111">
                  <c:v>3727000</c:v>
                </c:pt>
                <c:pt idx="112">
                  <c:v>3636000</c:v>
                </c:pt>
                <c:pt idx="113">
                  <c:v>3546000</c:v>
                </c:pt>
                <c:pt idx="114">
                  <c:v>3459000</c:v>
                </c:pt>
                <c:pt idx="115">
                  <c:v>3374000</c:v>
                </c:pt>
                <c:pt idx="116">
                  <c:v>3291000</c:v>
                </c:pt>
                <c:pt idx="117">
                  <c:v>3210000</c:v>
                </c:pt>
                <c:pt idx="118">
                  <c:v>3132000</c:v>
                </c:pt>
                <c:pt idx="119">
                  <c:v>3055000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65-4CC4-AADB-800D69A35CA2}"/>
            </c:ext>
          </c:extLst>
        </c:ser>
        <c:ser>
          <c:idx val="1"/>
          <c:order val="1"/>
          <c:tx>
            <c:v>Actual Employed People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Employment!$J$2:$J$46</c:f>
              <c:numCache>
                <c:formatCode>General</c:formatCode>
                <c:ptCount val="45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</c:numCache>
            </c:numRef>
          </c:xVal>
          <c:yVal>
            <c:numRef>
              <c:f>Employment!$K$2:$K$46</c:f>
              <c:numCache>
                <c:formatCode>#,##0.00</c:formatCode>
                <c:ptCount val="45"/>
                <c:pt idx="0">
                  <c:v>5381248.583333333</c:v>
                </c:pt>
                <c:pt idx="1">
                  <c:v>5633267</c:v>
                </c:pt>
                <c:pt idx="2">
                  <c:v>5909837.916666667</c:v>
                </c:pt>
                <c:pt idx="3">
                  <c:v>6190524.5</c:v>
                </c:pt>
                <c:pt idx="4">
                  <c:v>6404882.75</c:v>
                </c:pt>
                <c:pt idx="5">
                  <c:v>6686969</c:v>
                </c:pt>
                <c:pt idx="6">
                  <c:v>6867965.75</c:v>
                </c:pt>
                <c:pt idx="7">
                  <c:v>7037892.666666667</c:v>
                </c:pt>
                <c:pt idx="8">
                  <c:v>7360152.666666667</c:v>
                </c:pt>
                <c:pt idx="9">
                  <c:v>7463323.416666667</c:v>
                </c:pt>
                <c:pt idx="10">
                  <c:v>7463198</c:v>
                </c:pt>
                <c:pt idx="11">
                  <c:v>7576649.583333333</c:v>
                </c:pt>
                <c:pt idx="12">
                  <c:v>7724807.416666667</c:v>
                </c:pt>
                <c:pt idx="13">
                  <c:v>7881265.166666667</c:v>
                </c:pt>
                <c:pt idx="14">
                  <c:v>8073257.083333333</c:v>
                </c:pt>
                <c:pt idx="15">
                  <c:v>8160512.416666667</c:v>
                </c:pt>
                <c:pt idx="16">
                  <c:v>8317299.5</c:v>
                </c:pt>
                <c:pt idx="17">
                  <c:v>8530186.583333334</c:v>
                </c:pt>
                <c:pt idx="18">
                  <c:v>8793182.5</c:v>
                </c:pt>
                <c:pt idx="19">
                  <c:v>8997537.75</c:v>
                </c:pt>
                <c:pt idx="20">
                  <c:v>9165915.5</c:v>
                </c:pt>
                <c:pt idx="21">
                  <c:v>9395537.083333334</c:v>
                </c:pt>
                <c:pt idx="22">
                  <c:v>9603021.083333334</c:v>
                </c:pt>
                <c:pt idx="23">
                  <c:v>9767851.083333334</c:v>
                </c:pt>
                <c:pt idx="24">
                  <c:v>9929386.666666666</c:v>
                </c:pt>
                <c:pt idx="25">
                  <c:v>10011045.833333334</c:v>
                </c:pt>
                <c:pt idx="26">
                  <c:v>10065869.583333334</c:v>
                </c:pt>
                <c:pt idx="27">
                  <c:v>10185312.166666666</c:v>
                </c:pt>
                <c:pt idx="28">
                  <c:v>10338484.166666666</c:v>
                </c:pt>
                <c:pt idx="29">
                  <c:v>10523257.416666666</c:v>
                </c:pt>
                <c:pt idx="30">
                  <c:v>10774489.75</c:v>
                </c:pt>
                <c:pt idx="31">
                  <c:v>10941413</c:v>
                </c:pt>
                <c:pt idx="32">
                  <c:v>11104114.666666666</c:v>
                </c:pt>
                <c:pt idx="33">
                  <c:v>11008903</c:v>
                </c:pt>
                <c:pt idx="34">
                  <c:v>11244631.916666666</c:v>
                </c:pt>
                <c:pt idx="35">
                  <c:v>11535094.666666666</c:v>
                </c:pt>
                <c:pt idx="36">
                  <c:v>11818674.583333334</c:v>
                </c:pt>
                <c:pt idx="37">
                  <c:v>12052645.75</c:v>
                </c:pt>
                <c:pt idx="38">
                  <c:v>12374171.75</c:v>
                </c:pt>
                <c:pt idx="39">
                  <c:v>12505617.333333334</c:v>
                </c:pt>
                <c:pt idx="40">
                  <c:v>12720225.583333334</c:v>
                </c:pt>
                <c:pt idx="41">
                  <c:v>12989682</c:v>
                </c:pt>
                <c:pt idx="42">
                  <c:v>13285118.416666666</c:v>
                </c:pt>
                <c:pt idx="43">
                  <c:v>13551791.166666666</c:v>
                </c:pt>
                <c:pt idx="44">
                  <c:v>12799752.125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DF-4225-BC76-8258732ED7D1}"/>
            </c:ext>
          </c:extLst>
        </c:ser>
        <c:ser>
          <c:idx val="2"/>
          <c:order val="2"/>
          <c:tx>
            <c:v>Forecasted Employment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Employment!$B$3:$B$33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Employment!$C$3:$C$33</c:f>
              <c:numCache>
                <c:formatCode>#,##0.00</c:formatCode>
                <c:ptCount val="31"/>
                <c:pt idx="0">
                  <c:v>13275220</c:v>
                </c:pt>
                <c:pt idx="1">
                  <c:v>13447881</c:v>
                </c:pt>
                <c:pt idx="2">
                  <c:v>13620542</c:v>
                </c:pt>
                <c:pt idx="3">
                  <c:v>13793203</c:v>
                </c:pt>
                <c:pt idx="4">
                  <c:v>13965864</c:v>
                </c:pt>
                <c:pt idx="5">
                  <c:v>14138525</c:v>
                </c:pt>
                <c:pt idx="6">
                  <c:v>14311186</c:v>
                </c:pt>
                <c:pt idx="7">
                  <c:v>14483847</c:v>
                </c:pt>
                <c:pt idx="8">
                  <c:v>14656508</c:v>
                </c:pt>
                <c:pt idx="9">
                  <c:v>14829169</c:v>
                </c:pt>
                <c:pt idx="10">
                  <c:v>15001830</c:v>
                </c:pt>
                <c:pt idx="11">
                  <c:v>15174491</c:v>
                </c:pt>
                <c:pt idx="12">
                  <c:v>15347152</c:v>
                </c:pt>
                <c:pt idx="13">
                  <c:v>15519813</c:v>
                </c:pt>
                <c:pt idx="14">
                  <c:v>15692474</c:v>
                </c:pt>
                <c:pt idx="15">
                  <c:v>15865135</c:v>
                </c:pt>
                <c:pt idx="16">
                  <c:v>16037796</c:v>
                </c:pt>
                <c:pt idx="17">
                  <c:v>16210457</c:v>
                </c:pt>
                <c:pt idx="18">
                  <c:v>16383118</c:v>
                </c:pt>
                <c:pt idx="19">
                  <c:v>16555779</c:v>
                </c:pt>
                <c:pt idx="20">
                  <c:v>16728440</c:v>
                </c:pt>
                <c:pt idx="21">
                  <c:v>16901101</c:v>
                </c:pt>
                <c:pt idx="22">
                  <c:v>17073762</c:v>
                </c:pt>
                <c:pt idx="23">
                  <c:v>17246423</c:v>
                </c:pt>
                <c:pt idx="24">
                  <c:v>17419084</c:v>
                </c:pt>
                <c:pt idx="25">
                  <c:v>17591745</c:v>
                </c:pt>
                <c:pt idx="26">
                  <c:v>17764406</c:v>
                </c:pt>
                <c:pt idx="27">
                  <c:v>17937067</c:v>
                </c:pt>
                <c:pt idx="28">
                  <c:v>18109728</c:v>
                </c:pt>
                <c:pt idx="29">
                  <c:v>18282389</c:v>
                </c:pt>
                <c:pt idx="30">
                  <c:v>18455050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DF-4225-BC76-8258732ED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257312"/>
        <c:axId val="1922465792"/>
      </c:scatterChart>
      <c:valAx>
        <c:axId val="19202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2497730546839538"/>
              <c:y val="0.88021199954482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5792"/>
        <c:crosses val="autoZero"/>
        <c:crossBetween val="midCat"/>
      </c:valAx>
      <c:valAx>
        <c:axId val="19224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People</a:t>
                </a:r>
              </a:p>
            </c:rich>
          </c:tx>
          <c:layout>
            <c:manualLayout>
              <c:xMode val="edge"/>
              <c:yMode val="edge"/>
              <c:x val="1.4123070507665271E-2"/>
              <c:y val="0.39571913285776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5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4576111779512141E-2"/>
          <c:y val="0.92400604700488476"/>
          <c:w val="0.81486798848245179"/>
          <c:h val="5.22230761695572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Registered Vehicles Projection</a:t>
            </a:r>
            <a:r>
              <a:rPr lang="en-US" baseline="0"/>
              <a:t> </a:t>
            </a:r>
            <a:r>
              <a:rPr lang="en-US"/>
              <a:t>in Texas, by Type,</a:t>
            </a:r>
          </a:p>
          <a:p>
            <a:pPr>
              <a:defRPr/>
            </a:pPr>
            <a:r>
              <a:rPr lang="en-US" sz="1200"/>
              <a:t>Using</a:t>
            </a:r>
            <a:r>
              <a:rPr lang="en-US" sz="1200" baseline="0"/>
              <a:t> # of Registrations from year 2000 to 2019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'Registered Vehicles'!$U$35</c:f>
              <c:strCache>
                <c:ptCount val="1"/>
                <c:pt idx="0">
                  <c:v>Automobile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3410606375559192"/>
                  <c:y val="-3.7144588253981911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Vehicles'!$U$36:$U$55</c:f>
              <c:numCache>
                <c:formatCode>#,##0</c:formatCode>
                <c:ptCount val="20"/>
                <c:pt idx="0">
                  <c:v>8313623</c:v>
                </c:pt>
                <c:pt idx="1">
                  <c:v>8037604</c:v>
                </c:pt>
                <c:pt idx="2">
                  <c:v>8176879</c:v>
                </c:pt>
                <c:pt idx="3">
                  <c:v>8287254</c:v>
                </c:pt>
                <c:pt idx="4">
                  <c:v>8451039</c:v>
                </c:pt>
                <c:pt idx="5">
                  <c:v>8140321</c:v>
                </c:pt>
                <c:pt idx="6">
                  <c:v>7954906</c:v>
                </c:pt>
                <c:pt idx="7">
                  <c:v>7821859</c:v>
                </c:pt>
                <c:pt idx="8">
                  <c:v>8964823</c:v>
                </c:pt>
                <c:pt idx="9">
                  <c:v>8331127</c:v>
                </c:pt>
                <c:pt idx="10">
                  <c:v>8830974</c:v>
                </c:pt>
                <c:pt idx="11">
                  <c:v>8830985</c:v>
                </c:pt>
                <c:pt idx="12">
                  <c:v>8800325</c:v>
                </c:pt>
                <c:pt idx="13">
                  <c:v>8805316</c:v>
                </c:pt>
                <c:pt idx="14">
                  <c:v>8911818</c:v>
                </c:pt>
                <c:pt idx="15">
                  <c:v>8735544</c:v>
                </c:pt>
                <c:pt idx="16">
                  <c:v>7841637</c:v>
                </c:pt>
                <c:pt idx="17">
                  <c:v>7808911</c:v>
                </c:pt>
                <c:pt idx="18">
                  <c:v>7724309</c:v>
                </c:pt>
                <c:pt idx="19">
                  <c:v>7616183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6A-42DD-B509-FD1776D2A8B6}"/>
            </c:ext>
          </c:extLst>
        </c:ser>
        <c:ser>
          <c:idx val="1"/>
          <c:order val="1"/>
          <c:tx>
            <c:strRef>
              <c:f>'Registered Vehicles'!$V$35</c:f>
              <c:strCache>
                <c:ptCount val="1"/>
                <c:pt idx="0">
                  <c:v>Buses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Vehicles'!$V$36:$V$55</c:f>
              <c:numCache>
                <c:formatCode>#,##0</c:formatCode>
                <c:ptCount val="20"/>
                <c:pt idx="0">
                  <c:v>70091</c:v>
                </c:pt>
                <c:pt idx="1">
                  <c:v>69966</c:v>
                </c:pt>
                <c:pt idx="2">
                  <c:v>67143</c:v>
                </c:pt>
                <c:pt idx="3">
                  <c:v>66697</c:v>
                </c:pt>
                <c:pt idx="4">
                  <c:v>66980</c:v>
                </c:pt>
                <c:pt idx="5">
                  <c:v>101845</c:v>
                </c:pt>
                <c:pt idx="6">
                  <c:v>99482</c:v>
                </c:pt>
                <c:pt idx="7">
                  <c:v>97685</c:v>
                </c:pt>
                <c:pt idx="8">
                  <c:v>53655</c:v>
                </c:pt>
                <c:pt idx="9">
                  <c:v>96746</c:v>
                </c:pt>
                <c:pt idx="10">
                  <c:v>92639</c:v>
                </c:pt>
                <c:pt idx="11">
                  <c:v>92639</c:v>
                </c:pt>
                <c:pt idx="12">
                  <c:v>92250</c:v>
                </c:pt>
                <c:pt idx="13">
                  <c:v>90173</c:v>
                </c:pt>
                <c:pt idx="14">
                  <c:v>89557</c:v>
                </c:pt>
                <c:pt idx="15">
                  <c:v>86753</c:v>
                </c:pt>
                <c:pt idx="16">
                  <c:v>84260</c:v>
                </c:pt>
                <c:pt idx="17">
                  <c:v>81999</c:v>
                </c:pt>
                <c:pt idx="18">
                  <c:v>79531</c:v>
                </c:pt>
                <c:pt idx="19">
                  <c:v>85397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6A-42DD-B509-FD1776D2A8B6}"/>
            </c:ext>
          </c:extLst>
        </c:ser>
        <c:ser>
          <c:idx val="2"/>
          <c:order val="2"/>
          <c:tx>
            <c:strRef>
              <c:f>'Registered Vehicles'!$W$35</c:f>
              <c:strCache>
                <c:ptCount val="1"/>
                <c:pt idx="0">
                  <c:v>Trucks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3252251819182451"/>
                  <c:y val="-1.637686018579329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Vehicles'!$W$36:$W$55</c:f>
              <c:numCache>
                <c:formatCode>#,##0</c:formatCode>
                <c:ptCount val="20"/>
                <c:pt idx="0">
                  <c:v>14272065</c:v>
                </c:pt>
                <c:pt idx="1">
                  <c:v>13729589</c:v>
                </c:pt>
                <c:pt idx="2">
                  <c:v>13522053</c:v>
                </c:pt>
                <c:pt idx="3">
                  <c:v>13037296</c:v>
                </c:pt>
                <c:pt idx="4">
                  <c:v>12959673</c:v>
                </c:pt>
                <c:pt idx="5">
                  <c:v>12189465</c:v>
                </c:pt>
                <c:pt idx="6">
                  <c:v>11672891</c:v>
                </c:pt>
                <c:pt idx="7">
                  <c:v>11870179</c:v>
                </c:pt>
                <c:pt idx="8">
                  <c:v>10156094</c:v>
                </c:pt>
                <c:pt idx="9">
                  <c:v>8765686</c:v>
                </c:pt>
                <c:pt idx="10">
                  <c:v>9284557</c:v>
                </c:pt>
                <c:pt idx="11">
                  <c:v>9284324</c:v>
                </c:pt>
                <c:pt idx="12">
                  <c:v>9179573</c:v>
                </c:pt>
                <c:pt idx="13">
                  <c:v>8642899</c:v>
                </c:pt>
                <c:pt idx="14">
                  <c:v>8468172</c:v>
                </c:pt>
                <c:pt idx="15">
                  <c:v>8084417</c:v>
                </c:pt>
                <c:pt idx="16">
                  <c:v>6962883</c:v>
                </c:pt>
                <c:pt idx="17">
                  <c:v>6773418</c:v>
                </c:pt>
                <c:pt idx="18">
                  <c:v>6554917</c:v>
                </c:pt>
                <c:pt idx="19">
                  <c:v>6368516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E6A-42DD-B509-FD1776D2A8B6}"/>
            </c:ext>
          </c:extLst>
        </c:ser>
        <c:ser>
          <c:idx val="3"/>
          <c:order val="3"/>
          <c:tx>
            <c:strRef>
              <c:f>'Registered Vehicles'!$X$35</c:f>
              <c:strCache>
                <c:ptCount val="1"/>
                <c:pt idx="0">
                  <c:v>Motorcycles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3110566163476961"/>
                  <c:y val="-9.3226789976827932E-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Vehicles'!$X$36:$X$55</c:f>
              <c:numCache>
                <c:formatCode>#,##0</c:formatCode>
                <c:ptCount val="20"/>
                <c:pt idx="0">
                  <c:v>351367</c:v>
                </c:pt>
                <c:pt idx="1">
                  <c:v>349082</c:v>
                </c:pt>
                <c:pt idx="2">
                  <c:v>364690</c:v>
                </c:pt>
                <c:pt idx="3">
                  <c:v>374919</c:v>
                </c:pt>
                <c:pt idx="4">
                  <c:v>387149</c:v>
                </c:pt>
                <c:pt idx="5">
                  <c:v>445395</c:v>
                </c:pt>
                <c:pt idx="6">
                  <c:v>443856</c:v>
                </c:pt>
                <c:pt idx="7">
                  <c:v>448399</c:v>
                </c:pt>
                <c:pt idx="8">
                  <c:v>442483</c:v>
                </c:pt>
                <c:pt idx="9">
                  <c:v>431505</c:v>
                </c:pt>
                <c:pt idx="10">
                  <c:v>439145</c:v>
                </c:pt>
                <c:pt idx="11">
                  <c:v>439145</c:v>
                </c:pt>
                <c:pt idx="12">
                  <c:v>387915</c:v>
                </c:pt>
                <c:pt idx="13">
                  <c:v>355878</c:v>
                </c:pt>
                <c:pt idx="14">
                  <c:v>331213</c:v>
                </c:pt>
                <c:pt idx="15">
                  <c:v>286992</c:v>
                </c:pt>
                <c:pt idx="16">
                  <c:v>261553</c:v>
                </c:pt>
                <c:pt idx="17">
                  <c:v>234922</c:v>
                </c:pt>
                <c:pt idx="18">
                  <c:v>213299</c:v>
                </c:pt>
                <c:pt idx="19">
                  <c:v>187174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E6A-42DD-B509-FD1776D2A8B6}"/>
            </c:ext>
          </c:extLst>
        </c:ser>
        <c:ser>
          <c:idx val="4"/>
          <c:order val="4"/>
          <c:tx>
            <c:strRef>
              <c:f>'Registered Vehicles'!$Y$35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2835529302401585"/>
                  <c:y val="-2.9488577276000388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Vehicles'!$Y$36:$Y$55</c:f>
              <c:numCache>
                <c:formatCode>#,##0</c:formatCode>
                <c:ptCount val="20"/>
                <c:pt idx="0">
                  <c:v>23007146</c:v>
                </c:pt>
                <c:pt idx="1">
                  <c:v>22186241</c:v>
                </c:pt>
                <c:pt idx="2">
                  <c:v>22130765</c:v>
                </c:pt>
                <c:pt idx="3">
                  <c:v>21766166</c:v>
                </c:pt>
                <c:pt idx="4">
                  <c:v>21864841</c:v>
                </c:pt>
                <c:pt idx="5">
                  <c:v>20877026</c:v>
                </c:pt>
                <c:pt idx="6">
                  <c:v>20171135</c:v>
                </c:pt>
                <c:pt idx="7">
                  <c:v>20238122</c:v>
                </c:pt>
                <c:pt idx="8">
                  <c:v>19617055</c:v>
                </c:pt>
                <c:pt idx="9">
                  <c:v>17625064</c:v>
                </c:pt>
                <c:pt idx="10">
                  <c:v>18647315</c:v>
                </c:pt>
                <c:pt idx="11">
                  <c:v>18647093</c:v>
                </c:pt>
                <c:pt idx="12">
                  <c:v>18460063</c:v>
                </c:pt>
                <c:pt idx="13">
                  <c:v>17894266</c:v>
                </c:pt>
                <c:pt idx="14">
                  <c:v>17800760</c:v>
                </c:pt>
                <c:pt idx="15">
                  <c:v>17193706</c:v>
                </c:pt>
                <c:pt idx="16">
                  <c:v>15150333</c:v>
                </c:pt>
                <c:pt idx="17">
                  <c:v>14899250</c:v>
                </c:pt>
                <c:pt idx="18">
                  <c:v>14572056</c:v>
                </c:pt>
                <c:pt idx="19">
                  <c:v>14257270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E6A-42DD-B509-FD1776D2A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21487"/>
        <c:axId val="2097271311"/>
      </c:scatterChart>
      <c:valAx>
        <c:axId val="22182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71311"/>
        <c:crosses val="autoZero"/>
        <c:crossBetween val="midCat"/>
      </c:valAx>
      <c:valAx>
        <c:axId val="20972713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# of Registered Vehicles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2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of Total # of Electric</a:t>
            </a:r>
            <a:r>
              <a:rPr lang="en-US" baseline="0"/>
              <a:t> &amp; Hybrid Vehicles</a:t>
            </a:r>
            <a:r>
              <a:rPr lang="en-US"/>
              <a:t> in Texas,</a:t>
            </a:r>
          </a:p>
          <a:p>
            <a:pPr>
              <a:defRPr/>
            </a:pPr>
            <a:r>
              <a:rPr lang="en-US" sz="1200"/>
              <a:t>Based on Growth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Actual EV Total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EV!$M$50:$Q$50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EV!$M$52:$Q$52</c:f>
              <c:numCache>
                <c:formatCode>#,##0</c:formatCode>
                <c:ptCount val="5"/>
                <c:pt idx="0">
                  <c:v>8397</c:v>
                </c:pt>
                <c:pt idx="1">
                  <c:v>11724</c:v>
                </c:pt>
                <c:pt idx="2">
                  <c:v>18990</c:v>
                </c:pt>
                <c:pt idx="3">
                  <c:v>29540</c:v>
                </c:pt>
                <c:pt idx="4">
                  <c:v>36418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2-4128-B9F1-10CB1BD37A8D}"/>
            </c:ext>
          </c:extLst>
        </c:ser>
        <c:ser>
          <c:idx val="0"/>
          <c:order val="1"/>
          <c:tx>
            <c:v>Forecasted EV Total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EV!$B$10:$B$40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EV!$D$10:$D$40</c:f>
              <c:numCache>
                <c:formatCode>0.000</c:formatCode>
                <c:ptCount val="31"/>
                <c:pt idx="0">
                  <c:v>40059.800000000003</c:v>
                </c:pt>
                <c:pt idx="1">
                  <c:v>74302.025600000008</c:v>
                </c:pt>
                <c:pt idx="2">
                  <c:v>124431.98240000001</c:v>
                </c:pt>
                <c:pt idx="3">
                  <c:v>174084.97039999999</c:v>
                </c:pt>
                <c:pt idx="4">
                  <c:v>224992.77679999999</c:v>
                </c:pt>
                <c:pt idx="5">
                  <c:v>279358.79839999997</c:v>
                </c:pt>
                <c:pt idx="6">
                  <c:v>337732.73599999998</c:v>
                </c:pt>
                <c:pt idx="7">
                  <c:v>400603.04239999992</c:v>
                </c:pt>
                <c:pt idx="8">
                  <c:v>466627.62079999992</c:v>
                </c:pt>
                <c:pt idx="9">
                  <c:v>535713.06799999997</c:v>
                </c:pt>
                <c:pt idx="10">
                  <c:v>608481.09519999987</c:v>
                </c:pt>
                <c:pt idx="11">
                  <c:v>684931.70239999995</c:v>
                </c:pt>
                <c:pt idx="12">
                  <c:v>765064.88959999988</c:v>
                </c:pt>
                <c:pt idx="13">
                  <c:v>848880.65679999988</c:v>
                </c:pt>
                <c:pt idx="14">
                  <c:v>936379.00399999996</c:v>
                </c:pt>
                <c:pt idx="15">
                  <c:v>1027559.9312</c:v>
                </c:pt>
                <c:pt idx="16">
                  <c:v>1122423.4383999999</c:v>
                </c:pt>
                <c:pt idx="17">
                  <c:v>1220969.5256000001</c:v>
                </c:pt>
                <c:pt idx="18">
                  <c:v>1323198.1927999998</c:v>
                </c:pt>
                <c:pt idx="19">
                  <c:v>1429109.44</c:v>
                </c:pt>
                <c:pt idx="20">
                  <c:v>1538703.2672000001</c:v>
                </c:pt>
                <c:pt idx="21">
                  <c:v>1651979.6744000001</c:v>
                </c:pt>
                <c:pt idx="22">
                  <c:v>1768938.6616</c:v>
                </c:pt>
                <c:pt idx="23">
                  <c:v>1889580.2287999999</c:v>
                </c:pt>
                <c:pt idx="24">
                  <c:v>2013904.3760000002</c:v>
                </c:pt>
                <c:pt idx="25">
                  <c:v>2141911.1032000002</c:v>
                </c:pt>
                <c:pt idx="26">
                  <c:v>2273600.4104000004</c:v>
                </c:pt>
                <c:pt idx="27">
                  <c:v>2408972.2976000002</c:v>
                </c:pt>
                <c:pt idx="28">
                  <c:v>2548026.7648000005</c:v>
                </c:pt>
                <c:pt idx="29">
                  <c:v>2690763.8120000008</c:v>
                </c:pt>
                <c:pt idx="30">
                  <c:v>2837183.4392000004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52-4128-B9F1-10CB1BD37A8D}"/>
            </c:ext>
          </c:extLst>
        </c:ser>
        <c:ser>
          <c:idx val="2"/>
          <c:order val="2"/>
          <c:tx>
            <c:v>Actual Hybrid Total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'Hybrid Vehicle Projection'!$C$8:$C$12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xVal>
          <c:yVal>
            <c:numRef>
              <c:f>'Hybrid Vehicle Projection'!$D$8:$D$12</c:f>
              <c:numCache>
                <c:formatCode>#,##0</c:formatCode>
                <c:ptCount val="5"/>
                <c:pt idx="0">
                  <c:v>199096</c:v>
                </c:pt>
                <c:pt idx="1">
                  <c:v>217084</c:v>
                </c:pt>
                <c:pt idx="2">
                  <c:v>233645</c:v>
                </c:pt>
                <c:pt idx="3">
                  <c:v>225212</c:v>
                </c:pt>
                <c:pt idx="4">
                  <c:v>201629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52-4128-B9F1-10CB1BD37A8D}"/>
            </c:ext>
          </c:extLst>
        </c:ser>
        <c:ser>
          <c:idx val="3"/>
          <c:order val="3"/>
          <c:tx>
            <c:v>Forecasted Hybrid Total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'Hybrid Vehicle Projection'!$C$12:$C$42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'Hybrid Vehicle Projection'!$D$12:$D$42</c:f>
              <c:numCache>
                <c:formatCode>#,##0</c:formatCode>
                <c:ptCount val="31"/>
                <c:pt idx="0">
                  <c:v>201629</c:v>
                </c:pt>
                <c:pt idx="1">
                  <c:v>221716.787048</c:v>
                </c:pt>
                <c:pt idx="2">
                  <c:v>243335.89032800001</c:v>
                </c:pt>
                <c:pt idx="3">
                  <c:v>265620.98765600001</c:v>
                </c:pt>
                <c:pt idx="4">
                  <c:v>288962.90600000002</c:v>
                </c:pt>
                <c:pt idx="5">
                  <c:v>313447.71341600001</c:v>
                </c:pt>
                <c:pt idx="6">
                  <c:v>342520.998272</c:v>
                </c:pt>
                <c:pt idx="7">
                  <c:v>373602.70109599998</c:v>
                </c:pt>
                <c:pt idx="8">
                  <c:v>405850.48510399996</c:v>
                </c:pt>
                <c:pt idx="9">
                  <c:v>439027.04631199996</c:v>
                </c:pt>
                <c:pt idx="10">
                  <c:v>473310.27675199998</c:v>
                </c:pt>
                <c:pt idx="11">
                  <c:v>508830.71609599999</c:v>
                </c:pt>
                <c:pt idx="12">
                  <c:v>545521.26716000005</c:v>
                </c:pt>
                <c:pt idx="13">
                  <c:v>583427.59032800002</c:v>
                </c:pt>
                <c:pt idx="14">
                  <c:v>622584.29141599999</c:v>
                </c:pt>
                <c:pt idx="15">
                  <c:v>662691.09514400002</c:v>
                </c:pt>
                <c:pt idx="16">
                  <c:v>703616.88485600008</c:v>
                </c:pt>
                <c:pt idx="17">
                  <c:v>745456.58868800011</c:v>
                </c:pt>
                <c:pt idx="18">
                  <c:v>788286.91349600011</c:v>
                </c:pt>
                <c:pt idx="19">
                  <c:v>831920.29145600006</c:v>
                </c:pt>
                <c:pt idx="20">
                  <c:v>876413.43404000008</c:v>
                </c:pt>
                <c:pt idx="21">
                  <c:v>921875.65988000005</c:v>
                </c:pt>
                <c:pt idx="22">
                  <c:v>968433.66951200005</c:v>
                </c:pt>
                <c:pt idx="23">
                  <c:v>1015750.2690320001</c:v>
                </c:pt>
                <c:pt idx="24">
                  <c:v>1064031.8231360002</c:v>
                </c:pt>
                <c:pt idx="25">
                  <c:v>1113661.3775120003</c:v>
                </c:pt>
                <c:pt idx="26">
                  <c:v>1164476.1370640004</c:v>
                </c:pt>
                <c:pt idx="27">
                  <c:v>1216333.1656640004</c:v>
                </c:pt>
                <c:pt idx="28">
                  <c:v>1269279.8128880004</c:v>
                </c:pt>
                <c:pt idx="29">
                  <c:v>1323033.6795200005</c:v>
                </c:pt>
                <c:pt idx="30">
                  <c:v>1377596.2522160006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52-4128-B9F1-10CB1BD37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41215"/>
        <c:axId val="745959791"/>
      </c:scatterChart>
      <c:valAx>
        <c:axId val="26654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59791"/>
        <c:crosses val="autoZero"/>
        <c:crossBetween val="midCat"/>
      </c:valAx>
      <c:valAx>
        <c:axId val="74595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Electric</a:t>
                </a:r>
                <a:r>
                  <a:rPr lang="en-US" baseline="0"/>
                  <a:t> Vehicles Sold, to Date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4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Conventional and Electric Vehicle Sales,</a:t>
            </a:r>
          </a:p>
          <a:p>
            <a:pPr>
              <a:defRPr/>
            </a:pPr>
            <a:r>
              <a:rPr lang="en-US"/>
              <a:t>based</a:t>
            </a:r>
            <a:r>
              <a:rPr lang="en-US" baseline="0"/>
              <a:t> on Oil Price Estimate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EV!$G$50</c:f>
              <c:strCache>
                <c:ptCount val="1"/>
                <c:pt idx="0">
                  <c:v>Estimated Thousands of Conventional Vehicle Sales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EV!$B$51:$B$81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EV!$G$51:$G$81</c:f>
              <c:numCache>
                <c:formatCode>0.000</c:formatCode>
                <c:ptCount val="31"/>
                <c:pt idx="0">
                  <c:v>881.42990763724799</c:v>
                </c:pt>
                <c:pt idx="1">
                  <c:v>977.76651512313595</c:v>
                </c:pt>
                <c:pt idx="2">
                  <c:v>1041.435095326656</c:v>
                </c:pt>
                <c:pt idx="3">
                  <c:v>1039.464028788864</c:v>
                </c:pt>
                <c:pt idx="4">
                  <c:v>1045.205418842304</c:v>
                </c:pt>
                <c:pt idx="5">
                  <c:v>1074.4714083976319</c:v>
                </c:pt>
                <c:pt idx="6">
                  <c:v>1071.4566521867519</c:v>
                </c:pt>
                <c:pt idx="7">
                  <c:v>1050.4226092517758</c:v>
                </c:pt>
                <c:pt idx="8">
                  <c:v>1050.9430085854078</c:v>
                </c:pt>
                <c:pt idx="9">
                  <c:v>1052.062920759744</c:v>
                </c:pt>
                <c:pt idx="10">
                  <c:v>1047.9450701064959</c:v>
                </c:pt>
                <c:pt idx="11">
                  <c:v>1049.101042887168</c:v>
                </c:pt>
                <c:pt idx="12">
                  <c:v>1040.6390028762239</c:v>
                </c:pt>
                <c:pt idx="13">
                  <c:v>1037.4643953820798</c:v>
                </c:pt>
                <c:pt idx="14">
                  <c:v>1038.442541955648</c:v>
                </c:pt>
                <c:pt idx="15">
                  <c:v>1028.3276070908159</c:v>
                </c:pt>
                <c:pt idx="16">
                  <c:v>1014.9591608209919</c:v>
                </c:pt>
                <c:pt idx="17">
                  <c:v>1005.1463412708479</c:v>
                </c:pt>
                <c:pt idx="18">
                  <c:v>1000.5137131877759</c:v>
                </c:pt>
                <c:pt idx="19">
                  <c:v>992.25636797395202</c:v>
                </c:pt>
                <c:pt idx="20">
                  <c:v>980.52294380140802</c:v>
                </c:pt>
                <c:pt idx="21">
                  <c:v>976.87030982111992</c:v>
                </c:pt>
                <c:pt idx="22">
                  <c:v>975.26947082841593</c:v>
                </c:pt>
                <c:pt idx="23">
                  <c:v>966.54031588953603</c:v>
                </c:pt>
                <c:pt idx="24">
                  <c:v>961.8280427279999</c:v>
                </c:pt>
                <c:pt idx="25">
                  <c:v>961.69899704505588</c:v>
                </c:pt>
                <c:pt idx="26">
                  <c:v>955.72210588147198</c:v>
                </c:pt>
                <c:pt idx="27">
                  <c:v>949.38653295532799</c:v>
                </c:pt>
                <c:pt idx="28">
                  <c:v>941.58823998143987</c:v>
                </c:pt>
                <c:pt idx="29">
                  <c:v>934.33205340633594</c:v>
                </c:pt>
                <c:pt idx="30">
                  <c:v>923.65342605907199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39-4BEF-82FE-DA57C875F93D}"/>
            </c:ext>
          </c:extLst>
        </c:ser>
        <c:ser>
          <c:idx val="4"/>
          <c:order val="4"/>
          <c:tx>
            <c:strRef>
              <c:f>EV!$H$50</c:f>
              <c:strCache>
                <c:ptCount val="1"/>
                <c:pt idx="0">
                  <c:v>Low oil Price-Gasoline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EV!$B$51:$B$81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EV!$H$51:$H$81</c:f>
              <c:numCache>
                <c:formatCode>General</c:formatCode>
                <c:ptCount val="31"/>
                <c:pt idx="0">
                  <c:v>882.48993715199992</c:v>
                </c:pt>
                <c:pt idx="1">
                  <c:v>1002.2078844719999</c:v>
                </c:pt>
                <c:pt idx="2">
                  <c:v>1069.2431690159999</c:v>
                </c:pt>
                <c:pt idx="3">
                  <c:v>1044.1300754399999</c:v>
                </c:pt>
                <c:pt idx="4">
                  <c:v>1055.2343844719999</c:v>
                </c:pt>
                <c:pt idx="5">
                  <c:v>1096.1137649039999</c:v>
                </c:pt>
                <c:pt idx="6">
                  <c:v>1095.911982672</c:v>
                </c:pt>
                <c:pt idx="7">
                  <c:v>1076.7368089199999</c:v>
                </c:pt>
                <c:pt idx="8">
                  <c:v>1079.2095966959998</c:v>
                </c:pt>
                <c:pt idx="9">
                  <c:v>1087.897277496</c:v>
                </c:pt>
                <c:pt idx="10">
                  <c:v>1090.3272452639999</c:v>
                </c:pt>
                <c:pt idx="11">
                  <c:v>1095.1202311679999</c:v>
                </c:pt>
                <c:pt idx="12">
                  <c:v>1092.740815272</c:v>
                </c:pt>
                <c:pt idx="13">
                  <c:v>1094.7928766159998</c:v>
                </c:pt>
                <c:pt idx="14">
                  <c:v>1099.688665896</c:v>
                </c:pt>
                <c:pt idx="15">
                  <c:v>1096.190399376</c:v>
                </c:pt>
                <c:pt idx="16">
                  <c:v>1087.823871072</c:v>
                </c:pt>
                <c:pt idx="17">
                  <c:v>1080.6786564239999</c:v>
                </c:pt>
                <c:pt idx="18">
                  <c:v>1079.241456792</c:v>
                </c:pt>
                <c:pt idx="19">
                  <c:v>1073.467681608</c:v>
                </c:pt>
                <c:pt idx="20">
                  <c:v>1066.2051359760001</c:v>
                </c:pt>
                <c:pt idx="21">
                  <c:v>1067.827379736</c:v>
                </c:pt>
                <c:pt idx="22">
                  <c:v>1064.1157766880001</c:v>
                </c:pt>
                <c:pt idx="23">
                  <c:v>1056.465383664</c:v>
                </c:pt>
                <c:pt idx="24">
                  <c:v>1055.3979347279999</c:v>
                </c:pt>
                <c:pt idx="25">
                  <c:v>1058.0806611599999</c:v>
                </c:pt>
                <c:pt idx="26">
                  <c:v>1055.327331792</c:v>
                </c:pt>
                <c:pt idx="27">
                  <c:v>1050.4846438320001</c:v>
                </c:pt>
                <c:pt idx="28">
                  <c:v>1045.6437390239998</c:v>
                </c:pt>
                <c:pt idx="29">
                  <c:v>1041.4941619680001</c:v>
                </c:pt>
                <c:pt idx="30">
                  <c:v>1036.2316816079999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39-4BEF-82FE-DA57C875F93D}"/>
            </c:ext>
          </c:extLst>
        </c:ser>
        <c:ser>
          <c:idx val="5"/>
          <c:order val="5"/>
          <c:tx>
            <c:strRef>
              <c:f>EV!$I$50</c:f>
              <c:strCache>
                <c:ptCount val="1"/>
                <c:pt idx="0">
                  <c:v>High Oil Price-Gasoline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EV!$B$51:$B$81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EV!$I$51:$I$81</c:f>
              <c:numCache>
                <c:formatCode>General</c:formatCode>
                <c:ptCount val="31"/>
                <c:pt idx="0">
                  <c:v>879.94178927999997</c:v>
                </c:pt>
                <c:pt idx="1">
                  <c:v>943.45459276799988</c:v>
                </c:pt>
                <c:pt idx="2">
                  <c:v>1002.3968380319999</c:v>
                </c:pt>
                <c:pt idx="3">
                  <c:v>1032.913617144</c:v>
                </c:pt>
                <c:pt idx="4">
                  <c:v>1031.126294016</c:v>
                </c:pt>
                <c:pt idx="5">
                  <c:v>1044.0888694559999</c:v>
                </c:pt>
                <c:pt idx="6">
                  <c:v>1037.1251305439998</c:v>
                </c:pt>
                <c:pt idx="7">
                  <c:v>1013.481521256</c:v>
                </c:pt>
                <c:pt idx="8">
                  <c:v>1011.2610675839999</c:v>
                </c:pt>
                <c:pt idx="9">
                  <c:v>1001.7569968799999</c:v>
                </c:pt>
                <c:pt idx="10">
                  <c:v>988.44701651999992</c:v>
                </c:pt>
                <c:pt idx="11">
                  <c:v>984.49718241599999</c:v>
                </c:pt>
                <c:pt idx="12">
                  <c:v>967.49607393600002</c:v>
                </c:pt>
                <c:pt idx="13">
                  <c:v>956.98402749599995</c:v>
                </c:pt>
                <c:pt idx="14">
                  <c:v>952.46240642399994</c:v>
                </c:pt>
                <c:pt idx="15">
                  <c:v>933.05868715199995</c:v>
                </c:pt>
                <c:pt idx="16">
                  <c:v>912.66831758399985</c:v>
                </c:pt>
                <c:pt idx="17">
                  <c:v>899.11059115199998</c:v>
                </c:pt>
                <c:pt idx="18">
                  <c:v>889.9920731279999</c:v>
                </c:pt>
                <c:pt idx="19">
                  <c:v>878.24817768000003</c:v>
                </c:pt>
                <c:pt idx="20">
                  <c:v>860.23832786399998</c:v>
                </c:pt>
                <c:pt idx="21">
                  <c:v>849.18057705599983</c:v>
                </c:pt>
                <c:pt idx="22">
                  <c:v>850.54292606399986</c:v>
                </c:pt>
                <c:pt idx="23">
                  <c:v>840.29935535999994</c:v>
                </c:pt>
                <c:pt idx="24">
                  <c:v>830.47030972799985</c:v>
                </c:pt>
                <c:pt idx="25">
                  <c:v>826.39396857599991</c:v>
                </c:pt>
                <c:pt idx="26">
                  <c:v>815.89169258399988</c:v>
                </c:pt>
                <c:pt idx="27">
                  <c:v>807.46033883999985</c:v>
                </c:pt>
                <c:pt idx="28">
                  <c:v>795.51032786400003</c:v>
                </c:pt>
                <c:pt idx="29">
                  <c:v>783.89293946399982</c:v>
                </c:pt>
                <c:pt idx="30">
                  <c:v>765.61087499999996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39-4BEF-82FE-DA57C875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899327"/>
        <c:axId val="1060898079"/>
      </c:scatterChart>
      <c:scatterChart>
        <c:scatterStyle val="smoothMarker"/>
        <c:varyColors val="0"/>
        <c:ser>
          <c:idx val="0"/>
          <c:order val="0"/>
          <c:tx>
            <c:strRef>
              <c:f>EV!$D$50</c:f>
              <c:strCache>
                <c:ptCount val="1"/>
                <c:pt idx="0">
                  <c:v>Estimated Thousands of EV Vehicle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EV!$B$51:$B$81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EV!$D$51:$D$81</c:f>
              <c:numCache>
                <c:formatCode>0.000</c:formatCode>
                <c:ptCount val="31"/>
                <c:pt idx="0">
                  <c:v>12.96280885056</c:v>
                </c:pt>
                <c:pt idx="1">
                  <c:v>13.481474988287999</c:v>
                </c:pt>
                <c:pt idx="2">
                  <c:v>14.689559677631998</c:v>
                </c:pt>
                <c:pt idx="3">
                  <c:v>15.112687476672001</c:v>
                </c:pt>
                <c:pt idx="4">
                  <c:v>16.193495926655999</c:v>
                </c:pt>
                <c:pt idx="5">
                  <c:v>17.46324348768</c:v>
                </c:pt>
                <c:pt idx="6">
                  <c:v>18.712917155904002</c:v>
                </c:pt>
                <c:pt idx="7">
                  <c:v>20.067023346816001</c:v>
                </c:pt>
                <c:pt idx="8">
                  <c:v>22.427617531967996</c:v>
                </c:pt>
                <c:pt idx="9">
                  <c:v>25.352714866943998</c:v>
                </c:pt>
                <c:pt idx="10">
                  <c:v>28.77374146176</c:v>
                </c:pt>
                <c:pt idx="11">
                  <c:v>32.805228620927998</c:v>
                </c:pt>
                <c:pt idx="12">
                  <c:v>37.039500686400004</c:v>
                </c:pt>
                <c:pt idx="13">
                  <c:v>41.972967124607997</c:v>
                </c:pt>
                <c:pt idx="14">
                  <c:v>47.331550557695998</c:v>
                </c:pt>
                <c:pt idx="15">
                  <c:v>52.562841119807999</c:v>
                </c:pt>
                <c:pt idx="16">
                  <c:v>57.608764593215994</c:v>
                </c:pt>
                <c:pt idx="17">
                  <c:v>62.801372806079996</c:v>
                </c:pt>
                <c:pt idx="18">
                  <c:v>68.096584865663999</c:v>
                </c:pt>
                <c:pt idx="19">
                  <c:v>73.007382249792002</c:v>
                </c:pt>
                <c:pt idx="20">
                  <c:v>77.620160078783996</c:v>
                </c:pt>
                <c:pt idx="21">
                  <c:v>81.147773845247997</c:v>
                </c:pt>
                <c:pt idx="22">
                  <c:v>85.245625005312007</c:v>
                </c:pt>
                <c:pt idx="23">
                  <c:v>88.725489402239987</c:v>
                </c:pt>
                <c:pt idx="24">
                  <c:v>92.425008559487992</c:v>
                </c:pt>
                <c:pt idx="25">
                  <c:v>96.911765059391982</c:v>
                </c:pt>
                <c:pt idx="26">
                  <c:v>100.87987808889599</c:v>
                </c:pt>
                <c:pt idx="27">
                  <c:v>105.061290908736</c:v>
                </c:pt>
                <c:pt idx="28">
                  <c:v>109.40202360748799</c:v>
                </c:pt>
                <c:pt idx="29">
                  <c:v>113.42057077363198</c:v>
                </c:pt>
                <c:pt idx="30">
                  <c:v>117.100388403648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39-4BEF-82FE-DA57C875F93D}"/>
            </c:ext>
          </c:extLst>
        </c:ser>
        <c:ser>
          <c:idx val="1"/>
          <c:order val="1"/>
          <c:tx>
            <c:strRef>
              <c:f>EV!$E$50</c:f>
              <c:strCache>
                <c:ptCount val="1"/>
                <c:pt idx="0">
                  <c:v>Low oil 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EV!$B$51:$B$81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EV!$E$51:$E$81</c:f>
              <c:numCache>
                <c:formatCode>0.000</c:formatCode>
                <c:ptCount val="31"/>
                <c:pt idx="0">
                  <c:v>12.029320175999999</c:v>
                </c:pt>
                <c:pt idx="1">
                  <c:v>12.259666944000001</c:v>
                </c:pt>
                <c:pt idx="2">
                  <c:v>12.607336343999998</c:v>
                </c:pt>
                <c:pt idx="3">
                  <c:v>12.15931836</c:v>
                </c:pt>
                <c:pt idx="4">
                  <c:v>12.827879952</c:v>
                </c:pt>
                <c:pt idx="5">
                  <c:v>13.758447959999998</c:v>
                </c:pt>
                <c:pt idx="6">
                  <c:v>14.658678024</c:v>
                </c:pt>
                <c:pt idx="7">
                  <c:v>15.564092592</c:v>
                </c:pt>
                <c:pt idx="8">
                  <c:v>17.316217607999999</c:v>
                </c:pt>
                <c:pt idx="9">
                  <c:v>19.618149215999999</c:v>
                </c:pt>
                <c:pt idx="10">
                  <c:v>22.227467135999998</c:v>
                </c:pt>
                <c:pt idx="11">
                  <c:v>25.407005327999997</c:v>
                </c:pt>
                <c:pt idx="12">
                  <c:v>28.853007816000002</c:v>
                </c:pt>
                <c:pt idx="13">
                  <c:v>32.849976431999998</c:v>
                </c:pt>
                <c:pt idx="14">
                  <c:v>37.071281855999999</c:v>
                </c:pt>
                <c:pt idx="15">
                  <c:v>41.170843655999995</c:v>
                </c:pt>
                <c:pt idx="16">
                  <c:v>45.157375752</c:v>
                </c:pt>
                <c:pt idx="17">
                  <c:v>49.213331063999995</c:v>
                </c:pt>
                <c:pt idx="18">
                  <c:v>53.535001775999994</c:v>
                </c:pt>
                <c:pt idx="19">
                  <c:v>57.543873383999994</c:v>
                </c:pt>
                <c:pt idx="20">
                  <c:v>61.330576919999999</c:v>
                </c:pt>
                <c:pt idx="21">
                  <c:v>64.379479391999993</c:v>
                </c:pt>
                <c:pt idx="22">
                  <c:v>67.129149888000001</c:v>
                </c:pt>
                <c:pt idx="23">
                  <c:v>69.778263695999996</c:v>
                </c:pt>
                <c:pt idx="24">
                  <c:v>72.825966959999988</c:v>
                </c:pt>
                <c:pt idx="25">
                  <c:v>76.204911239999987</c:v>
                </c:pt>
                <c:pt idx="26">
                  <c:v>79.295726135999985</c:v>
                </c:pt>
                <c:pt idx="27">
                  <c:v>82.483577351999998</c:v>
                </c:pt>
                <c:pt idx="28">
                  <c:v>85.766633015999986</c:v>
                </c:pt>
                <c:pt idx="29">
                  <c:v>89.022468815999986</c:v>
                </c:pt>
                <c:pt idx="30">
                  <c:v>92.389571352000004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539-4BEF-82FE-DA57C875F93D}"/>
            </c:ext>
          </c:extLst>
        </c:ser>
        <c:ser>
          <c:idx val="2"/>
          <c:order val="2"/>
          <c:tx>
            <c:strRef>
              <c:f>EV!$F$50</c:f>
              <c:strCache>
                <c:ptCount val="1"/>
                <c:pt idx="0">
                  <c:v>High Oil Price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EV!$B$51:$B$81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EV!$F$51:$F$81</c:f>
              <c:numCache>
                <c:formatCode>0.000</c:formatCode>
                <c:ptCount val="31"/>
                <c:pt idx="0">
                  <c:v>14.273283336</c:v>
                </c:pt>
                <c:pt idx="1">
                  <c:v>15.196705511999999</c:v>
                </c:pt>
                <c:pt idx="2">
                  <c:v>17.612680895999997</c:v>
                </c:pt>
                <c:pt idx="3">
                  <c:v>19.258763351999999</c:v>
                </c:pt>
                <c:pt idx="4">
                  <c:v>20.918302967999999</c:v>
                </c:pt>
                <c:pt idx="5">
                  <c:v>22.664206440000001</c:v>
                </c:pt>
                <c:pt idx="6">
                  <c:v>24.404445168000002</c:v>
                </c:pt>
                <c:pt idx="7">
                  <c:v>26.388445367999999</c:v>
                </c:pt>
                <c:pt idx="8">
                  <c:v>29.603236655999996</c:v>
                </c:pt>
                <c:pt idx="9">
                  <c:v>33.403162799999997</c:v>
                </c:pt>
                <c:pt idx="10">
                  <c:v>37.963703496000001</c:v>
                </c:pt>
                <c:pt idx="11">
                  <c:v>43.191195936</c:v>
                </c:pt>
                <c:pt idx="12">
                  <c:v>48.532077215999998</c:v>
                </c:pt>
                <c:pt idx="13">
                  <c:v>54.780242519999994</c:v>
                </c:pt>
                <c:pt idx="14">
                  <c:v>61.735389311999995</c:v>
                </c:pt>
                <c:pt idx="15">
                  <c:v>68.555452943999995</c:v>
                </c:pt>
                <c:pt idx="16">
                  <c:v>75.088598927999996</c:v>
                </c:pt>
                <c:pt idx="17">
                  <c:v>81.876892943999991</c:v>
                </c:pt>
                <c:pt idx="18">
                  <c:v>88.53880728</c:v>
                </c:pt>
                <c:pt idx="19">
                  <c:v>94.71576969600001</c:v>
                </c:pt>
                <c:pt idx="20">
                  <c:v>100.488228744</c:v>
                </c:pt>
                <c:pt idx="21">
                  <c:v>104.68787952</c:v>
                </c:pt>
                <c:pt idx="22">
                  <c:v>110.67836892</c:v>
                </c:pt>
                <c:pt idx="23">
                  <c:v>115.324479336</c:v>
                </c:pt>
                <c:pt idx="24">
                  <c:v>119.93904772800001</c:v>
                </c:pt>
                <c:pt idx="25">
                  <c:v>125.98100215199999</c:v>
                </c:pt>
                <c:pt idx="26">
                  <c:v>131.180706792</c:v>
                </c:pt>
                <c:pt idx="27">
                  <c:v>136.75692724799998</c:v>
                </c:pt>
                <c:pt idx="28">
                  <c:v>142.582475784</c:v>
                </c:pt>
                <c:pt idx="29">
                  <c:v>147.67175236799997</c:v>
                </c:pt>
                <c:pt idx="30">
                  <c:v>151.79057387999998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539-4BEF-82FE-DA57C875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773759"/>
        <c:axId val="1150774591"/>
      </c:scatterChart>
      <c:valAx>
        <c:axId val="1060899327"/>
        <c:scaling>
          <c:orientation val="minMax"/>
          <c:max val="2050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898079"/>
        <c:crosses val="autoZero"/>
        <c:crossBetween val="midCat"/>
      </c:valAx>
      <c:valAx>
        <c:axId val="106089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Conventional Car Sales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899327"/>
        <c:crosses val="autoZero"/>
        <c:crossBetween val="midCat"/>
      </c:valAx>
      <c:valAx>
        <c:axId val="11507745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</a:t>
                </a:r>
                <a:r>
                  <a:rPr lang="en-US" baseline="0"/>
                  <a:t> Vehicle Sales (Thousands)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73759"/>
        <c:crosses val="max"/>
        <c:crossBetween val="midCat"/>
      </c:valAx>
      <c:valAx>
        <c:axId val="1150773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0774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Registered Vehicles Projection</a:t>
            </a:r>
            <a:r>
              <a:rPr lang="en-US" baseline="0"/>
              <a:t> </a:t>
            </a:r>
            <a:r>
              <a:rPr lang="en-US"/>
              <a:t>in Texas, by Type,</a:t>
            </a:r>
          </a:p>
          <a:p>
            <a:pPr>
              <a:defRPr/>
            </a:pPr>
            <a:r>
              <a:rPr lang="en-US" sz="1200"/>
              <a:t>Using</a:t>
            </a:r>
            <a:r>
              <a:rPr lang="en-US" sz="1200" baseline="0"/>
              <a:t> # of Registrations from year 2000 to 2019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'Registered Vehicles'!$U$35</c:f>
              <c:strCache>
                <c:ptCount val="1"/>
                <c:pt idx="0">
                  <c:v>Automobile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3410606375559192"/>
                  <c:y val="-3.7144588253981911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Vehicles'!$U$36:$U$55</c:f>
              <c:numCache>
                <c:formatCode>#,##0</c:formatCode>
                <c:ptCount val="20"/>
                <c:pt idx="0">
                  <c:v>8313623</c:v>
                </c:pt>
                <c:pt idx="1">
                  <c:v>8037604</c:v>
                </c:pt>
                <c:pt idx="2">
                  <c:v>8176879</c:v>
                </c:pt>
                <c:pt idx="3">
                  <c:v>8287254</c:v>
                </c:pt>
                <c:pt idx="4">
                  <c:v>8451039</c:v>
                </c:pt>
                <c:pt idx="5">
                  <c:v>8140321</c:v>
                </c:pt>
                <c:pt idx="6">
                  <c:v>7954906</c:v>
                </c:pt>
                <c:pt idx="7">
                  <c:v>7821859</c:v>
                </c:pt>
                <c:pt idx="8">
                  <c:v>8964823</c:v>
                </c:pt>
                <c:pt idx="9">
                  <c:v>8331127</c:v>
                </c:pt>
                <c:pt idx="10">
                  <c:v>8830974</c:v>
                </c:pt>
                <c:pt idx="11">
                  <c:v>8830985</c:v>
                </c:pt>
                <c:pt idx="12">
                  <c:v>8800325</c:v>
                </c:pt>
                <c:pt idx="13">
                  <c:v>8805316</c:v>
                </c:pt>
                <c:pt idx="14">
                  <c:v>8911818</c:v>
                </c:pt>
                <c:pt idx="15">
                  <c:v>8735544</c:v>
                </c:pt>
                <c:pt idx="16">
                  <c:v>7841637</c:v>
                </c:pt>
                <c:pt idx="17">
                  <c:v>7808911</c:v>
                </c:pt>
                <c:pt idx="18">
                  <c:v>7724309</c:v>
                </c:pt>
                <c:pt idx="19">
                  <c:v>7616183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39-495F-8B09-FB10B94E9D92}"/>
            </c:ext>
          </c:extLst>
        </c:ser>
        <c:ser>
          <c:idx val="1"/>
          <c:order val="1"/>
          <c:tx>
            <c:strRef>
              <c:f>'Registered Vehicles'!$V$35</c:f>
              <c:strCache>
                <c:ptCount val="1"/>
                <c:pt idx="0">
                  <c:v>Buses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Vehicles'!$V$36:$V$55</c:f>
              <c:numCache>
                <c:formatCode>#,##0</c:formatCode>
                <c:ptCount val="20"/>
                <c:pt idx="0">
                  <c:v>70091</c:v>
                </c:pt>
                <c:pt idx="1">
                  <c:v>69966</c:v>
                </c:pt>
                <c:pt idx="2">
                  <c:v>67143</c:v>
                </c:pt>
                <c:pt idx="3">
                  <c:v>66697</c:v>
                </c:pt>
                <c:pt idx="4">
                  <c:v>66980</c:v>
                </c:pt>
                <c:pt idx="5">
                  <c:v>101845</c:v>
                </c:pt>
                <c:pt idx="6">
                  <c:v>99482</c:v>
                </c:pt>
                <c:pt idx="7">
                  <c:v>97685</c:v>
                </c:pt>
                <c:pt idx="8">
                  <c:v>53655</c:v>
                </c:pt>
                <c:pt idx="9">
                  <c:v>96746</c:v>
                </c:pt>
                <c:pt idx="10">
                  <c:v>92639</c:v>
                </c:pt>
                <c:pt idx="11">
                  <c:v>92639</c:v>
                </c:pt>
                <c:pt idx="12">
                  <c:v>92250</c:v>
                </c:pt>
                <c:pt idx="13">
                  <c:v>90173</c:v>
                </c:pt>
                <c:pt idx="14">
                  <c:v>89557</c:v>
                </c:pt>
                <c:pt idx="15">
                  <c:v>86753</c:v>
                </c:pt>
                <c:pt idx="16">
                  <c:v>84260</c:v>
                </c:pt>
                <c:pt idx="17">
                  <c:v>81999</c:v>
                </c:pt>
                <c:pt idx="18">
                  <c:v>79531</c:v>
                </c:pt>
                <c:pt idx="19">
                  <c:v>85397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939-495F-8B09-FB10B94E9D92}"/>
            </c:ext>
          </c:extLst>
        </c:ser>
        <c:ser>
          <c:idx val="2"/>
          <c:order val="2"/>
          <c:tx>
            <c:strRef>
              <c:f>'Registered Vehicles'!$W$35</c:f>
              <c:strCache>
                <c:ptCount val="1"/>
                <c:pt idx="0">
                  <c:v>Trucks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3252251819182451"/>
                  <c:y val="-1.637686018579329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Vehicles'!$W$36:$W$55</c:f>
              <c:numCache>
                <c:formatCode>#,##0</c:formatCode>
                <c:ptCount val="20"/>
                <c:pt idx="0">
                  <c:v>14272065</c:v>
                </c:pt>
                <c:pt idx="1">
                  <c:v>13729589</c:v>
                </c:pt>
                <c:pt idx="2">
                  <c:v>13522053</c:v>
                </c:pt>
                <c:pt idx="3">
                  <c:v>13037296</c:v>
                </c:pt>
                <c:pt idx="4">
                  <c:v>12959673</c:v>
                </c:pt>
                <c:pt idx="5">
                  <c:v>12189465</c:v>
                </c:pt>
                <c:pt idx="6">
                  <c:v>11672891</c:v>
                </c:pt>
                <c:pt idx="7">
                  <c:v>11870179</c:v>
                </c:pt>
                <c:pt idx="8">
                  <c:v>10156094</c:v>
                </c:pt>
                <c:pt idx="9">
                  <c:v>8765686</c:v>
                </c:pt>
                <c:pt idx="10">
                  <c:v>9284557</c:v>
                </c:pt>
                <c:pt idx="11">
                  <c:v>9284324</c:v>
                </c:pt>
                <c:pt idx="12">
                  <c:v>9179573</c:v>
                </c:pt>
                <c:pt idx="13">
                  <c:v>8642899</c:v>
                </c:pt>
                <c:pt idx="14">
                  <c:v>8468172</c:v>
                </c:pt>
                <c:pt idx="15">
                  <c:v>8084417</c:v>
                </c:pt>
                <c:pt idx="16">
                  <c:v>6962883</c:v>
                </c:pt>
                <c:pt idx="17">
                  <c:v>6773418</c:v>
                </c:pt>
                <c:pt idx="18">
                  <c:v>6554917</c:v>
                </c:pt>
                <c:pt idx="19">
                  <c:v>6368516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939-495F-8B09-FB10B94E9D92}"/>
            </c:ext>
          </c:extLst>
        </c:ser>
        <c:ser>
          <c:idx val="3"/>
          <c:order val="3"/>
          <c:tx>
            <c:strRef>
              <c:f>'Registered Vehicles'!$X$35</c:f>
              <c:strCache>
                <c:ptCount val="1"/>
                <c:pt idx="0">
                  <c:v>Motorcycles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3110566163476961"/>
                  <c:y val="-9.3226789976827932E-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Vehicles'!$X$36:$X$55</c:f>
              <c:numCache>
                <c:formatCode>#,##0</c:formatCode>
                <c:ptCount val="20"/>
                <c:pt idx="0">
                  <c:v>351367</c:v>
                </c:pt>
                <c:pt idx="1">
                  <c:v>349082</c:v>
                </c:pt>
                <c:pt idx="2">
                  <c:v>364690</c:v>
                </c:pt>
                <c:pt idx="3">
                  <c:v>374919</c:v>
                </c:pt>
                <c:pt idx="4">
                  <c:v>387149</c:v>
                </c:pt>
                <c:pt idx="5">
                  <c:v>445395</c:v>
                </c:pt>
                <c:pt idx="6">
                  <c:v>443856</c:v>
                </c:pt>
                <c:pt idx="7">
                  <c:v>448399</c:v>
                </c:pt>
                <c:pt idx="8">
                  <c:v>442483</c:v>
                </c:pt>
                <c:pt idx="9">
                  <c:v>431505</c:v>
                </c:pt>
                <c:pt idx="10">
                  <c:v>439145</c:v>
                </c:pt>
                <c:pt idx="11">
                  <c:v>439145</c:v>
                </c:pt>
                <c:pt idx="12">
                  <c:v>387915</c:v>
                </c:pt>
                <c:pt idx="13">
                  <c:v>355878</c:v>
                </c:pt>
                <c:pt idx="14">
                  <c:v>331213</c:v>
                </c:pt>
                <c:pt idx="15">
                  <c:v>286992</c:v>
                </c:pt>
                <c:pt idx="16">
                  <c:v>261553</c:v>
                </c:pt>
                <c:pt idx="17">
                  <c:v>234922</c:v>
                </c:pt>
                <c:pt idx="18">
                  <c:v>213299</c:v>
                </c:pt>
                <c:pt idx="19">
                  <c:v>187174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939-495F-8B09-FB10B94E9D92}"/>
            </c:ext>
          </c:extLst>
        </c:ser>
        <c:ser>
          <c:idx val="4"/>
          <c:order val="4"/>
          <c:tx>
            <c:strRef>
              <c:f>'Registered Vehicles'!$Y$35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layout>
                <c:manualLayout>
                  <c:x val="0.12835529302401585"/>
                  <c:y val="-2.9488577276000388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'Registered Vehicles'!$T$36:$T$55</c:f>
              <c:numCache>
                <c:formatCode>General</c:formatCode>
                <c:ptCount val="20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  <c:pt idx="15">
                  <c:v>2004</c:v>
                </c:pt>
                <c:pt idx="16">
                  <c:v>2003</c:v>
                </c:pt>
                <c:pt idx="17">
                  <c:v>2002</c:v>
                </c:pt>
                <c:pt idx="18">
                  <c:v>2001</c:v>
                </c:pt>
                <c:pt idx="19">
                  <c:v>2000</c:v>
                </c:pt>
              </c:numCache>
            </c:numRef>
          </c:xVal>
          <c:yVal>
            <c:numRef>
              <c:f>'Registered Vehicles'!$Y$36:$Y$55</c:f>
              <c:numCache>
                <c:formatCode>#,##0</c:formatCode>
                <c:ptCount val="20"/>
                <c:pt idx="0">
                  <c:v>23007146</c:v>
                </c:pt>
                <c:pt idx="1">
                  <c:v>22186241</c:v>
                </c:pt>
                <c:pt idx="2">
                  <c:v>22130765</c:v>
                </c:pt>
                <c:pt idx="3">
                  <c:v>21766166</c:v>
                </c:pt>
                <c:pt idx="4">
                  <c:v>21864841</c:v>
                </c:pt>
                <c:pt idx="5">
                  <c:v>20877026</c:v>
                </c:pt>
                <c:pt idx="6">
                  <c:v>20171135</c:v>
                </c:pt>
                <c:pt idx="7">
                  <c:v>20238122</c:v>
                </c:pt>
                <c:pt idx="8">
                  <c:v>19617055</c:v>
                </c:pt>
                <c:pt idx="9">
                  <c:v>17625064</c:v>
                </c:pt>
                <c:pt idx="10">
                  <c:v>18647315</c:v>
                </c:pt>
                <c:pt idx="11">
                  <c:v>18647093</c:v>
                </c:pt>
                <c:pt idx="12">
                  <c:v>18460063</c:v>
                </c:pt>
                <c:pt idx="13">
                  <c:v>17894266</c:v>
                </c:pt>
                <c:pt idx="14">
                  <c:v>17800760</c:v>
                </c:pt>
                <c:pt idx="15">
                  <c:v>17193706</c:v>
                </c:pt>
                <c:pt idx="16">
                  <c:v>15150333</c:v>
                </c:pt>
                <c:pt idx="17">
                  <c:v>14899250</c:v>
                </c:pt>
                <c:pt idx="18">
                  <c:v>14572056</c:v>
                </c:pt>
                <c:pt idx="19">
                  <c:v>14257270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939-495F-8B09-FB10B94E9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21487"/>
        <c:axId val="2097271311"/>
      </c:scatterChart>
      <c:valAx>
        <c:axId val="22182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71311"/>
        <c:crosses val="autoZero"/>
        <c:crossBetween val="midCat"/>
      </c:valAx>
      <c:valAx>
        <c:axId val="209727131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# of Registered Vehicles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82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Emissions!$B$3</c:f>
              <c:strCache>
                <c:ptCount val="1"/>
                <c:pt idx="0">
                  <c:v>Annual Emissions per Vehicle (lbs of CO2 Equivalent)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Emissions!$A$4:$A$7</c:f>
              <c:strCache>
                <c:ptCount val="4"/>
                <c:pt idx="0">
                  <c:v>All electric</c:v>
                </c:pt>
                <c:pt idx="1">
                  <c:v>Plug in hybrid</c:v>
                </c:pt>
                <c:pt idx="2">
                  <c:v>hybrid</c:v>
                </c:pt>
                <c:pt idx="3">
                  <c:v>gasoline</c:v>
                </c:pt>
              </c:strCache>
            </c:strRef>
          </c:cat>
          <c:val>
            <c:numRef>
              <c:f>Emissions!$B$4:$B$7</c:f>
              <c:numCache>
                <c:formatCode>General</c:formatCode>
                <c:ptCount val="4"/>
                <c:pt idx="0">
                  <c:v>4023</c:v>
                </c:pt>
                <c:pt idx="1">
                  <c:v>5837</c:v>
                </c:pt>
                <c:pt idx="2">
                  <c:v>6258</c:v>
                </c:pt>
                <c:pt idx="3">
                  <c:v>11435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5-4496-AC95-F5C229D55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219519"/>
        <c:axId val="745949391"/>
      </c:barChart>
      <c:catAx>
        <c:axId val="67121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949391"/>
        <c:crosses val="autoZero"/>
        <c:auto val="1"/>
        <c:lblAlgn val="ctr"/>
        <c:lblOffset val="100"/>
        <c:noMultiLvlLbl val="0"/>
      </c:catAx>
      <c:valAx>
        <c:axId val="74594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1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49979</xdr:colOff>
      <xdr:row>7</xdr:row>
      <xdr:rowOff>54460</xdr:rowOff>
    </xdr:from>
    <xdr:to>
      <xdr:col>21</xdr:col>
      <xdr:colOff>287877</xdr:colOff>
      <xdr:row>29</xdr:row>
      <xdr:rowOff>91599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AC1960-B08D-4BCF-8039-8A40F33C3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410468</xdr:colOff>
      <xdr:row>35</xdr:row>
      <xdr:rowOff>41013</xdr:rowOff>
    </xdr:from>
    <xdr:to>
      <xdr:col>3</xdr:col>
      <xdr:colOff>0</xdr:colOff>
      <xdr:row>51</xdr:row>
      <xdr:rowOff>175483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62EA6D34-9A83-4FAB-8CA5-88A77EFA2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432434</xdr:colOff>
      <xdr:row>5</xdr:row>
      <xdr:rowOff>11429</xdr:rowOff>
    </xdr:from>
    <xdr:to>
      <xdr:col>10</xdr:col>
      <xdr:colOff>470534</xdr:colOff>
      <xdr:row>20</xdr:row>
      <xdr:rowOff>32384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1C50B3-8A9C-431D-8FEF-17835F92C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352648</xdr:colOff>
      <xdr:row>24</xdr:row>
      <xdr:rowOff>147527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3E8B0D38-D377-49E1-B278-14C569E72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2353</xdr:colOff>
      <xdr:row>0</xdr:row>
      <xdr:rowOff>16137</xdr:rowOff>
    </xdr:from>
    <xdr:to>
      <xdr:col>15</xdr:col>
      <xdr:colOff>537882</xdr:colOff>
      <xdr:row>23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20BF2759-37EB-4210-8D40-2A2DC9768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203611</xdr:colOff>
      <xdr:row>25</xdr:row>
      <xdr:rowOff>11205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713448A5-F543-439B-BD6D-AF934BE6D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190502</xdr:colOff>
      <xdr:row>0</xdr:row>
      <xdr:rowOff>0</xdr:rowOff>
    </xdr:from>
    <xdr:to>
      <xdr:col>15</xdr:col>
      <xdr:colOff>590102</xdr:colOff>
      <xdr:row>25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535922-FD44-4A39-876C-8A03BBE55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544829</xdr:colOff>
      <xdr:row>24</xdr:row>
      <xdr:rowOff>167640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6F7A7F08-F4F9-400D-A904-0FE55998C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285750</xdr:colOff>
      <xdr:row>65</xdr:row>
      <xdr:rowOff>25717</xdr:rowOff>
    </xdr:from>
    <xdr:to>
      <xdr:col>24</xdr:col>
      <xdr:colOff>722148</xdr:colOff>
      <xdr:row>89</xdr:row>
      <xdr:rowOff>406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07269D-86A8-46C0-AE16-405A7D2FB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0980717"/>
          <a:ext cx="9426093" cy="4544308"/>
        </a:xfrm>
        <a:prstGeom prst="rect">
          <a:avLst/>
        </a:prstGeom>
      </xdr:spPr>
    </xdr:pic>
    <xdr:clientData/>
  </xdr:twoCellAnchor>
  <xdr:twoCellAnchor>
    <xdr:from>
      <xdr:col>8</xdr:col>
      <xdr:colOff>75015</xdr:colOff>
      <xdr:row>7</xdr:row>
      <xdr:rowOff>116012</xdr:rowOff>
    </xdr:from>
    <xdr:to>
      <xdr:col>17</xdr:col>
      <xdr:colOff>474601</xdr:colOff>
      <xdr:row>29</xdr:row>
      <xdr:rowOff>80683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BDBB1C0A-F2CB-4972-A673-BC883A5DD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19049</xdr:rowOff>
    </xdr:from>
    <xdr:to>
      <xdr:col>10</xdr:col>
      <xdr:colOff>209550</xdr:colOff>
      <xdr:row>18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D4D5E2-516E-44D4-AF21-5FE46B3C2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d3eaozktcyljdh.cloudfront.net/cdn/ff/Xr9v-6fz2A5PionA1705nLQIp3cOoS8ZzMRmbAatXG8/1607100255/public/report-files/SB_604_AFV-Report_120120.pdf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tti.tamu.edu/tti.tamu.edu/documents/PRC-15-40-F.pdf" TargetMode="External"/><Relationship Id="rId2" Type="http://schemas.openxmlformats.org/officeDocument/2006/relationships/hyperlink" Target="https://policy.tti.tamu.edu/finance/how-to-fund-transportation/" TargetMode="External"/><Relationship Id="rId1" Type="http://schemas.openxmlformats.org/officeDocument/2006/relationships/hyperlink" Target="https://static.tti.tamu.edu/tti.tamu.edu/documents/PRC-14-02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622A-24F6-4344-91B1-7AE4D75AE7D0}">
  <dimension ref="A1:I27"/>
  <sheetViews>
    <sheetView showGridLines="0" workbookViewId="0">
      <selection activeCell="B3" sqref="B3"/>
    </sheetView>
  </sheetViews>
  <sheetFormatPr defaultRowHeight="14.35" x14ac:dyDescent="0.5"/>
  <cols>
    <col min="1" max="1" width="39.87890625" bestFit="1" customWidth="1"/>
    <col min="2" max="2" width="6.41015625" bestFit="1" customWidth="1"/>
    <col min="3" max="3" width="27.703125" bestFit="1" customWidth="1"/>
    <col min="4" max="4" width="52.5859375" bestFit="1" customWidth="1"/>
    <col min="7" max="7" width="42.703125" bestFit="1" customWidth="1"/>
    <col min="9" max="9" width="27.703125" bestFit="1" customWidth="1"/>
  </cols>
  <sheetData>
    <row r="1" spans="1:9" ht="14.7" thickBot="1" x14ac:dyDescent="0.55000000000000004">
      <c r="A1" s="98" t="s">
        <v>0</v>
      </c>
      <c r="B1" s="98">
        <v>2020</v>
      </c>
      <c r="C1" s="98"/>
      <c r="D1" s="2"/>
    </row>
    <row r="2" spans="1:9" x14ac:dyDescent="0.5">
      <c r="A2" s="107" t="s">
        <v>1</v>
      </c>
      <c r="B2" s="108">
        <v>2.5</v>
      </c>
      <c r="C2" s="109" t="s">
        <v>2</v>
      </c>
      <c r="G2" s="107" t="s">
        <v>1</v>
      </c>
      <c r="H2" s="116">
        <v>2.5</v>
      </c>
      <c r="I2" s="109" t="s">
        <v>2</v>
      </c>
    </row>
    <row r="3" spans="1:9" x14ac:dyDescent="0.5">
      <c r="A3" s="65" t="s">
        <v>3</v>
      </c>
      <c r="B3">
        <v>100</v>
      </c>
      <c r="C3" s="3">
        <f>B3/100</f>
        <v>1</v>
      </c>
      <c r="G3" s="65" t="s">
        <v>3</v>
      </c>
      <c r="H3" s="5">
        <v>1.2</v>
      </c>
      <c r="I3" s="66"/>
    </row>
    <row r="4" spans="1:9" ht="14.7" thickBot="1" x14ac:dyDescent="0.55000000000000004">
      <c r="A4" s="67" t="s">
        <v>4</v>
      </c>
      <c r="B4" s="110">
        <v>100</v>
      </c>
      <c r="C4" s="68" t="s">
        <v>5</v>
      </c>
      <c r="G4" s="67" t="s">
        <v>4</v>
      </c>
      <c r="H4" s="117">
        <v>100</v>
      </c>
      <c r="I4" s="68" t="s">
        <v>5</v>
      </c>
    </row>
    <row r="5" spans="1:9" x14ac:dyDescent="0.5">
      <c r="G5" s="107" t="s">
        <v>6</v>
      </c>
      <c r="H5" s="116">
        <v>1</v>
      </c>
      <c r="I5" s="109" t="s">
        <v>7</v>
      </c>
    </row>
    <row r="6" spans="1:9" ht="14.7" thickBot="1" x14ac:dyDescent="0.55000000000000004">
      <c r="G6" s="67" t="s">
        <v>8</v>
      </c>
      <c r="H6" s="117">
        <v>9940</v>
      </c>
      <c r="I6" s="68" t="s">
        <v>9</v>
      </c>
    </row>
    <row r="7" spans="1:9" x14ac:dyDescent="0.5">
      <c r="A7" s="107" t="s">
        <v>6</v>
      </c>
      <c r="B7" s="108">
        <v>1</v>
      </c>
      <c r="C7" s="109" t="s">
        <v>7</v>
      </c>
      <c r="G7" s="114" t="s">
        <v>10</v>
      </c>
      <c r="H7" s="118">
        <v>10</v>
      </c>
      <c r="I7" s="115" t="s">
        <v>11</v>
      </c>
    </row>
    <row r="8" spans="1:9" ht="14.7" thickBot="1" x14ac:dyDescent="0.55000000000000004">
      <c r="A8" s="67" t="s">
        <v>8</v>
      </c>
      <c r="B8" s="110">
        <v>9940</v>
      </c>
      <c r="C8" s="68" t="s">
        <v>9</v>
      </c>
      <c r="G8" s="65" t="s">
        <v>12</v>
      </c>
      <c r="H8" s="5">
        <v>24.1</v>
      </c>
      <c r="I8" s="66" t="s">
        <v>13</v>
      </c>
    </row>
    <row r="9" spans="1:9" ht="14.7" thickBot="1" x14ac:dyDescent="0.55000000000000004">
      <c r="A9" s="69"/>
      <c r="B9" s="69"/>
      <c r="C9" s="69"/>
      <c r="G9" s="65" t="s">
        <v>14</v>
      </c>
      <c r="H9" s="5">
        <v>108.1</v>
      </c>
      <c r="I9" s="66" t="s">
        <v>13</v>
      </c>
    </row>
    <row r="10" spans="1:9" ht="14.7" thickBot="1" x14ac:dyDescent="0.55000000000000004">
      <c r="A10" s="107" t="s">
        <v>10</v>
      </c>
      <c r="B10" s="108">
        <v>10</v>
      </c>
      <c r="C10" s="109" t="s">
        <v>11</v>
      </c>
      <c r="G10" s="67" t="s">
        <v>15</v>
      </c>
      <c r="H10" s="117">
        <v>250</v>
      </c>
      <c r="I10" s="68" t="s">
        <v>16</v>
      </c>
    </row>
    <row r="11" spans="1:9" x14ac:dyDescent="0.5">
      <c r="A11" s="65" t="s">
        <v>12</v>
      </c>
      <c r="B11" s="3">
        <v>24.1</v>
      </c>
      <c r="C11" s="66" t="s">
        <v>13</v>
      </c>
      <c r="G11" s="107" t="s">
        <v>17</v>
      </c>
      <c r="H11" s="116">
        <v>20</v>
      </c>
      <c r="I11" s="109" t="s">
        <v>18</v>
      </c>
    </row>
    <row r="12" spans="1:9" x14ac:dyDescent="0.5">
      <c r="A12" s="65" t="s">
        <v>14</v>
      </c>
      <c r="B12" s="3">
        <v>108.1</v>
      </c>
      <c r="C12" s="66" t="s">
        <v>13</v>
      </c>
      <c r="G12" s="65" t="s">
        <v>19</v>
      </c>
      <c r="H12" s="5">
        <v>2025</v>
      </c>
      <c r="I12" s="66"/>
    </row>
    <row r="13" spans="1:9" ht="14.7" thickBot="1" x14ac:dyDescent="0.55000000000000004">
      <c r="A13" s="67" t="s">
        <v>15</v>
      </c>
      <c r="B13" s="110">
        <v>250</v>
      </c>
      <c r="C13" s="68" t="s">
        <v>16</v>
      </c>
      <c r="G13" s="65" t="s">
        <v>20</v>
      </c>
      <c r="H13" s="5">
        <v>10</v>
      </c>
      <c r="I13" s="66" t="s">
        <v>18</v>
      </c>
    </row>
    <row r="14" spans="1:9" ht="14.7" thickBot="1" x14ac:dyDescent="0.55000000000000004">
      <c r="G14" s="65" t="s">
        <v>21</v>
      </c>
      <c r="H14" s="5">
        <v>2</v>
      </c>
      <c r="I14" s="66" t="s">
        <v>18</v>
      </c>
    </row>
    <row r="15" spans="1:9" x14ac:dyDescent="0.5">
      <c r="A15" s="107" t="s">
        <v>17</v>
      </c>
      <c r="B15" s="108">
        <v>20</v>
      </c>
      <c r="C15" s="109" t="s">
        <v>18</v>
      </c>
      <c r="G15" s="111" t="s">
        <v>22</v>
      </c>
      <c r="H15" s="119">
        <v>3</v>
      </c>
      <c r="I15" s="112" t="s">
        <v>23</v>
      </c>
    </row>
    <row r="16" spans="1:9" x14ac:dyDescent="0.5">
      <c r="A16" s="65" t="s">
        <v>19</v>
      </c>
      <c r="B16" s="3">
        <v>2030</v>
      </c>
      <c r="C16" s="66"/>
      <c r="G16" s="111" t="s">
        <v>24</v>
      </c>
      <c r="H16" s="119">
        <v>2030</v>
      </c>
      <c r="I16" s="66"/>
    </row>
    <row r="17" spans="1:9" ht="14.7" thickBot="1" x14ac:dyDescent="0.55000000000000004">
      <c r="A17" s="65" t="s">
        <v>20</v>
      </c>
      <c r="B17" s="3">
        <v>5</v>
      </c>
      <c r="C17" s="66" t="s">
        <v>18</v>
      </c>
      <c r="G17" s="111" t="s">
        <v>25</v>
      </c>
      <c r="H17" s="119">
        <v>2040</v>
      </c>
      <c r="I17" s="66"/>
    </row>
    <row r="18" spans="1:9" x14ac:dyDescent="0.5">
      <c r="A18" s="65" t="s">
        <v>21</v>
      </c>
      <c r="B18" s="3">
        <v>2</v>
      </c>
      <c r="C18" s="66" t="s">
        <v>18</v>
      </c>
      <c r="G18" s="107" t="s">
        <v>26</v>
      </c>
      <c r="H18" s="116">
        <v>5</v>
      </c>
      <c r="I18" s="109" t="s">
        <v>27</v>
      </c>
    </row>
    <row r="19" spans="1:9" x14ac:dyDescent="0.5">
      <c r="A19" s="111" t="s">
        <v>22</v>
      </c>
      <c r="B19" s="106">
        <v>3</v>
      </c>
      <c r="C19" s="112" t="s">
        <v>23</v>
      </c>
      <c r="G19" s="65" t="s">
        <v>28</v>
      </c>
      <c r="H19" s="10">
        <v>5.7175000000000002</v>
      </c>
      <c r="I19" s="66" t="s">
        <v>29</v>
      </c>
    </row>
    <row r="20" spans="1:9" x14ac:dyDescent="0.5">
      <c r="A20" s="111" t="s">
        <v>24</v>
      </c>
      <c r="B20" s="106">
        <v>2020</v>
      </c>
      <c r="C20" s="66"/>
      <c r="G20" s="65" t="s">
        <v>30</v>
      </c>
      <c r="H20" s="5">
        <v>3.0234999999999999</v>
      </c>
      <c r="I20" s="66" t="s">
        <v>29</v>
      </c>
    </row>
    <row r="21" spans="1:9" ht="14.7" thickBot="1" x14ac:dyDescent="0.55000000000000004">
      <c r="A21" s="111" t="s">
        <v>25</v>
      </c>
      <c r="B21" s="106">
        <v>2030</v>
      </c>
      <c r="C21" s="66"/>
      <c r="G21" s="67" t="s">
        <v>31</v>
      </c>
      <c r="H21" s="117">
        <v>2.0114999999999998</v>
      </c>
      <c r="I21" s="68" t="s">
        <v>29</v>
      </c>
    </row>
    <row r="22" spans="1:9" ht="14.7" thickBot="1" x14ac:dyDescent="0.55000000000000004">
      <c r="A22" s="113" t="s">
        <v>32</v>
      </c>
      <c r="B22" s="120">
        <v>1</v>
      </c>
      <c r="C22" s="68">
        <f>IF(B22="No",0,1)</f>
        <v>1</v>
      </c>
    </row>
    <row r="23" spans="1:9" ht="14.7" thickBot="1" x14ac:dyDescent="0.55000000000000004"/>
    <row r="24" spans="1:9" x14ac:dyDescent="0.5">
      <c r="A24" s="107" t="s">
        <v>26</v>
      </c>
      <c r="B24" s="108">
        <v>1</v>
      </c>
      <c r="C24" s="109" t="s">
        <v>27</v>
      </c>
    </row>
    <row r="25" spans="1:9" x14ac:dyDescent="0.5">
      <c r="A25" s="65" t="s">
        <v>28</v>
      </c>
      <c r="B25" s="10">
        <v>5.718</v>
      </c>
      <c r="C25" s="66" t="s">
        <v>29</v>
      </c>
      <c r="D25" s="103">
        <v>5.7175000000000002</v>
      </c>
    </row>
    <row r="26" spans="1:9" x14ac:dyDescent="0.5">
      <c r="A26" s="65" t="s">
        <v>30</v>
      </c>
      <c r="B26" s="3">
        <v>3.024</v>
      </c>
      <c r="C26" s="66" t="s">
        <v>29</v>
      </c>
      <c r="D26" s="103">
        <v>3.0234999999999999</v>
      </c>
    </row>
    <row r="27" spans="1:9" ht="14.7" thickBot="1" x14ac:dyDescent="0.55000000000000004">
      <c r="A27" s="67" t="s">
        <v>31</v>
      </c>
      <c r="B27" s="110">
        <v>2.012</v>
      </c>
      <c r="C27" s="68" t="s">
        <v>29</v>
      </c>
      <c r="D27" s="103">
        <v>2.0114999999999998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D491-DF71-47E1-83BE-0FAD13FB1F0F}">
  <dimension ref="A1:T121"/>
  <sheetViews>
    <sheetView topLeftCell="D1" zoomScale="85" zoomScaleNormal="85" workbookViewId="0">
      <selection activeCell="Q6" sqref="Q6"/>
    </sheetView>
  </sheetViews>
  <sheetFormatPr defaultRowHeight="14.35" x14ac:dyDescent="0.5"/>
  <cols>
    <col min="3" max="3" width="27.29296875" bestFit="1" customWidth="1"/>
    <col min="5" max="5" width="4.87890625" customWidth="1"/>
    <col min="6" max="6" width="9" bestFit="1" customWidth="1"/>
    <col min="7" max="7" width="16.1171875" customWidth="1"/>
    <col min="8" max="8" width="12.41015625" bestFit="1" customWidth="1"/>
    <col min="9" max="9" width="2.87890625" customWidth="1"/>
    <col min="11" max="11" width="20.703125" bestFit="1" customWidth="1"/>
    <col min="12" max="12" width="17.87890625" bestFit="1" customWidth="1"/>
    <col min="13" max="13" width="5.87890625" customWidth="1"/>
    <col min="16" max="16" width="9" bestFit="1" customWidth="1"/>
    <col min="17" max="17" width="20" bestFit="1" customWidth="1"/>
    <col min="19" max="19" width="9" bestFit="1" customWidth="1"/>
    <col min="20" max="20" width="12.1171875" bestFit="1" customWidth="1"/>
  </cols>
  <sheetData>
    <row r="1" spans="1:20" x14ac:dyDescent="0.5">
      <c r="A1" s="73"/>
      <c r="D1" s="74"/>
      <c r="F1" s="125" t="s">
        <v>33</v>
      </c>
      <c r="G1" s="125" t="s">
        <v>34</v>
      </c>
      <c r="H1" s="3" t="s">
        <v>35</v>
      </c>
      <c r="J1" s="7" t="s">
        <v>36</v>
      </c>
      <c r="K1" s="7" t="s">
        <v>37</v>
      </c>
      <c r="L1" s="7" t="s">
        <v>38</v>
      </c>
    </row>
    <row r="2" spans="1:20" x14ac:dyDescent="0.5">
      <c r="A2" s="73"/>
      <c r="B2" s="121" t="s">
        <v>33</v>
      </c>
      <c r="C2" s="121" t="s">
        <v>40</v>
      </c>
      <c r="D2" s="74"/>
      <c r="F2" s="3">
        <v>2019</v>
      </c>
      <c r="G2" s="4">
        <v>28995881</v>
      </c>
      <c r="H2" s="3">
        <f t="shared" ref="H2:H33" si="0">LN(G2)</f>
        <v>17.182664343380136</v>
      </c>
      <c r="J2" s="3">
        <f t="shared" ref="J2:J33" si="1">B3</f>
        <v>2020</v>
      </c>
      <c r="K2" s="3">
        <f>0.01863802*J2-20.43618789</f>
        <v>17.212612510000007</v>
      </c>
      <c r="L2" s="3">
        <f>EXP(K2)</f>
        <v>29877388.356262188</v>
      </c>
      <c r="N2" s="6" t="s">
        <v>41</v>
      </c>
      <c r="S2" s="43"/>
    </row>
    <row r="3" spans="1:20" x14ac:dyDescent="0.5">
      <c r="A3" s="73"/>
      <c r="B3" s="5">
        <f>'INPUT TABLE'!B$1</f>
        <v>2020</v>
      </c>
      <c r="C3" s="78">
        <f>L2</f>
        <v>29877388.356262188</v>
      </c>
      <c r="D3" s="74"/>
      <c r="F3" s="3">
        <v>2018</v>
      </c>
      <c r="G3" s="4">
        <v>28628666</v>
      </c>
      <c r="H3" s="3">
        <f t="shared" si="0"/>
        <v>17.169919081507427</v>
      </c>
      <c r="J3" s="3">
        <f t="shared" si="1"/>
        <v>2021</v>
      </c>
      <c r="K3" s="3">
        <f t="shared" ref="K3:K33" si="2">0.01863802*J3-20.43618789</f>
        <v>17.231250530000004</v>
      </c>
      <c r="L3" s="3">
        <f t="shared" ref="L3:L33" si="3">EXP(K3)</f>
        <v>30439465.449139562</v>
      </c>
      <c r="N3" s="6" t="s">
        <v>767</v>
      </c>
    </row>
    <row r="4" spans="1:20" x14ac:dyDescent="0.5">
      <c r="A4" s="73"/>
      <c r="B4" s="5">
        <f>B3+1</f>
        <v>2021</v>
      </c>
      <c r="C4" s="78">
        <f t="shared" ref="C4:C34" si="4">L3</f>
        <v>30439465.449139562</v>
      </c>
      <c r="D4" s="74"/>
      <c r="F4" s="3">
        <v>2017</v>
      </c>
      <c r="G4" s="4">
        <v>28295273</v>
      </c>
      <c r="H4" s="3">
        <f t="shared" si="0"/>
        <v>17.158205316859981</v>
      </c>
      <c r="J4" s="3">
        <f t="shared" si="1"/>
        <v>2022</v>
      </c>
      <c r="K4" s="3">
        <f t="shared" si="2"/>
        <v>17.249888550000001</v>
      </c>
      <c r="L4" s="3">
        <f t="shared" si="3"/>
        <v>31012116.781457487</v>
      </c>
      <c r="T4" s="27"/>
    </row>
    <row r="5" spans="1:20" x14ac:dyDescent="0.5">
      <c r="A5" s="73"/>
      <c r="B5" s="5">
        <f t="shared" ref="B5:B34" si="5">B4+1</f>
        <v>2022</v>
      </c>
      <c r="C5" s="78">
        <f t="shared" si="4"/>
        <v>31012116.781457487</v>
      </c>
      <c r="D5" s="74"/>
      <c r="F5" s="3">
        <v>2016</v>
      </c>
      <c r="G5" s="4">
        <v>27914410</v>
      </c>
      <c r="H5" s="3">
        <f t="shared" si="0"/>
        <v>17.144653600913053</v>
      </c>
      <c r="J5" s="3">
        <f t="shared" si="1"/>
        <v>2023</v>
      </c>
      <c r="K5" s="3">
        <f t="shared" si="2"/>
        <v>17.268526570000006</v>
      </c>
      <c r="L5" s="3">
        <f t="shared" si="3"/>
        <v>31595541.28418342</v>
      </c>
      <c r="T5" s="27"/>
    </row>
    <row r="6" spans="1:20" x14ac:dyDescent="0.5">
      <c r="A6" s="73"/>
      <c r="B6" s="5">
        <f t="shared" si="5"/>
        <v>2023</v>
      </c>
      <c r="C6" s="78">
        <f t="shared" si="4"/>
        <v>31595541.28418342</v>
      </c>
      <c r="D6" s="74"/>
      <c r="F6" s="3">
        <v>2015</v>
      </c>
      <c r="G6" s="4">
        <v>27470056</v>
      </c>
      <c r="H6" s="3">
        <f t="shared" si="0"/>
        <v>17.128607096656928</v>
      </c>
      <c r="J6" s="3">
        <f t="shared" si="1"/>
        <v>2024</v>
      </c>
      <c r="K6" s="3">
        <f t="shared" si="2"/>
        <v>17.287164590000003</v>
      </c>
      <c r="L6" s="3">
        <f t="shared" si="3"/>
        <v>32189941.630731069</v>
      </c>
      <c r="T6" s="27"/>
    </row>
    <row r="7" spans="1:20" x14ac:dyDescent="0.5">
      <c r="A7" s="73"/>
      <c r="B7" s="5">
        <f t="shared" si="5"/>
        <v>2024</v>
      </c>
      <c r="C7" s="78">
        <f t="shared" si="4"/>
        <v>32189941.630731069</v>
      </c>
      <c r="D7" s="74"/>
      <c r="F7" s="3">
        <v>2014</v>
      </c>
      <c r="G7" s="4">
        <v>26964333</v>
      </c>
      <c r="H7" s="3">
        <f t="shared" si="0"/>
        <v>17.110025550678941</v>
      </c>
      <c r="I7" s="39"/>
      <c r="J7" s="3">
        <f t="shared" si="1"/>
        <v>2025</v>
      </c>
      <c r="K7" s="3">
        <f t="shared" si="2"/>
        <v>17.305802610000001</v>
      </c>
      <c r="L7" s="3">
        <f t="shared" si="3"/>
        <v>32795524.307367574</v>
      </c>
      <c r="T7" s="27"/>
    </row>
    <row r="8" spans="1:20" x14ac:dyDescent="0.5">
      <c r="A8" s="73"/>
      <c r="B8" s="5">
        <f t="shared" si="5"/>
        <v>2025</v>
      </c>
      <c r="C8" s="78">
        <f t="shared" si="4"/>
        <v>32795524.307367574</v>
      </c>
      <c r="D8" s="74"/>
      <c r="F8" s="3">
        <v>2013</v>
      </c>
      <c r="G8" s="4">
        <v>26480266</v>
      </c>
      <c r="H8" s="3">
        <f t="shared" si="0"/>
        <v>17.091910334299847</v>
      </c>
      <c r="J8" s="3">
        <f t="shared" si="1"/>
        <v>2026</v>
      </c>
      <c r="K8" s="3">
        <f t="shared" si="2"/>
        <v>17.324440630000005</v>
      </c>
      <c r="L8" s="3">
        <f t="shared" si="3"/>
        <v>33412499.684943303</v>
      </c>
      <c r="T8" s="27"/>
    </row>
    <row r="9" spans="1:20" x14ac:dyDescent="0.5">
      <c r="A9" s="73"/>
      <c r="B9" s="5">
        <f t="shared" si="5"/>
        <v>2026</v>
      </c>
      <c r="C9" s="78">
        <f t="shared" si="4"/>
        <v>33412499.684943303</v>
      </c>
      <c r="D9" s="74"/>
      <c r="F9" s="3">
        <v>2012</v>
      </c>
      <c r="G9" s="4">
        <v>26084481</v>
      </c>
      <c r="H9" s="3">
        <f t="shared" si="0"/>
        <v>17.076851097748456</v>
      </c>
      <c r="J9" s="3">
        <f t="shared" si="1"/>
        <v>2027</v>
      </c>
      <c r="K9" s="3">
        <f t="shared" si="2"/>
        <v>17.343078650000002</v>
      </c>
      <c r="L9" s="3">
        <f t="shared" si="3"/>
        <v>34041082.09197095</v>
      </c>
      <c r="T9" s="27"/>
    </row>
    <row r="10" spans="1:20" x14ac:dyDescent="0.5">
      <c r="A10" s="73"/>
      <c r="B10" s="5">
        <f t="shared" si="5"/>
        <v>2027</v>
      </c>
      <c r="C10" s="78">
        <f t="shared" si="4"/>
        <v>34041082.09197095</v>
      </c>
      <c r="D10" s="74"/>
      <c r="F10" s="3">
        <v>2011</v>
      </c>
      <c r="G10" s="4">
        <v>25645629</v>
      </c>
      <c r="H10" s="3">
        <f t="shared" si="0"/>
        <v>17.059883705703005</v>
      </c>
      <c r="J10" s="3">
        <f t="shared" si="1"/>
        <v>2028</v>
      </c>
      <c r="K10" s="3">
        <f t="shared" si="2"/>
        <v>17.361716670000007</v>
      </c>
      <c r="L10" s="3">
        <f t="shared" si="3"/>
        <v>34681489.889081903</v>
      </c>
      <c r="T10" s="27"/>
    </row>
    <row r="11" spans="1:20" x14ac:dyDescent="0.5">
      <c r="A11" s="73"/>
      <c r="B11" s="5">
        <f t="shared" si="5"/>
        <v>2028</v>
      </c>
      <c r="C11" s="78">
        <f t="shared" si="4"/>
        <v>34681489.889081903</v>
      </c>
      <c r="D11" s="74"/>
      <c r="F11" s="3">
        <v>2010</v>
      </c>
      <c r="G11" s="4">
        <v>25213445</v>
      </c>
      <c r="H11" s="3">
        <f t="shared" si="0"/>
        <v>17.042887941950227</v>
      </c>
      <c r="J11" s="3">
        <f t="shared" si="1"/>
        <v>2029</v>
      </c>
      <c r="K11" s="3">
        <f t="shared" si="2"/>
        <v>17.380354690000004</v>
      </c>
      <c r="L11" s="3">
        <f t="shared" si="3"/>
        <v>35333945.544879727</v>
      </c>
      <c r="T11" s="27"/>
    </row>
    <row r="12" spans="1:20" x14ac:dyDescent="0.5">
      <c r="A12" s="73"/>
      <c r="B12" s="5">
        <f t="shared" si="5"/>
        <v>2029</v>
      </c>
      <c r="C12" s="78">
        <f t="shared" si="4"/>
        <v>35333945.544879727</v>
      </c>
      <c r="D12" s="74"/>
      <c r="F12" s="3">
        <v>2009</v>
      </c>
      <c r="G12" s="4">
        <v>24770651</v>
      </c>
      <c r="H12" s="3">
        <f t="shared" si="0"/>
        <v>17.025170082912673</v>
      </c>
      <c r="J12" s="3">
        <f t="shared" si="1"/>
        <v>2030</v>
      </c>
      <c r="K12" s="3">
        <f t="shared" si="2"/>
        <v>17.398992710000002</v>
      </c>
      <c r="L12" s="3">
        <f t="shared" si="3"/>
        <v>35998675.713224269</v>
      </c>
      <c r="T12" s="27"/>
    </row>
    <row r="13" spans="1:20" x14ac:dyDescent="0.5">
      <c r="A13" s="73"/>
      <c r="B13" s="5">
        <f t="shared" si="5"/>
        <v>2030</v>
      </c>
      <c r="C13" s="78">
        <f t="shared" si="4"/>
        <v>35998675.713224269</v>
      </c>
      <c r="D13" s="74"/>
      <c r="F13" s="3">
        <v>2008</v>
      </c>
      <c r="G13" s="4">
        <v>24290611</v>
      </c>
      <c r="H13" s="3">
        <f t="shared" si="0"/>
        <v>17.005600455046508</v>
      </c>
      <c r="J13" s="3">
        <f t="shared" si="1"/>
        <v>2031</v>
      </c>
      <c r="K13" s="3">
        <f t="shared" si="2"/>
        <v>17.417630730000006</v>
      </c>
      <c r="L13" s="3">
        <f t="shared" si="3"/>
        <v>36675911.311967328</v>
      </c>
      <c r="T13" s="27"/>
    </row>
    <row r="14" spans="1:20" x14ac:dyDescent="0.5">
      <c r="A14" s="73"/>
      <c r="B14" s="5">
        <f t="shared" si="5"/>
        <v>2031</v>
      </c>
      <c r="C14" s="78">
        <f t="shared" si="4"/>
        <v>36675911.311967328</v>
      </c>
      <c r="D14" s="74"/>
      <c r="F14" s="3">
        <v>2007</v>
      </c>
      <c r="G14" s="4">
        <v>23824518</v>
      </c>
      <c r="H14" s="3">
        <f t="shared" si="0"/>
        <v>16.986225776449945</v>
      </c>
      <c r="J14" s="3">
        <f t="shared" si="1"/>
        <v>2032</v>
      </c>
      <c r="K14" s="3">
        <f t="shared" si="2"/>
        <v>17.436268750000004</v>
      </c>
      <c r="L14" s="3">
        <f t="shared" si="3"/>
        <v>37365887.603169441</v>
      </c>
      <c r="T14" s="27"/>
    </row>
    <row r="15" spans="1:20" x14ac:dyDescent="0.5">
      <c r="A15" s="73"/>
      <c r="B15" s="5">
        <f t="shared" si="5"/>
        <v>2032</v>
      </c>
      <c r="C15" s="78">
        <f t="shared" si="4"/>
        <v>37365887.603169441</v>
      </c>
      <c r="D15" s="74"/>
      <c r="F15" s="3">
        <v>2006</v>
      </c>
      <c r="G15" s="4">
        <v>23356591</v>
      </c>
      <c r="H15" s="3">
        <f t="shared" si="0"/>
        <v>16.966389772055834</v>
      </c>
      <c r="J15" s="3">
        <f t="shared" si="1"/>
        <v>2033</v>
      </c>
      <c r="K15" s="3">
        <f t="shared" si="2"/>
        <v>17.454906770000001</v>
      </c>
      <c r="L15" s="3">
        <f t="shared" si="3"/>
        <v>38068844.274828129</v>
      </c>
      <c r="T15" s="27"/>
    </row>
    <row r="16" spans="1:20" x14ac:dyDescent="0.5">
      <c r="A16" s="73"/>
      <c r="B16" s="5">
        <f t="shared" si="5"/>
        <v>2033</v>
      </c>
      <c r="C16" s="78">
        <f t="shared" si="4"/>
        <v>38068844.274828129</v>
      </c>
      <c r="D16" s="74"/>
      <c r="F16" s="3">
        <v>2005</v>
      </c>
      <c r="G16" s="4">
        <v>22790696</v>
      </c>
      <c r="H16" s="3">
        <f t="shared" si="0"/>
        <v>16.941862940465938</v>
      </c>
      <c r="J16" s="3">
        <f t="shared" si="1"/>
        <v>2034</v>
      </c>
      <c r="K16" s="3">
        <f t="shared" si="2"/>
        <v>17.473544790000005</v>
      </c>
      <c r="L16" s="3">
        <f t="shared" si="3"/>
        <v>38785025.524141386</v>
      </c>
      <c r="T16" s="27"/>
    </row>
    <row r="17" spans="1:20" x14ac:dyDescent="0.5">
      <c r="A17" s="73"/>
      <c r="B17" s="5">
        <f t="shared" si="5"/>
        <v>2034</v>
      </c>
      <c r="C17" s="78">
        <f t="shared" si="4"/>
        <v>38785025.524141386</v>
      </c>
      <c r="D17" s="74"/>
      <c r="F17" s="3">
        <v>2004</v>
      </c>
      <c r="G17" s="4">
        <v>22408514</v>
      </c>
      <c r="H17" s="3">
        <f t="shared" si="0"/>
        <v>16.924951533895349</v>
      </c>
      <c r="J17" s="3">
        <f t="shared" si="1"/>
        <v>2035</v>
      </c>
      <c r="K17" s="3">
        <f t="shared" si="2"/>
        <v>17.492182810000003</v>
      </c>
      <c r="L17" s="3">
        <f t="shared" si="3"/>
        <v>39514680.142337449</v>
      </c>
      <c r="T17" s="27"/>
    </row>
    <row r="18" spans="1:20" x14ac:dyDescent="0.5">
      <c r="A18" s="73"/>
      <c r="B18" s="5">
        <f t="shared" si="5"/>
        <v>2035</v>
      </c>
      <c r="C18" s="78">
        <f t="shared" si="4"/>
        <v>39514680.142337449</v>
      </c>
      <c r="D18" s="74"/>
      <c r="F18" s="3">
        <v>2003</v>
      </c>
      <c r="G18" s="4">
        <v>22048452</v>
      </c>
      <c r="H18" s="3">
        <f t="shared" si="0"/>
        <v>16.908752953311076</v>
      </c>
      <c r="J18" s="3">
        <f t="shared" si="1"/>
        <v>2036</v>
      </c>
      <c r="K18" s="3">
        <f t="shared" si="2"/>
        <v>17.510820830000007</v>
      </c>
      <c r="L18" s="3">
        <f t="shared" si="3"/>
        <v>40258061.601103328</v>
      </c>
      <c r="T18" s="27"/>
    </row>
    <row r="19" spans="1:20" x14ac:dyDescent="0.5">
      <c r="A19" s="73"/>
      <c r="B19" s="5">
        <f t="shared" si="5"/>
        <v>2036</v>
      </c>
      <c r="C19" s="78">
        <f t="shared" si="4"/>
        <v>40258061.601103328</v>
      </c>
      <c r="D19" s="74"/>
      <c r="F19" s="3">
        <v>2002</v>
      </c>
      <c r="G19" s="4">
        <v>21705766</v>
      </c>
      <c r="H19" s="3">
        <f t="shared" si="0"/>
        <v>16.893088497500614</v>
      </c>
      <c r="J19" s="3">
        <f t="shared" si="1"/>
        <v>2037</v>
      </c>
      <c r="K19" s="3">
        <f t="shared" si="2"/>
        <v>17.529458850000005</v>
      </c>
      <c r="L19" s="3">
        <f t="shared" si="3"/>
        <v>41015428.140635006</v>
      </c>
      <c r="T19" s="27"/>
    </row>
    <row r="20" spans="1:20" x14ac:dyDescent="0.5">
      <c r="A20" s="73"/>
      <c r="B20" s="5">
        <f t="shared" si="5"/>
        <v>2037</v>
      </c>
      <c r="C20" s="78">
        <f t="shared" si="4"/>
        <v>41015428.140635006</v>
      </c>
      <c r="D20" s="74"/>
      <c r="F20" s="3">
        <v>2001</v>
      </c>
      <c r="G20" s="4">
        <v>21330190</v>
      </c>
      <c r="H20" s="3">
        <f t="shared" si="0"/>
        <v>16.875633998049679</v>
      </c>
      <c r="J20" s="3">
        <f t="shared" si="1"/>
        <v>2038</v>
      </c>
      <c r="K20" s="3">
        <f t="shared" si="2"/>
        <v>17.548096870000002</v>
      </c>
      <c r="L20" s="3">
        <f t="shared" si="3"/>
        <v>41787042.859348431</v>
      </c>
      <c r="T20" s="27"/>
    </row>
    <row r="21" spans="1:20" x14ac:dyDescent="0.5">
      <c r="A21" s="73"/>
      <c r="B21" s="5">
        <f t="shared" si="5"/>
        <v>2038</v>
      </c>
      <c r="C21" s="78">
        <f t="shared" si="4"/>
        <v>41787042.859348431</v>
      </c>
      <c r="D21" s="74"/>
      <c r="F21" s="3">
        <v>2000</v>
      </c>
      <c r="G21" s="4">
        <v>20393784</v>
      </c>
      <c r="H21" s="3">
        <f t="shared" si="0"/>
        <v>16.830740706499821</v>
      </c>
      <c r="J21" s="3">
        <f t="shared" si="1"/>
        <v>2039</v>
      </c>
      <c r="K21" s="3">
        <f t="shared" si="2"/>
        <v>17.566734890000006</v>
      </c>
      <c r="L21" s="3">
        <f t="shared" si="3"/>
        <v>42573173.805275336</v>
      </c>
      <c r="T21" s="27"/>
    </row>
    <row r="22" spans="1:20" x14ac:dyDescent="0.5">
      <c r="A22" s="73"/>
      <c r="B22" s="5">
        <f t="shared" si="5"/>
        <v>2039</v>
      </c>
      <c r="C22" s="78">
        <f t="shared" si="4"/>
        <v>42573173.805275336</v>
      </c>
      <c r="D22" s="74"/>
      <c r="F22" s="3">
        <v>1999</v>
      </c>
      <c r="G22" s="4">
        <v>20044141</v>
      </c>
      <c r="H22" s="3">
        <f t="shared" si="0"/>
        <v>16.813447449561057</v>
      </c>
      <c r="J22" s="3">
        <f t="shared" si="1"/>
        <v>2040</v>
      </c>
      <c r="K22" s="3">
        <f t="shared" si="2"/>
        <v>17.585372910000004</v>
      </c>
      <c r="L22" s="3">
        <f t="shared" si="3"/>
        <v>43374094.069178417</v>
      </c>
      <c r="T22" s="27"/>
    </row>
    <row r="23" spans="1:20" x14ac:dyDescent="0.5">
      <c r="A23" s="73"/>
      <c r="B23" s="5">
        <f t="shared" si="5"/>
        <v>2040</v>
      </c>
      <c r="C23" s="78">
        <f t="shared" si="4"/>
        <v>43374094.069178417</v>
      </c>
      <c r="D23" s="74"/>
      <c r="F23" s="3">
        <v>1998</v>
      </c>
      <c r="G23" s="4">
        <v>19712389</v>
      </c>
      <c r="H23" s="3">
        <f t="shared" si="0"/>
        <v>16.796757879292745</v>
      </c>
      <c r="J23" s="3">
        <f t="shared" si="1"/>
        <v>2041</v>
      </c>
      <c r="K23" s="3">
        <f t="shared" si="2"/>
        <v>17.604010930000001</v>
      </c>
      <c r="L23" s="3">
        <f t="shared" si="3"/>
        <v>44190081.879420996</v>
      </c>
      <c r="T23" s="27"/>
    </row>
    <row r="24" spans="1:20" x14ac:dyDescent="0.5">
      <c r="A24" s="73"/>
      <c r="B24" s="5">
        <f t="shared" si="5"/>
        <v>2041</v>
      </c>
      <c r="C24" s="78">
        <f t="shared" si="4"/>
        <v>44190081.879420996</v>
      </c>
      <c r="D24" s="74"/>
      <c r="F24" s="3">
        <v>1997</v>
      </c>
      <c r="G24" s="4">
        <v>19355427</v>
      </c>
      <c r="H24" s="3">
        <f t="shared" si="0"/>
        <v>16.778483403233356</v>
      </c>
      <c r="J24" s="3">
        <f t="shared" si="1"/>
        <v>2042</v>
      </c>
      <c r="K24" s="3">
        <f t="shared" si="2"/>
        <v>17.622648950000006</v>
      </c>
      <c r="L24" s="3">
        <f t="shared" si="3"/>
        <v>45021420.698618747</v>
      </c>
      <c r="T24" s="27"/>
    </row>
    <row r="25" spans="1:20" x14ac:dyDescent="0.5">
      <c r="A25" s="73"/>
      <c r="B25" s="5">
        <f t="shared" si="5"/>
        <v>2042</v>
      </c>
      <c r="C25" s="78">
        <f t="shared" si="4"/>
        <v>45021420.698618747</v>
      </c>
      <c r="D25" s="74"/>
      <c r="F25" s="3">
        <v>1996</v>
      </c>
      <c r="G25" s="4">
        <v>19006240</v>
      </c>
      <c r="H25" s="3">
        <f t="shared" si="0"/>
        <v>16.760277904264957</v>
      </c>
      <c r="J25" s="3">
        <f t="shared" si="1"/>
        <v>2043</v>
      </c>
      <c r="K25" s="3">
        <f t="shared" si="2"/>
        <v>17.641286970000003</v>
      </c>
      <c r="L25" s="3">
        <f t="shared" si="3"/>
        <v>45868399.322109602</v>
      </c>
      <c r="T25" s="27"/>
    </row>
    <row r="26" spans="1:20" x14ac:dyDescent="0.5">
      <c r="A26" s="73"/>
      <c r="B26" s="5">
        <f t="shared" si="5"/>
        <v>2043</v>
      </c>
      <c r="C26" s="78">
        <f t="shared" si="4"/>
        <v>45868399.322109602</v>
      </c>
      <c r="D26" s="74"/>
      <c r="F26" s="3">
        <v>1995</v>
      </c>
      <c r="G26" s="4">
        <v>18679706</v>
      </c>
      <c r="H26" s="3">
        <f t="shared" si="0"/>
        <v>16.742948251883085</v>
      </c>
      <c r="J26" s="3">
        <f t="shared" si="1"/>
        <v>2044</v>
      </c>
      <c r="K26" s="3">
        <f t="shared" si="2"/>
        <v>17.659924990000007</v>
      </c>
      <c r="L26" s="3">
        <f t="shared" si="3"/>
        <v>46731311.978279434</v>
      </c>
      <c r="T26" s="27"/>
    </row>
    <row r="27" spans="1:20" x14ac:dyDescent="0.5">
      <c r="A27" s="73"/>
      <c r="B27" s="5">
        <f t="shared" si="5"/>
        <v>2044</v>
      </c>
      <c r="C27" s="78">
        <f t="shared" si="4"/>
        <v>46731311.978279434</v>
      </c>
      <c r="D27" s="74"/>
      <c r="F27" s="3">
        <v>1994</v>
      </c>
      <c r="G27" s="4">
        <v>18338319</v>
      </c>
      <c r="H27" s="3">
        <f t="shared" si="0"/>
        <v>16.724503363012719</v>
      </c>
      <c r="J27" s="3">
        <f t="shared" si="1"/>
        <v>2045</v>
      </c>
      <c r="K27" s="3">
        <f t="shared" si="2"/>
        <v>17.678563010000005</v>
      </c>
      <c r="L27" s="3">
        <f t="shared" si="3"/>
        <v>47610458.430770203</v>
      </c>
      <c r="T27" s="27"/>
    </row>
    <row r="28" spans="1:20" x14ac:dyDescent="0.5">
      <c r="A28" s="73"/>
      <c r="B28" s="5">
        <f t="shared" si="5"/>
        <v>2045</v>
      </c>
      <c r="C28" s="78">
        <f t="shared" si="4"/>
        <v>47610458.430770203</v>
      </c>
      <c r="D28" s="74"/>
      <c r="F28" s="3">
        <v>1993</v>
      </c>
      <c r="G28" s="4">
        <v>17996764</v>
      </c>
      <c r="H28" s="3">
        <f t="shared" si="0"/>
        <v>16.705702521920699</v>
      </c>
      <c r="J28" s="3">
        <f t="shared" si="1"/>
        <v>2046</v>
      </c>
      <c r="K28" s="3">
        <f t="shared" si="2"/>
        <v>17.697201030000002</v>
      </c>
      <c r="L28" s="3">
        <f t="shared" si="3"/>
        <v>48506144.082615919</v>
      </c>
      <c r="T28" s="27"/>
    </row>
    <row r="29" spans="1:20" x14ac:dyDescent="0.5">
      <c r="A29" s="73"/>
      <c r="B29" s="5">
        <f t="shared" si="5"/>
        <v>2046</v>
      </c>
      <c r="C29" s="78">
        <f t="shared" si="4"/>
        <v>48506144.082615919</v>
      </c>
      <c r="D29" s="74"/>
      <c r="F29" s="3">
        <v>1992</v>
      </c>
      <c r="G29" s="4">
        <v>17650479</v>
      </c>
      <c r="H29" s="3">
        <f t="shared" si="0"/>
        <v>16.686273479785527</v>
      </c>
      <c r="J29" s="3">
        <f t="shared" si="1"/>
        <v>2047</v>
      </c>
      <c r="K29" s="3">
        <f t="shared" si="2"/>
        <v>17.715839050000007</v>
      </c>
      <c r="L29" s="3">
        <f t="shared" si="3"/>
        <v>49418680.082334377</v>
      </c>
      <c r="T29" s="27"/>
    </row>
    <row r="30" spans="1:20" x14ac:dyDescent="0.5">
      <c r="A30" s="73"/>
      <c r="B30" s="5">
        <f t="shared" si="5"/>
        <v>2047</v>
      </c>
      <c r="C30" s="78">
        <f t="shared" si="4"/>
        <v>49418680.082334377</v>
      </c>
      <c r="D30" s="74"/>
      <c r="F30" s="3">
        <v>1991</v>
      </c>
      <c r="G30" s="4">
        <v>17339904</v>
      </c>
      <c r="H30" s="3">
        <f t="shared" si="0"/>
        <v>16.668520992969164</v>
      </c>
      <c r="J30" s="3">
        <f t="shared" si="1"/>
        <v>2048</v>
      </c>
      <c r="K30" s="3">
        <f t="shared" si="2"/>
        <v>17.734477070000004</v>
      </c>
      <c r="L30" s="3">
        <f t="shared" si="3"/>
        <v>50348383.432014659</v>
      </c>
      <c r="T30" s="27"/>
    </row>
    <row r="31" spans="1:20" x14ac:dyDescent="0.5">
      <c r="A31" s="73"/>
      <c r="B31" s="5">
        <f t="shared" si="5"/>
        <v>2048</v>
      </c>
      <c r="C31" s="78">
        <f t="shared" si="4"/>
        <v>50348383.432014659</v>
      </c>
      <c r="D31" s="74"/>
      <c r="F31" s="3">
        <v>1990</v>
      </c>
      <c r="G31" s="4">
        <v>17044714</v>
      </c>
      <c r="H31" s="3">
        <f t="shared" si="0"/>
        <v>16.65135068429926</v>
      </c>
      <c r="J31" s="3">
        <f t="shared" si="1"/>
        <v>2049</v>
      </c>
      <c r="K31" s="3">
        <f t="shared" si="2"/>
        <v>17.753115090000001</v>
      </c>
      <c r="L31" s="3">
        <f t="shared" si="3"/>
        <v>51295577.097441256</v>
      </c>
      <c r="T31" s="27"/>
    </row>
    <row r="32" spans="1:20" x14ac:dyDescent="0.5">
      <c r="A32" s="73"/>
      <c r="B32" s="5">
        <f t="shared" si="5"/>
        <v>2049</v>
      </c>
      <c r="C32" s="78">
        <f t="shared" si="4"/>
        <v>51295577.097441256</v>
      </c>
      <c r="D32" s="74"/>
      <c r="F32" s="3">
        <v>1989</v>
      </c>
      <c r="G32" s="4">
        <v>16986510</v>
      </c>
      <c r="H32" s="3">
        <f t="shared" si="0"/>
        <v>16.647930057597605</v>
      </c>
      <c r="J32" s="3">
        <f t="shared" si="1"/>
        <v>2050</v>
      </c>
      <c r="K32" s="3">
        <f t="shared" si="2"/>
        <v>17.771753110000006</v>
      </c>
      <c r="L32" s="3">
        <f t="shared" si="3"/>
        <v>52260590.120286845</v>
      </c>
      <c r="T32" s="27"/>
    </row>
    <row r="33" spans="1:20" x14ac:dyDescent="0.5">
      <c r="A33" s="73"/>
      <c r="B33" s="5">
        <f t="shared" si="5"/>
        <v>2050</v>
      </c>
      <c r="C33" s="78">
        <f t="shared" si="4"/>
        <v>52260590.120286845</v>
      </c>
      <c r="D33" s="74"/>
      <c r="F33" s="3">
        <v>1988</v>
      </c>
      <c r="G33" s="4">
        <v>16806734</v>
      </c>
      <c r="H33" s="3">
        <f t="shared" si="0"/>
        <v>16.637290197394602</v>
      </c>
      <c r="J33" s="3">
        <f t="shared" si="1"/>
        <v>2051</v>
      </c>
      <c r="K33" s="3">
        <f t="shared" si="2"/>
        <v>17.790391130000003</v>
      </c>
      <c r="L33" s="3">
        <f t="shared" si="3"/>
        <v>53243757.732415497</v>
      </c>
      <c r="T33" s="27"/>
    </row>
    <row r="34" spans="1:20" x14ac:dyDescent="0.5">
      <c r="A34" s="73"/>
      <c r="B34" s="5">
        <f t="shared" si="5"/>
        <v>2051</v>
      </c>
      <c r="C34" s="78">
        <f t="shared" si="4"/>
        <v>53243757.732415497</v>
      </c>
      <c r="D34" s="74"/>
      <c r="F34" s="3">
        <v>1987</v>
      </c>
      <c r="G34" s="4">
        <v>16667025</v>
      </c>
      <c r="H34" s="3">
        <f t="shared" ref="H34:H65" si="6">LN(G34)</f>
        <v>16.62894277449319</v>
      </c>
      <c r="T34" s="27"/>
    </row>
    <row r="35" spans="1:20" ht="14.7" thickBot="1" x14ac:dyDescent="0.55000000000000004">
      <c r="A35" s="75"/>
      <c r="B35" s="76"/>
      <c r="C35" s="76"/>
      <c r="D35" s="77"/>
      <c r="F35" s="3">
        <v>1986</v>
      </c>
      <c r="G35" s="4">
        <v>16621799</v>
      </c>
      <c r="H35" s="3">
        <f t="shared" si="6"/>
        <v>16.626225584614343</v>
      </c>
      <c r="T35" s="27"/>
    </row>
    <row r="36" spans="1:20" x14ac:dyDescent="0.5">
      <c r="F36" s="3">
        <v>1985</v>
      </c>
      <c r="G36" s="4">
        <v>16561112</v>
      </c>
      <c r="H36" s="3">
        <f t="shared" si="6"/>
        <v>16.622567854425398</v>
      </c>
      <c r="T36" s="27"/>
    </row>
    <row r="37" spans="1:20" x14ac:dyDescent="0.5">
      <c r="F37" s="3">
        <v>1984</v>
      </c>
      <c r="G37" s="4">
        <v>16272735</v>
      </c>
      <c r="H37" s="3">
        <f t="shared" si="6"/>
        <v>16.605001565866882</v>
      </c>
      <c r="T37" s="27"/>
    </row>
    <row r="38" spans="1:20" x14ac:dyDescent="0.5">
      <c r="F38" s="3">
        <v>1983</v>
      </c>
      <c r="G38" s="4">
        <v>16007077</v>
      </c>
      <c r="H38" s="3">
        <f t="shared" si="6"/>
        <v>16.588541494912718</v>
      </c>
      <c r="T38" s="27"/>
    </row>
    <row r="39" spans="1:20" x14ac:dyDescent="0.5">
      <c r="F39" s="3">
        <v>1982</v>
      </c>
      <c r="G39" s="4">
        <v>15751678</v>
      </c>
      <c r="H39" s="3">
        <f t="shared" si="6"/>
        <v>16.572457457243505</v>
      </c>
      <c r="T39" s="27"/>
    </row>
    <row r="40" spans="1:20" x14ac:dyDescent="0.5">
      <c r="F40" s="3">
        <v>1981</v>
      </c>
      <c r="G40" s="4">
        <v>15331410</v>
      </c>
      <c r="H40" s="3">
        <f t="shared" si="6"/>
        <v>16.545414223135051</v>
      </c>
      <c r="T40" s="27"/>
    </row>
    <row r="41" spans="1:20" x14ac:dyDescent="0.5">
      <c r="F41" s="3">
        <v>1980</v>
      </c>
      <c r="G41" s="4">
        <v>14746313</v>
      </c>
      <c r="H41" s="3">
        <f t="shared" si="6"/>
        <v>16.506503643401675</v>
      </c>
      <c r="T41" s="27"/>
    </row>
    <row r="42" spans="1:20" x14ac:dyDescent="0.5">
      <c r="F42" s="3">
        <v>1979</v>
      </c>
      <c r="G42" s="4">
        <v>13888371</v>
      </c>
      <c r="H42" s="3">
        <f t="shared" si="6"/>
        <v>16.44656242923514</v>
      </c>
      <c r="T42" s="27"/>
    </row>
    <row r="43" spans="1:20" x14ac:dyDescent="0.5">
      <c r="F43" s="3">
        <v>1978</v>
      </c>
      <c r="G43" s="4">
        <v>13500429</v>
      </c>
      <c r="H43" s="3">
        <f t="shared" si="6"/>
        <v>16.418232020681533</v>
      </c>
      <c r="T43" s="27"/>
    </row>
    <row r="44" spans="1:20" x14ac:dyDescent="0.5">
      <c r="F44" s="3">
        <v>1977</v>
      </c>
      <c r="G44" s="4">
        <v>13193050</v>
      </c>
      <c r="H44" s="3">
        <f t="shared" si="6"/>
        <v>16.395200733747309</v>
      </c>
      <c r="T44" s="27"/>
    </row>
    <row r="45" spans="1:20" x14ac:dyDescent="0.5">
      <c r="F45" s="3">
        <v>1976</v>
      </c>
      <c r="G45" s="4">
        <v>12904089</v>
      </c>
      <c r="H45" s="3">
        <f t="shared" si="6"/>
        <v>16.373054795849573</v>
      </c>
    </row>
    <row r="46" spans="1:20" x14ac:dyDescent="0.5">
      <c r="F46" s="3">
        <v>1975</v>
      </c>
      <c r="G46" s="4">
        <v>12568843</v>
      </c>
      <c r="H46" s="3">
        <f t="shared" si="6"/>
        <v>16.346731531779554</v>
      </c>
    </row>
    <row r="47" spans="1:20" x14ac:dyDescent="0.5">
      <c r="F47" s="3">
        <v>1974</v>
      </c>
      <c r="G47" s="4">
        <v>12268629</v>
      </c>
      <c r="H47" s="3">
        <f t="shared" si="6"/>
        <v>16.322556074502849</v>
      </c>
    </row>
    <row r="48" spans="1:20" x14ac:dyDescent="0.5">
      <c r="F48" s="3">
        <v>1973</v>
      </c>
      <c r="G48" s="4">
        <v>12019543</v>
      </c>
      <c r="H48" s="3">
        <f t="shared" si="6"/>
        <v>16.302044466381837</v>
      </c>
    </row>
    <row r="49" spans="6:8" x14ac:dyDescent="0.5">
      <c r="F49" s="3">
        <v>1972</v>
      </c>
      <c r="G49" s="4">
        <v>11759148</v>
      </c>
      <c r="H49" s="3">
        <f t="shared" si="6"/>
        <v>16.280142048830609</v>
      </c>
    </row>
    <row r="50" spans="6:8" x14ac:dyDescent="0.5">
      <c r="F50" s="3">
        <v>1971</v>
      </c>
      <c r="G50" s="4">
        <v>11509848</v>
      </c>
      <c r="H50" s="3">
        <f t="shared" si="6"/>
        <v>16.258713574702959</v>
      </c>
    </row>
    <row r="51" spans="6:8" x14ac:dyDescent="0.5">
      <c r="F51" s="3">
        <v>1970</v>
      </c>
      <c r="G51" s="4">
        <v>11198655</v>
      </c>
      <c r="H51" s="3">
        <f t="shared" si="6"/>
        <v>16.231304239768313</v>
      </c>
    </row>
    <row r="52" spans="6:8" x14ac:dyDescent="0.5">
      <c r="F52" s="3">
        <v>1969</v>
      </c>
      <c r="G52" s="4">
        <v>11045000</v>
      </c>
      <c r="H52" s="3">
        <f t="shared" si="6"/>
        <v>16.217488394836355</v>
      </c>
    </row>
    <row r="53" spans="6:8" x14ac:dyDescent="0.5">
      <c r="F53" s="3">
        <v>1968</v>
      </c>
      <c r="G53" s="4">
        <v>10819000</v>
      </c>
      <c r="H53" s="3">
        <f t="shared" si="6"/>
        <v>16.196814405669709</v>
      </c>
    </row>
    <row r="54" spans="6:8" x14ac:dyDescent="0.5">
      <c r="F54" s="3">
        <v>1967</v>
      </c>
      <c r="G54" s="4">
        <v>10599000</v>
      </c>
      <c r="H54" s="3">
        <f t="shared" si="6"/>
        <v>16.176270215009392</v>
      </c>
    </row>
    <row r="55" spans="6:8" x14ac:dyDescent="0.5">
      <c r="F55" s="3">
        <v>1966</v>
      </c>
      <c r="G55" s="4">
        <v>10492000</v>
      </c>
      <c r="H55" s="3">
        <f t="shared" si="6"/>
        <v>16.1661236199689</v>
      </c>
    </row>
    <row r="56" spans="6:8" x14ac:dyDescent="0.5">
      <c r="F56" s="3">
        <v>1965</v>
      </c>
      <c r="G56" s="4">
        <v>10378000</v>
      </c>
      <c r="H56" s="3">
        <f t="shared" si="6"/>
        <v>16.155198738909821</v>
      </c>
    </row>
    <row r="57" spans="6:8" x14ac:dyDescent="0.5">
      <c r="F57" s="3">
        <v>1964</v>
      </c>
      <c r="G57" s="4">
        <v>10270000</v>
      </c>
      <c r="H57" s="3">
        <f t="shared" si="6"/>
        <v>16.144737581904742</v>
      </c>
    </row>
    <row r="58" spans="6:8" x14ac:dyDescent="0.5">
      <c r="F58" s="3">
        <v>1963</v>
      </c>
      <c r="G58" s="4">
        <v>10159000</v>
      </c>
      <c r="H58" s="3">
        <f t="shared" si="6"/>
        <v>16.133870570073682</v>
      </c>
    </row>
    <row r="59" spans="6:8" x14ac:dyDescent="0.5">
      <c r="F59" s="3">
        <v>1962</v>
      </c>
      <c r="G59" s="4">
        <v>10053000</v>
      </c>
      <c r="H59" s="3">
        <f t="shared" si="6"/>
        <v>16.123381655387558</v>
      </c>
    </row>
    <row r="60" spans="6:8" x14ac:dyDescent="0.5">
      <c r="F60" s="3">
        <v>1961</v>
      </c>
      <c r="G60" s="4">
        <v>9820000</v>
      </c>
      <c r="H60" s="3">
        <f t="shared" si="6"/>
        <v>16.099931680330648</v>
      </c>
    </row>
    <row r="61" spans="6:8" x14ac:dyDescent="0.5">
      <c r="F61" s="3">
        <v>1960</v>
      </c>
      <c r="G61" s="4">
        <v>9624000</v>
      </c>
      <c r="H61" s="3">
        <f t="shared" si="6"/>
        <v>16.079770536636651</v>
      </c>
    </row>
    <row r="62" spans="6:8" x14ac:dyDescent="0.5">
      <c r="F62" s="3">
        <v>1959</v>
      </c>
      <c r="G62" s="4">
        <v>9405000</v>
      </c>
      <c r="H62" s="3">
        <f t="shared" si="6"/>
        <v>16.056752020717269</v>
      </c>
    </row>
    <row r="63" spans="6:8" x14ac:dyDescent="0.5">
      <c r="F63" s="3">
        <v>1958</v>
      </c>
      <c r="G63" s="4">
        <v>9252000</v>
      </c>
      <c r="H63" s="3">
        <f t="shared" si="6"/>
        <v>16.040350302333469</v>
      </c>
    </row>
    <row r="64" spans="6:8" x14ac:dyDescent="0.5">
      <c r="F64" s="3">
        <v>1957</v>
      </c>
      <c r="G64" s="4">
        <v>9070000</v>
      </c>
      <c r="H64" s="3">
        <f t="shared" si="6"/>
        <v>16.020482822091321</v>
      </c>
    </row>
    <row r="65" spans="6:8" x14ac:dyDescent="0.5">
      <c r="F65" s="3">
        <v>1956</v>
      </c>
      <c r="G65" s="4">
        <v>8830000</v>
      </c>
      <c r="H65" s="3">
        <f t="shared" si="6"/>
        <v>15.993665572580143</v>
      </c>
    </row>
    <row r="66" spans="6:8" x14ac:dyDescent="0.5">
      <c r="F66" s="3">
        <v>1955</v>
      </c>
      <c r="G66" s="4">
        <v>8660000</v>
      </c>
      <c r="H66" s="3">
        <f t="shared" ref="H66" si="7">LN(G66)</f>
        <v>15.974225280538619</v>
      </c>
    </row>
    <row r="67" spans="6:8" x14ac:dyDescent="0.5">
      <c r="F67" s="3">
        <v>1954</v>
      </c>
      <c r="G67" s="4">
        <v>8382000</v>
      </c>
      <c r="H67" s="3">
        <f t="shared" ref="H67:H121" si="8">LN(G67)</f>
        <v>15.941597107467153</v>
      </c>
    </row>
    <row r="68" spans="6:8" x14ac:dyDescent="0.5">
      <c r="F68" s="3">
        <v>1953</v>
      </c>
      <c r="G68" s="4">
        <v>8336000</v>
      </c>
      <c r="H68" s="3">
        <f t="shared" si="8"/>
        <v>15.936094042975284</v>
      </c>
    </row>
    <row r="69" spans="6:8" x14ac:dyDescent="0.5">
      <c r="F69" s="3">
        <v>1952</v>
      </c>
      <c r="G69" s="4">
        <v>8314000</v>
      </c>
      <c r="H69" s="3">
        <f t="shared" si="8"/>
        <v>15.93345139879472</v>
      </c>
    </row>
    <row r="70" spans="6:8" x14ac:dyDescent="0.5">
      <c r="F70" s="3">
        <v>1951</v>
      </c>
      <c r="G70" s="4">
        <v>8111000</v>
      </c>
      <c r="H70" s="3">
        <f t="shared" si="8"/>
        <v>15.908731723052481</v>
      </c>
    </row>
    <row r="71" spans="6:8" x14ac:dyDescent="0.5">
      <c r="F71" s="3">
        <v>1950</v>
      </c>
      <c r="G71" s="4">
        <v>7776000</v>
      </c>
      <c r="H71" s="3">
        <f t="shared" si="8"/>
        <v>15.866552625122413</v>
      </c>
    </row>
    <row r="72" spans="6:8" x14ac:dyDescent="0.5">
      <c r="F72" s="3">
        <v>1949</v>
      </c>
      <c r="G72" s="4">
        <v>7623000</v>
      </c>
      <c r="H72" s="3">
        <f t="shared" si="8"/>
        <v>15.846680550970412</v>
      </c>
    </row>
    <row r="73" spans="6:8" x14ac:dyDescent="0.5">
      <c r="F73" s="3">
        <v>1948</v>
      </c>
      <c r="G73" s="4">
        <v>7626000</v>
      </c>
      <c r="H73" s="3">
        <f t="shared" si="8"/>
        <v>15.847074019399646</v>
      </c>
    </row>
    <row r="74" spans="6:8" x14ac:dyDescent="0.5">
      <c r="F74" s="3">
        <v>1947</v>
      </c>
      <c r="G74" s="4">
        <v>7388000</v>
      </c>
      <c r="H74" s="3">
        <f t="shared" si="8"/>
        <v>15.815367620301268</v>
      </c>
    </row>
    <row r="75" spans="6:8" x14ac:dyDescent="0.5">
      <c r="F75" s="3">
        <v>1946</v>
      </c>
      <c r="G75" s="4">
        <v>7197000</v>
      </c>
      <c r="H75" s="3">
        <f t="shared" si="8"/>
        <v>15.789174830489941</v>
      </c>
    </row>
    <row r="76" spans="6:8" x14ac:dyDescent="0.5">
      <c r="F76" s="3">
        <v>1945</v>
      </c>
      <c r="G76" s="4">
        <v>6826000</v>
      </c>
      <c r="H76" s="3">
        <f t="shared" si="8"/>
        <v>15.73624940844879</v>
      </c>
    </row>
    <row r="77" spans="6:8" x14ac:dyDescent="0.5">
      <c r="F77" s="3">
        <v>1944</v>
      </c>
      <c r="G77" s="4">
        <v>6876000</v>
      </c>
      <c r="H77" s="3">
        <f t="shared" si="8"/>
        <v>15.743547645484878</v>
      </c>
    </row>
    <row r="78" spans="6:8" x14ac:dyDescent="0.5">
      <c r="F78" s="3">
        <v>1943</v>
      </c>
      <c r="G78" s="4">
        <v>7012000</v>
      </c>
      <c r="H78" s="3">
        <f t="shared" si="8"/>
        <v>15.763133525023262</v>
      </c>
    </row>
    <row r="79" spans="6:8" x14ac:dyDescent="0.5">
      <c r="F79" s="3">
        <v>1942</v>
      </c>
      <c r="G79" s="4">
        <v>6711000</v>
      </c>
      <c r="H79" s="3">
        <f t="shared" si="8"/>
        <v>15.719258529140376</v>
      </c>
    </row>
    <row r="80" spans="6:8" x14ac:dyDescent="0.5">
      <c r="F80" s="3">
        <v>1941</v>
      </c>
      <c r="G80" s="4">
        <v>6585000</v>
      </c>
      <c r="H80" s="3">
        <f t="shared" si="8"/>
        <v>15.700304893159519</v>
      </c>
    </row>
    <row r="81" spans="6:8" x14ac:dyDescent="0.5">
      <c r="F81" s="3">
        <v>1940</v>
      </c>
      <c r="G81" s="4">
        <v>6425000</v>
      </c>
      <c r="H81" s="3">
        <f t="shared" si="8"/>
        <v>15.675707188745557</v>
      </c>
    </row>
    <row r="82" spans="6:8" x14ac:dyDescent="0.5">
      <c r="F82" s="3">
        <v>1939</v>
      </c>
      <c r="G82" s="4">
        <v>6360000</v>
      </c>
      <c r="H82" s="3">
        <f t="shared" si="8"/>
        <v>15.665538935316304</v>
      </c>
    </row>
    <row r="83" spans="6:8" x14ac:dyDescent="0.5">
      <c r="F83" s="3">
        <v>1938</v>
      </c>
      <c r="G83" s="4">
        <v>6301000</v>
      </c>
      <c r="H83" s="3">
        <f t="shared" si="8"/>
        <v>15.656218908924192</v>
      </c>
    </row>
    <row r="84" spans="6:8" x14ac:dyDescent="0.5">
      <c r="F84" s="3">
        <v>1937</v>
      </c>
      <c r="G84" s="4">
        <v>6250000</v>
      </c>
      <c r="H84" s="3">
        <f t="shared" si="8"/>
        <v>15.648092021712584</v>
      </c>
    </row>
    <row r="85" spans="6:8" x14ac:dyDescent="0.5">
      <c r="F85" s="3">
        <v>1936</v>
      </c>
      <c r="G85" s="4">
        <v>6192000</v>
      </c>
      <c r="H85" s="3">
        <f t="shared" si="8"/>
        <v>15.6387686942517</v>
      </c>
    </row>
    <row r="86" spans="6:8" x14ac:dyDescent="0.5">
      <c r="F86" s="3">
        <v>1935</v>
      </c>
      <c r="G86" s="4">
        <v>6123000</v>
      </c>
      <c r="H86" s="3">
        <f t="shared" si="8"/>
        <v>15.627562730460092</v>
      </c>
    </row>
    <row r="87" spans="6:8" x14ac:dyDescent="0.5">
      <c r="F87" s="3">
        <v>1934</v>
      </c>
      <c r="G87" s="4">
        <v>6053000</v>
      </c>
      <c r="H87" s="3">
        <f t="shared" si="8"/>
        <v>15.616064574873825</v>
      </c>
    </row>
    <row r="88" spans="6:8" x14ac:dyDescent="0.5">
      <c r="F88" s="3">
        <v>1933</v>
      </c>
      <c r="G88" s="4">
        <v>6014000</v>
      </c>
      <c r="H88" s="3">
        <f t="shared" si="8"/>
        <v>15.609600642530612</v>
      </c>
    </row>
    <row r="89" spans="6:8" x14ac:dyDescent="0.5">
      <c r="F89" s="3">
        <v>1932</v>
      </c>
      <c r="G89" s="4">
        <v>5961000</v>
      </c>
      <c r="H89" s="3">
        <f t="shared" si="8"/>
        <v>15.600748810202063</v>
      </c>
    </row>
    <row r="90" spans="6:8" x14ac:dyDescent="0.5">
      <c r="F90" s="3">
        <v>1931</v>
      </c>
      <c r="G90" s="4">
        <v>5907000</v>
      </c>
      <c r="H90" s="3">
        <f t="shared" si="8"/>
        <v>15.591648646289372</v>
      </c>
    </row>
    <row r="91" spans="6:8" x14ac:dyDescent="0.5">
      <c r="F91" s="3">
        <v>1930</v>
      </c>
      <c r="G91" s="4">
        <v>5844000</v>
      </c>
      <c r="H91" s="3">
        <f t="shared" si="8"/>
        <v>15.580926051852726</v>
      </c>
    </row>
    <row r="92" spans="6:8" x14ac:dyDescent="0.5">
      <c r="F92" s="3">
        <v>1929</v>
      </c>
      <c r="G92" s="4">
        <v>5762000</v>
      </c>
      <c r="H92" s="3">
        <f t="shared" si="8"/>
        <v>15.566795194626611</v>
      </c>
    </row>
    <row r="93" spans="6:8" x14ac:dyDescent="0.5">
      <c r="F93" s="3">
        <v>1928</v>
      </c>
      <c r="G93" s="4">
        <v>5675000</v>
      </c>
      <c r="H93" s="3">
        <f t="shared" si="8"/>
        <v>15.55158112133174</v>
      </c>
    </row>
    <row r="94" spans="6:8" x14ac:dyDescent="0.5">
      <c r="F94" s="3">
        <v>1927</v>
      </c>
      <c r="G94" s="4">
        <v>5577000</v>
      </c>
      <c r="H94" s="3">
        <f t="shared" si="8"/>
        <v>15.534161555371691</v>
      </c>
    </row>
    <row r="95" spans="6:8" x14ac:dyDescent="0.5">
      <c r="F95" s="3">
        <v>1926</v>
      </c>
      <c r="G95" s="4">
        <v>5453000</v>
      </c>
      <c r="H95" s="3">
        <f t="shared" si="8"/>
        <v>15.511676473908199</v>
      </c>
    </row>
    <row r="96" spans="6:8" x14ac:dyDescent="0.5">
      <c r="F96" s="3">
        <v>1925</v>
      </c>
      <c r="G96" s="4">
        <v>5332000</v>
      </c>
      <c r="H96" s="3">
        <f t="shared" si="8"/>
        <v>15.489236960280737</v>
      </c>
    </row>
    <row r="97" spans="6:8" x14ac:dyDescent="0.5">
      <c r="F97" s="3">
        <v>1924</v>
      </c>
      <c r="G97" s="4">
        <v>5210000</v>
      </c>
      <c r="H97" s="3">
        <f t="shared" si="8"/>
        <v>15.46609041372955</v>
      </c>
    </row>
    <row r="98" spans="6:8" x14ac:dyDescent="0.5">
      <c r="F98" s="3">
        <v>1923</v>
      </c>
      <c r="G98" s="4">
        <v>5077000</v>
      </c>
      <c r="H98" s="3">
        <f t="shared" si="8"/>
        <v>15.440231093929532</v>
      </c>
    </row>
    <row r="99" spans="6:8" x14ac:dyDescent="0.5">
      <c r="F99" s="3">
        <v>1922</v>
      </c>
      <c r="G99" s="4">
        <v>4955000</v>
      </c>
      <c r="H99" s="3">
        <f t="shared" si="8"/>
        <v>15.415907725746225</v>
      </c>
    </row>
    <row r="100" spans="6:8" x14ac:dyDescent="0.5">
      <c r="F100" s="3">
        <v>1921</v>
      </c>
      <c r="G100" s="4">
        <v>4853000</v>
      </c>
      <c r="H100" s="3">
        <f t="shared" si="8"/>
        <v>15.395107628387354</v>
      </c>
    </row>
    <row r="101" spans="6:8" x14ac:dyDescent="0.5">
      <c r="F101" s="3">
        <v>1920</v>
      </c>
      <c r="G101" s="4">
        <v>4723000</v>
      </c>
      <c r="H101" s="3">
        <f t="shared" si="8"/>
        <v>15.367954748878255</v>
      </c>
    </row>
    <row r="102" spans="6:8" x14ac:dyDescent="0.5">
      <c r="F102" s="3">
        <v>1919</v>
      </c>
      <c r="G102" s="4">
        <v>4631000</v>
      </c>
      <c r="H102" s="3">
        <f t="shared" si="8"/>
        <v>15.348283385462889</v>
      </c>
    </row>
    <row r="103" spans="6:8" x14ac:dyDescent="0.5">
      <c r="F103" s="3">
        <v>1918</v>
      </c>
      <c r="G103" s="4">
        <v>4666000</v>
      </c>
      <c r="H103" s="3">
        <f t="shared" si="8"/>
        <v>15.355812731563512</v>
      </c>
    </row>
    <row r="104" spans="6:8" x14ac:dyDescent="0.5">
      <c r="F104" s="3">
        <v>1917</v>
      </c>
      <c r="G104" s="4">
        <v>4563000</v>
      </c>
      <c r="H104" s="3">
        <f t="shared" si="8"/>
        <v>15.33349085990954</v>
      </c>
    </row>
    <row r="105" spans="6:8" x14ac:dyDescent="0.5">
      <c r="F105" s="3">
        <v>1916</v>
      </c>
      <c r="G105" s="4">
        <v>4444000</v>
      </c>
      <c r="H105" s="3">
        <f t="shared" si="8"/>
        <v>15.307065429741657</v>
      </c>
    </row>
    <row r="106" spans="6:8" x14ac:dyDescent="0.5">
      <c r="F106" s="3">
        <v>1915</v>
      </c>
      <c r="G106" s="4">
        <v>4368000</v>
      </c>
      <c r="H106" s="3">
        <f t="shared" si="8"/>
        <v>15.289815796406877</v>
      </c>
    </row>
    <row r="107" spans="6:8" x14ac:dyDescent="0.5">
      <c r="F107" s="3">
        <v>1914</v>
      </c>
      <c r="G107" s="4">
        <v>4300000</v>
      </c>
      <c r="H107" s="3">
        <f t="shared" si="8"/>
        <v>15.274125580663791</v>
      </c>
    </row>
    <row r="108" spans="6:8" x14ac:dyDescent="0.5">
      <c r="F108" s="3">
        <v>1913</v>
      </c>
      <c r="G108" s="4">
        <v>4207000</v>
      </c>
      <c r="H108" s="3">
        <f t="shared" si="8"/>
        <v>15.252260362572658</v>
      </c>
    </row>
    <row r="109" spans="6:8" x14ac:dyDescent="0.5">
      <c r="F109" s="3">
        <v>1912</v>
      </c>
      <c r="G109" s="4">
        <v>4107000</v>
      </c>
      <c r="H109" s="3">
        <f t="shared" si="8"/>
        <v>15.228203392938696</v>
      </c>
    </row>
    <row r="110" spans="6:8" x14ac:dyDescent="0.5">
      <c r="F110" s="3">
        <v>1911</v>
      </c>
      <c r="G110" s="4">
        <v>4016000</v>
      </c>
      <c r="H110" s="3">
        <f t="shared" si="8"/>
        <v>15.205796940353702</v>
      </c>
    </row>
    <row r="111" spans="6:8" x14ac:dyDescent="0.5">
      <c r="F111" s="3">
        <v>1910</v>
      </c>
      <c r="G111" s="4">
        <v>3922000</v>
      </c>
      <c r="H111" s="3">
        <f t="shared" si="8"/>
        <v>15.182112285738429</v>
      </c>
    </row>
    <row r="112" spans="6:8" x14ac:dyDescent="0.5">
      <c r="F112" s="3">
        <v>1909</v>
      </c>
      <c r="G112" s="4">
        <v>3821000</v>
      </c>
      <c r="H112" s="3">
        <f t="shared" si="8"/>
        <v>15.156022726429036</v>
      </c>
    </row>
    <row r="113" spans="6:8" x14ac:dyDescent="0.5">
      <c r="F113" s="3">
        <v>1908</v>
      </c>
      <c r="G113" s="4">
        <v>3727000</v>
      </c>
      <c r="H113" s="3">
        <f t="shared" si="8"/>
        <v>15.131114178461395</v>
      </c>
    </row>
    <row r="114" spans="6:8" x14ac:dyDescent="0.5">
      <c r="F114" s="3">
        <v>1907</v>
      </c>
      <c r="G114" s="4">
        <v>3636000</v>
      </c>
      <c r="H114" s="3">
        <f t="shared" si="8"/>
        <v>15.106394734279506</v>
      </c>
    </row>
    <row r="115" spans="6:8" x14ac:dyDescent="0.5">
      <c r="F115" s="3">
        <v>1906</v>
      </c>
      <c r="G115" s="4">
        <v>3546000</v>
      </c>
      <c r="H115" s="3">
        <f t="shared" si="8"/>
        <v>15.08133076561629</v>
      </c>
    </row>
    <row r="116" spans="6:8" x14ac:dyDescent="0.5">
      <c r="F116" s="3">
        <v>1905</v>
      </c>
      <c r="G116" s="4">
        <v>3459000</v>
      </c>
      <c r="H116" s="3">
        <f t="shared" si="8"/>
        <v>15.056490087919306</v>
      </c>
    </row>
    <row r="117" spans="6:8" x14ac:dyDescent="0.5">
      <c r="F117" s="3">
        <v>1904</v>
      </c>
      <c r="G117" s="4">
        <v>3374000</v>
      </c>
      <c r="H117" s="3">
        <f t="shared" si="8"/>
        <v>15.03160954208805</v>
      </c>
    </row>
    <row r="118" spans="6:8" x14ac:dyDescent="0.5">
      <c r="F118" s="3">
        <v>1903</v>
      </c>
      <c r="G118" s="4">
        <v>3291000</v>
      </c>
      <c r="H118" s="3">
        <f t="shared" si="8"/>
        <v>15.006702027925478</v>
      </c>
    </row>
    <row r="119" spans="6:8" x14ac:dyDescent="0.5">
      <c r="F119" s="3">
        <v>1902</v>
      </c>
      <c r="G119" s="4">
        <v>3210000</v>
      </c>
      <c r="H119" s="3">
        <f t="shared" si="8"/>
        <v>14.981781495106199</v>
      </c>
    </row>
    <row r="120" spans="6:8" x14ac:dyDescent="0.5">
      <c r="F120" s="3">
        <v>1901</v>
      </c>
      <c r="G120" s="4">
        <v>3132000</v>
      </c>
      <c r="H120" s="3">
        <f t="shared" si="8"/>
        <v>14.957182336092831</v>
      </c>
    </row>
    <row r="121" spans="6:8" x14ac:dyDescent="0.5">
      <c r="F121" s="3">
        <v>1900</v>
      </c>
      <c r="G121" s="4">
        <v>3055000</v>
      </c>
      <c r="H121" s="3">
        <f t="shared" si="8"/>
        <v>14.932290150587832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8A08-5DE5-40AD-87B2-D32077B7E51D}">
  <dimension ref="A1:P537"/>
  <sheetViews>
    <sheetView zoomScale="85" zoomScaleNormal="85" workbookViewId="0">
      <selection activeCell="P1" sqref="P1"/>
    </sheetView>
  </sheetViews>
  <sheetFormatPr defaultRowHeight="14.35" x14ac:dyDescent="0.5"/>
  <cols>
    <col min="3" max="3" width="22.87890625" bestFit="1" customWidth="1"/>
    <col min="6" max="6" width="10.1171875" style="11" customWidth="1"/>
    <col min="7" max="7" width="15.29296875" style="12" customWidth="1"/>
    <col min="8" max="8" width="15.87890625" style="12" bestFit="1" customWidth="1"/>
    <col min="11" max="11" width="24.703125" bestFit="1" customWidth="1"/>
    <col min="14" max="14" width="21.41015625" bestFit="1" customWidth="1"/>
    <col min="15" max="15" width="13.1171875" customWidth="1"/>
    <col min="16" max="16" width="23.29296875" bestFit="1" customWidth="1"/>
  </cols>
  <sheetData>
    <row r="1" spans="1:16" x14ac:dyDescent="0.5">
      <c r="A1" s="73"/>
      <c r="B1" s="69"/>
      <c r="C1" s="69"/>
      <c r="D1" s="74"/>
      <c r="F1" s="8" t="s">
        <v>33</v>
      </c>
      <c r="G1" s="122" t="s">
        <v>43</v>
      </c>
      <c r="H1" s="122" t="s">
        <v>44</v>
      </c>
      <c r="J1" s="8" t="s">
        <v>33</v>
      </c>
      <c r="K1" s="122" t="s">
        <v>46</v>
      </c>
      <c r="M1" s="7" t="s">
        <v>33</v>
      </c>
      <c r="N1" s="7" t="s">
        <v>47</v>
      </c>
      <c r="P1" s="6" t="s">
        <v>45</v>
      </c>
    </row>
    <row r="2" spans="1:16" x14ac:dyDescent="0.5">
      <c r="A2" s="73"/>
      <c r="B2" s="121" t="s">
        <v>33</v>
      </c>
      <c r="C2" s="7" t="s">
        <v>47</v>
      </c>
      <c r="D2" s="74"/>
      <c r="F2" s="9">
        <v>2020</v>
      </c>
      <c r="G2" s="9">
        <v>8</v>
      </c>
      <c r="H2" s="10">
        <v>13329260</v>
      </c>
      <c r="J2" s="10">
        <v>1976</v>
      </c>
      <c r="K2" s="79">
        <f>AVERAGEIF($F$2:$F$537,J2,$H$2:$H$537)</f>
        <v>5381248.583333333</v>
      </c>
      <c r="M2" s="3">
        <v>2020</v>
      </c>
      <c r="N2" s="3">
        <v>13275220</v>
      </c>
    </row>
    <row r="3" spans="1:16" x14ac:dyDescent="0.5">
      <c r="A3" s="73"/>
      <c r="B3" s="5">
        <f>'INPUT TABLE'!B$1</f>
        <v>2020</v>
      </c>
      <c r="C3" s="80">
        <f>172661*(B3)-(335500000)</f>
        <v>13275220</v>
      </c>
      <c r="D3" s="74"/>
      <c r="F3" s="9">
        <v>2020</v>
      </c>
      <c r="G3" s="9">
        <v>7</v>
      </c>
      <c r="H3" s="10">
        <v>12706679</v>
      </c>
      <c r="J3" s="10">
        <v>1977</v>
      </c>
      <c r="K3" s="79">
        <f t="shared" ref="K3:K46" si="0">AVERAGEIF($F$2:$F$537,J3,$H$2:$H$537)</f>
        <v>5633267</v>
      </c>
      <c r="M3" s="3">
        <v>2021</v>
      </c>
      <c r="N3" s="3">
        <v>13447881</v>
      </c>
    </row>
    <row r="4" spans="1:16" x14ac:dyDescent="0.5">
      <c r="A4" s="73"/>
      <c r="B4" s="5">
        <f>B3+1</f>
        <v>2021</v>
      </c>
      <c r="C4" s="80">
        <f t="shared" ref="C4:C32" si="1">172661*(B4)-(335500000)</f>
        <v>13447881</v>
      </c>
      <c r="D4" s="74"/>
      <c r="F4" s="9">
        <v>2020</v>
      </c>
      <c r="G4" s="9">
        <v>6</v>
      </c>
      <c r="H4" s="10">
        <v>12606499</v>
      </c>
      <c r="J4" s="10">
        <v>1978</v>
      </c>
      <c r="K4" s="79">
        <f t="shared" si="0"/>
        <v>5909837.916666667</v>
      </c>
      <c r="M4" s="3">
        <v>2022</v>
      </c>
      <c r="N4" s="3">
        <v>13620542</v>
      </c>
    </row>
    <row r="5" spans="1:16" x14ac:dyDescent="0.5">
      <c r="A5" s="73"/>
      <c r="B5" s="5">
        <f t="shared" ref="B5:B32" si="2">B4+1</f>
        <v>2022</v>
      </c>
      <c r="C5" s="80">
        <f t="shared" si="1"/>
        <v>13620542</v>
      </c>
      <c r="D5" s="74"/>
      <c r="F5" s="9">
        <v>2020</v>
      </c>
      <c r="G5" s="9">
        <v>5</v>
      </c>
      <c r="H5" s="10">
        <v>11752881</v>
      </c>
      <c r="J5" s="10">
        <v>1979</v>
      </c>
      <c r="K5" s="79">
        <f t="shared" si="0"/>
        <v>6190524.5</v>
      </c>
      <c r="M5" s="3">
        <v>2023</v>
      </c>
      <c r="N5" s="3">
        <v>13793203</v>
      </c>
    </row>
    <row r="6" spans="1:16" x14ac:dyDescent="0.5">
      <c r="A6" s="73"/>
      <c r="B6" s="5">
        <f t="shared" si="2"/>
        <v>2023</v>
      </c>
      <c r="C6" s="80">
        <f t="shared" si="1"/>
        <v>13793203</v>
      </c>
      <c r="D6" s="74"/>
      <c r="F6" s="9">
        <v>2020</v>
      </c>
      <c r="G6" s="9">
        <v>4</v>
      </c>
      <c r="H6" s="10">
        <v>11259524</v>
      </c>
      <c r="J6" s="10">
        <v>1980</v>
      </c>
      <c r="K6" s="79">
        <f t="shared" si="0"/>
        <v>6404882.75</v>
      </c>
      <c r="M6" s="3">
        <v>2024</v>
      </c>
      <c r="N6" s="3">
        <v>13965864</v>
      </c>
    </row>
    <row r="7" spans="1:16" x14ac:dyDescent="0.5">
      <c r="A7" s="73"/>
      <c r="B7" s="5">
        <f t="shared" si="2"/>
        <v>2024</v>
      </c>
      <c r="C7" s="80">
        <f t="shared" si="1"/>
        <v>13965864</v>
      </c>
      <c r="D7" s="74"/>
      <c r="F7" s="9">
        <v>2020</v>
      </c>
      <c r="G7" s="9">
        <v>3</v>
      </c>
      <c r="H7" s="10">
        <v>13312340</v>
      </c>
      <c r="J7" s="10">
        <v>1981</v>
      </c>
      <c r="K7" s="79">
        <f t="shared" si="0"/>
        <v>6686969</v>
      </c>
      <c r="M7" s="3">
        <v>2025</v>
      </c>
      <c r="N7" s="3">
        <v>14138525</v>
      </c>
    </row>
    <row r="8" spans="1:16" x14ac:dyDescent="0.5">
      <c r="A8" s="73"/>
      <c r="B8" s="5">
        <f t="shared" si="2"/>
        <v>2025</v>
      </c>
      <c r="C8" s="80">
        <f t="shared" si="1"/>
        <v>14138525</v>
      </c>
      <c r="D8" s="74"/>
      <c r="F8" s="9">
        <v>2020</v>
      </c>
      <c r="G8" s="9">
        <v>2</v>
      </c>
      <c r="H8" s="10">
        <v>13775210</v>
      </c>
      <c r="J8" s="10">
        <v>1982</v>
      </c>
      <c r="K8" s="79">
        <f t="shared" si="0"/>
        <v>6867965.75</v>
      </c>
      <c r="M8" s="3">
        <v>2026</v>
      </c>
      <c r="N8" s="3">
        <v>14311186</v>
      </c>
    </row>
    <row r="9" spans="1:16" x14ac:dyDescent="0.5">
      <c r="A9" s="73"/>
      <c r="B9" s="5">
        <f t="shared" si="2"/>
        <v>2026</v>
      </c>
      <c r="C9" s="80">
        <f t="shared" si="1"/>
        <v>14311186</v>
      </c>
      <c r="D9" s="74"/>
      <c r="F9" s="9">
        <v>2020</v>
      </c>
      <c r="G9" s="9">
        <v>1</v>
      </c>
      <c r="H9" s="10">
        <v>13655624</v>
      </c>
      <c r="J9" s="10">
        <v>1983</v>
      </c>
      <c r="K9" s="79">
        <f t="shared" si="0"/>
        <v>7037892.666666667</v>
      </c>
      <c r="M9" s="3">
        <v>2027</v>
      </c>
      <c r="N9" s="3">
        <v>14483847</v>
      </c>
    </row>
    <row r="10" spans="1:16" x14ac:dyDescent="0.5">
      <c r="A10" s="73"/>
      <c r="B10" s="5">
        <f t="shared" si="2"/>
        <v>2027</v>
      </c>
      <c r="C10" s="80">
        <f t="shared" si="1"/>
        <v>14483847</v>
      </c>
      <c r="D10" s="74"/>
      <c r="F10" s="9">
        <v>2019</v>
      </c>
      <c r="G10" s="9">
        <v>12</v>
      </c>
      <c r="H10" s="10">
        <v>13722119</v>
      </c>
      <c r="J10" s="10">
        <v>1984</v>
      </c>
      <c r="K10" s="79">
        <f t="shared" si="0"/>
        <v>7360152.666666667</v>
      </c>
      <c r="M10" s="3">
        <v>2028</v>
      </c>
      <c r="N10" s="3">
        <v>14656508</v>
      </c>
    </row>
    <row r="11" spans="1:16" x14ac:dyDescent="0.5">
      <c r="A11" s="73"/>
      <c r="B11" s="5">
        <f t="shared" si="2"/>
        <v>2028</v>
      </c>
      <c r="C11" s="80">
        <f t="shared" si="1"/>
        <v>14656508</v>
      </c>
      <c r="D11" s="74"/>
      <c r="F11" s="9">
        <v>2019</v>
      </c>
      <c r="G11" s="9">
        <v>11</v>
      </c>
      <c r="H11" s="10">
        <v>13729113</v>
      </c>
      <c r="J11" s="10">
        <v>1985</v>
      </c>
      <c r="K11" s="79">
        <f t="shared" si="0"/>
        <v>7463323.416666667</v>
      </c>
      <c r="M11" s="3">
        <v>2029</v>
      </c>
      <c r="N11" s="3">
        <v>14829169</v>
      </c>
    </row>
    <row r="12" spans="1:16" x14ac:dyDescent="0.5">
      <c r="A12" s="73"/>
      <c r="B12" s="5">
        <f t="shared" si="2"/>
        <v>2029</v>
      </c>
      <c r="C12" s="80">
        <f t="shared" si="1"/>
        <v>14829169</v>
      </c>
      <c r="D12" s="74"/>
      <c r="F12" s="9">
        <v>2019</v>
      </c>
      <c r="G12" s="9">
        <v>10</v>
      </c>
      <c r="H12" s="10">
        <v>13686986</v>
      </c>
      <c r="J12" s="10">
        <v>1986</v>
      </c>
      <c r="K12" s="79">
        <f t="shared" si="0"/>
        <v>7463198</v>
      </c>
      <c r="M12" s="3">
        <v>2030</v>
      </c>
      <c r="N12" s="3">
        <v>15001830</v>
      </c>
    </row>
    <row r="13" spans="1:16" x14ac:dyDescent="0.5">
      <c r="A13" s="73"/>
      <c r="B13" s="5">
        <f t="shared" si="2"/>
        <v>2030</v>
      </c>
      <c r="C13" s="80">
        <f t="shared" si="1"/>
        <v>15001830</v>
      </c>
      <c r="D13" s="74"/>
      <c r="F13" s="9">
        <v>2019</v>
      </c>
      <c r="G13" s="9">
        <v>9</v>
      </c>
      <c r="H13" s="10">
        <v>13628468</v>
      </c>
      <c r="J13" s="10">
        <v>1987</v>
      </c>
      <c r="K13" s="79">
        <f t="shared" si="0"/>
        <v>7576649.583333333</v>
      </c>
      <c r="M13" s="3">
        <v>2031</v>
      </c>
      <c r="N13" s="3">
        <v>15174491</v>
      </c>
    </row>
    <row r="14" spans="1:16" x14ac:dyDescent="0.5">
      <c r="A14" s="73"/>
      <c r="B14" s="5">
        <f t="shared" si="2"/>
        <v>2031</v>
      </c>
      <c r="C14" s="80">
        <f t="shared" si="1"/>
        <v>15174491</v>
      </c>
      <c r="D14" s="74"/>
      <c r="F14" s="9">
        <v>2019</v>
      </c>
      <c r="G14" s="9">
        <v>8</v>
      </c>
      <c r="H14" s="10">
        <v>13506644</v>
      </c>
      <c r="J14" s="10">
        <v>1988</v>
      </c>
      <c r="K14" s="79">
        <f t="shared" si="0"/>
        <v>7724807.416666667</v>
      </c>
      <c r="M14" s="3">
        <v>2032</v>
      </c>
      <c r="N14" s="3">
        <v>15347152</v>
      </c>
    </row>
    <row r="15" spans="1:16" x14ac:dyDescent="0.5">
      <c r="A15" s="73"/>
      <c r="B15" s="5">
        <f t="shared" si="2"/>
        <v>2032</v>
      </c>
      <c r="C15" s="80">
        <f t="shared" si="1"/>
        <v>15347152</v>
      </c>
      <c r="D15" s="74"/>
      <c r="F15" s="9">
        <v>2019</v>
      </c>
      <c r="G15" s="9">
        <v>7</v>
      </c>
      <c r="H15" s="10">
        <v>13524473</v>
      </c>
      <c r="J15" s="10">
        <v>1989</v>
      </c>
      <c r="K15" s="79">
        <f t="shared" si="0"/>
        <v>7881265.166666667</v>
      </c>
      <c r="M15" s="3">
        <v>2033</v>
      </c>
      <c r="N15" s="3">
        <v>15519813</v>
      </c>
    </row>
    <row r="16" spans="1:16" x14ac:dyDescent="0.5">
      <c r="A16" s="73"/>
      <c r="B16" s="5">
        <f t="shared" si="2"/>
        <v>2033</v>
      </c>
      <c r="C16" s="80">
        <f t="shared" si="1"/>
        <v>15519813</v>
      </c>
      <c r="D16" s="74"/>
      <c r="F16" s="9">
        <v>2019</v>
      </c>
      <c r="G16" s="9">
        <v>6</v>
      </c>
      <c r="H16" s="10">
        <v>13489259</v>
      </c>
      <c r="J16" s="10">
        <v>1990</v>
      </c>
      <c r="K16" s="79">
        <f t="shared" si="0"/>
        <v>8073257.083333333</v>
      </c>
      <c r="M16" s="3">
        <v>2034</v>
      </c>
      <c r="N16" s="3">
        <v>15692474</v>
      </c>
    </row>
    <row r="17" spans="1:14" x14ac:dyDescent="0.5">
      <c r="A17" s="73"/>
      <c r="B17" s="5">
        <f t="shared" si="2"/>
        <v>2034</v>
      </c>
      <c r="C17" s="80">
        <f t="shared" si="1"/>
        <v>15692474</v>
      </c>
      <c r="D17" s="74"/>
      <c r="F17" s="9">
        <v>2019</v>
      </c>
      <c r="G17" s="9">
        <v>5</v>
      </c>
      <c r="H17" s="10">
        <v>13491168</v>
      </c>
      <c r="J17" s="10">
        <v>1991</v>
      </c>
      <c r="K17" s="79">
        <f t="shared" si="0"/>
        <v>8160512.416666667</v>
      </c>
      <c r="M17" s="3">
        <v>2035</v>
      </c>
      <c r="N17" s="3">
        <v>15865135</v>
      </c>
    </row>
    <row r="18" spans="1:14" x14ac:dyDescent="0.5">
      <c r="A18" s="73"/>
      <c r="B18" s="5">
        <f t="shared" si="2"/>
        <v>2035</v>
      </c>
      <c r="C18" s="80">
        <f t="shared" si="1"/>
        <v>15865135</v>
      </c>
      <c r="D18" s="74"/>
      <c r="F18" s="9">
        <v>2019</v>
      </c>
      <c r="G18" s="9">
        <v>4</v>
      </c>
      <c r="H18" s="10">
        <v>13504971</v>
      </c>
      <c r="J18" s="10">
        <v>1992</v>
      </c>
      <c r="K18" s="79">
        <f t="shared" si="0"/>
        <v>8317299.5</v>
      </c>
      <c r="M18" s="3">
        <v>2036</v>
      </c>
      <c r="N18" s="3">
        <v>16037796</v>
      </c>
    </row>
    <row r="19" spans="1:14" x14ac:dyDescent="0.5">
      <c r="A19" s="73"/>
      <c r="B19" s="5">
        <f t="shared" si="2"/>
        <v>2036</v>
      </c>
      <c r="C19" s="80">
        <f t="shared" si="1"/>
        <v>16037796</v>
      </c>
      <c r="D19" s="74"/>
      <c r="F19" s="9">
        <v>2019</v>
      </c>
      <c r="G19" s="9">
        <v>3</v>
      </c>
      <c r="H19" s="10">
        <v>13486329</v>
      </c>
      <c r="J19" s="10">
        <v>1993</v>
      </c>
      <c r="K19" s="79">
        <f t="shared" si="0"/>
        <v>8530186.583333334</v>
      </c>
      <c r="M19" s="3">
        <v>2037</v>
      </c>
      <c r="N19" s="3">
        <v>16210457</v>
      </c>
    </row>
    <row r="20" spans="1:14" x14ac:dyDescent="0.5">
      <c r="A20" s="73"/>
      <c r="B20" s="5">
        <f t="shared" si="2"/>
        <v>2037</v>
      </c>
      <c r="C20" s="80">
        <f t="shared" si="1"/>
        <v>16210457</v>
      </c>
      <c r="D20" s="74"/>
      <c r="F20" s="9">
        <v>2019</v>
      </c>
      <c r="G20" s="9">
        <v>2</v>
      </c>
      <c r="H20" s="10">
        <v>13486223</v>
      </c>
      <c r="J20" s="10">
        <v>1994</v>
      </c>
      <c r="K20" s="79">
        <f t="shared" si="0"/>
        <v>8793182.5</v>
      </c>
      <c r="M20" s="3">
        <v>2038</v>
      </c>
      <c r="N20" s="3">
        <v>16383118</v>
      </c>
    </row>
    <row r="21" spans="1:14" x14ac:dyDescent="0.5">
      <c r="A21" s="73"/>
      <c r="B21" s="5">
        <f t="shared" si="2"/>
        <v>2038</v>
      </c>
      <c r="C21" s="80">
        <f t="shared" si="1"/>
        <v>16383118</v>
      </c>
      <c r="D21" s="74"/>
      <c r="F21" s="9">
        <v>2019</v>
      </c>
      <c r="G21" s="9">
        <v>1</v>
      </c>
      <c r="H21" s="10">
        <v>13365741</v>
      </c>
      <c r="J21" s="10">
        <v>1995</v>
      </c>
      <c r="K21" s="79">
        <f t="shared" si="0"/>
        <v>8997537.75</v>
      </c>
      <c r="M21" s="3">
        <v>2039</v>
      </c>
      <c r="N21" s="3">
        <v>16555779</v>
      </c>
    </row>
    <row r="22" spans="1:14" x14ac:dyDescent="0.5">
      <c r="A22" s="73"/>
      <c r="B22" s="5">
        <f t="shared" si="2"/>
        <v>2039</v>
      </c>
      <c r="C22" s="80">
        <f t="shared" si="1"/>
        <v>16555779</v>
      </c>
      <c r="D22" s="74"/>
      <c r="F22" s="9">
        <v>2018</v>
      </c>
      <c r="G22" s="9">
        <v>12</v>
      </c>
      <c r="H22" s="10">
        <v>13421526</v>
      </c>
      <c r="J22" s="10">
        <v>1996</v>
      </c>
      <c r="K22" s="79">
        <f t="shared" si="0"/>
        <v>9165915.5</v>
      </c>
      <c r="M22" s="3">
        <v>2040</v>
      </c>
      <c r="N22" s="3">
        <v>16728440</v>
      </c>
    </row>
    <row r="23" spans="1:14" x14ac:dyDescent="0.5">
      <c r="A23" s="73"/>
      <c r="B23" s="5">
        <f t="shared" si="2"/>
        <v>2040</v>
      </c>
      <c r="C23" s="80">
        <f t="shared" si="1"/>
        <v>16728440</v>
      </c>
      <c r="D23" s="74"/>
      <c r="F23" s="9">
        <v>2018</v>
      </c>
      <c r="G23" s="9">
        <v>11</v>
      </c>
      <c r="H23" s="10">
        <v>13434696</v>
      </c>
      <c r="J23" s="10">
        <v>1997</v>
      </c>
      <c r="K23" s="79">
        <f t="shared" si="0"/>
        <v>9395537.083333334</v>
      </c>
      <c r="M23" s="3">
        <v>2041</v>
      </c>
      <c r="N23" s="3">
        <v>16901101</v>
      </c>
    </row>
    <row r="24" spans="1:14" x14ac:dyDescent="0.5">
      <c r="A24" s="73"/>
      <c r="B24" s="5">
        <f t="shared" si="2"/>
        <v>2041</v>
      </c>
      <c r="C24" s="80">
        <f t="shared" si="1"/>
        <v>16901101</v>
      </c>
      <c r="D24" s="74"/>
      <c r="F24" s="9">
        <v>2018</v>
      </c>
      <c r="G24" s="9">
        <v>10</v>
      </c>
      <c r="H24" s="10">
        <v>13377811</v>
      </c>
      <c r="J24" s="10">
        <v>1998</v>
      </c>
      <c r="K24" s="79">
        <f t="shared" si="0"/>
        <v>9603021.083333334</v>
      </c>
      <c r="M24" s="3">
        <v>2042</v>
      </c>
      <c r="N24" s="3">
        <v>17073762</v>
      </c>
    </row>
    <row r="25" spans="1:14" x14ac:dyDescent="0.5">
      <c r="A25" s="73"/>
      <c r="B25" s="5">
        <f t="shared" si="2"/>
        <v>2042</v>
      </c>
      <c r="C25" s="80">
        <f t="shared" si="1"/>
        <v>17073762</v>
      </c>
      <c r="D25" s="74"/>
      <c r="F25" s="9">
        <v>2018</v>
      </c>
      <c r="G25" s="9">
        <v>9</v>
      </c>
      <c r="H25" s="10">
        <v>13308030</v>
      </c>
      <c r="J25" s="10">
        <v>1999</v>
      </c>
      <c r="K25" s="79">
        <f t="shared" si="0"/>
        <v>9767851.083333334</v>
      </c>
      <c r="M25" s="3">
        <v>2043</v>
      </c>
      <c r="N25" s="3">
        <v>17246423</v>
      </c>
    </row>
    <row r="26" spans="1:14" x14ac:dyDescent="0.5">
      <c r="A26" s="73"/>
      <c r="B26" s="5">
        <f t="shared" si="2"/>
        <v>2043</v>
      </c>
      <c r="C26" s="80">
        <f t="shared" si="1"/>
        <v>17246423</v>
      </c>
      <c r="D26" s="74"/>
      <c r="F26" s="9">
        <v>2018</v>
      </c>
      <c r="G26" s="9">
        <v>8</v>
      </c>
      <c r="H26" s="10">
        <v>13196847</v>
      </c>
      <c r="J26" s="10">
        <v>2000</v>
      </c>
      <c r="K26" s="79">
        <f t="shared" si="0"/>
        <v>9929386.666666666</v>
      </c>
      <c r="M26" s="3">
        <v>2044</v>
      </c>
      <c r="N26" s="3">
        <v>17419084</v>
      </c>
    </row>
    <row r="27" spans="1:14" x14ac:dyDescent="0.5">
      <c r="A27" s="73"/>
      <c r="B27" s="5">
        <f t="shared" si="2"/>
        <v>2044</v>
      </c>
      <c r="C27" s="80">
        <f t="shared" si="1"/>
        <v>17419084</v>
      </c>
      <c r="D27" s="74"/>
      <c r="F27" s="9">
        <v>2018</v>
      </c>
      <c r="G27" s="9">
        <v>7</v>
      </c>
      <c r="H27" s="10">
        <v>13288356</v>
      </c>
      <c r="J27" s="10">
        <v>2001</v>
      </c>
      <c r="K27" s="79">
        <f t="shared" si="0"/>
        <v>10011045.833333334</v>
      </c>
      <c r="M27" s="3">
        <v>2045</v>
      </c>
      <c r="N27" s="3">
        <v>17591745</v>
      </c>
    </row>
    <row r="28" spans="1:14" x14ac:dyDescent="0.5">
      <c r="A28" s="73"/>
      <c r="B28" s="5">
        <f t="shared" si="2"/>
        <v>2045</v>
      </c>
      <c r="C28" s="80">
        <f t="shared" si="1"/>
        <v>17591745</v>
      </c>
      <c r="D28" s="74"/>
      <c r="F28" s="9">
        <v>2018</v>
      </c>
      <c r="G28" s="9">
        <v>6</v>
      </c>
      <c r="H28" s="10">
        <v>13254102</v>
      </c>
      <c r="J28" s="10">
        <v>2002</v>
      </c>
      <c r="K28" s="79">
        <f t="shared" si="0"/>
        <v>10065869.583333334</v>
      </c>
      <c r="M28" s="3">
        <v>2046</v>
      </c>
      <c r="N28" s="3">
        <v>17764406</v>
      </c>
    </row>
    <row r="29" spans="1:14" x14ac:dyDescent="0.5">
      <c r="A29" s="73"/>
      <c r="B29" s="5">
        <f t="shared" si="2"/>
        <v>2046</v>
      </c>
      <c r="C29" s="80">
        <f t="shared" si="1"/>
        <v>17764406</v>
      </c>
      <c r="D29" s="74"/>
      <c r="F29" s="9">
        <v>2018</v>
      </c>
      <c r="G29" s="9">
        <v>5</v>
      </c>
      <c r="H29" s="10">
        <v>13282312</v>
      </c>
      <c r="J29" s="10">
        <v>2003</v>
      </c>
      <c r="K29" s="79">
        <f t="shared" si="0"/>
        <v>10185312.166666666</v>
      </c>
      <c r="M29" s="3">
        <v>2047</v>
      </c>
      <c r="N29" s="3">
        <v>17937067</v>
      </c>
    </row>
    <row r="30" spans="1:14" x14ac:dyDescent="0.5">
      <c r="A30" s="73"/>
      <c r="B30" s="5">
        <f t="shared" si="2"/>
        <v>2047</v>
      </c>
      <c r="C30" s="80">
        <f t="shared" si="1"/>
        <v>17937067</v>
      </c>
      <c r="D30" s="74"/>
      <c r="F30" s="9">
        <v>2018</v>
      </c>
      <c r="G30" s="9">
        <v>4</v>
      </c>
      <c r="H30" s="10">
        <v>13285016</v>
      </c>
      <c r="J30" s="10">
        <v>2004</v>
      </c>
      <c r="K30" s="79">
        <f t="shared" si="0"/>
        <v>10338484.166666666</v>
      </c>
      <c r="M30" s="3">
        <v>2048</v>
      </c>
      <c r="N30" s="3">
        <v>18109728</v>
      </c>
    </row>
    <row r="31" spans="1:14" x14ac:dyDescent="0.5">
      <c r="A31" s="73"/>
      <c r="B31" s="5">
        <f t="shared" si="2"/>
        <v>2048</v>
      </c>
      <c r="C31" s="80">
        <f t="shared" si="1"/>
        <v>18109728</v>
      </c>
      <c r="D31" s="74"/>
      <c r="F31" s="9">
        <v>2018</v>
      </c>
      <c r="G31" s="9">
        <v>3</v>
      </c>
      <c r="H31" s="10">
        <v>13245729</v>
      </c>
      <c r="J31" s="10">
        <v>2005</v>
      </c>
      <c r="K31" s="79">
        <f t="shared" si="0"/>
        <v>10523257.416666666</v>
      </c>
      <c r="M31" s="3">
        <v>2049</v>
      </c>
      <c r="N31" s="3">
        <v>18282389</v>
      </c>
    </row>
    <row r="32" spans="1:14" x14ac:dyDescent="0.5">
      <c r="A32" s="73"/>
      <c r="B32" s="5">
        <f t="shared" si="2"/>
        <v>2049</v>
      </c>
      <c r="C32" s="80">
        <f t="shared" si="1"/>
        <v>18282389</v>
      </c>
      <c r="D32" s="74"/>
      <c r="F32" s="9">
        <v>2018</v>
      </c>
      <c r="G32" s="9">
        <v>2</v>
      </c>
      <c r="H32" s="10">
        <v>13239913</v>
      </c>
      <c r="J32" s="10">
        <v>2006</v>
      </c>
      <c r="K32" s="79">
        <f t="shared" si="0"/>
        <v>10774489.75</v>
      </c>
      <c r="M32" s="3">
        <v>2050</v>
      </c>
      <c r="N32" s="3">
        <v>18455050</v>
      </c>
    </row>
    <row r="33" spans="1:11" x14ac:dyDescent="0.5">
      <c r="A33" s="73"/>
      <c r="B33" s="5">
        <f t="shared" ref="B33" si="3">B32+1</f>
        <v>2050</v>
      </c>
      <c r="C33" s="80">
        <f t="shared" ref="C33" si="4">172661*(B33)-(335500000)</f>
        <v>18455050</v>
      </c>
      <c r="D33" s="74"/>
      <c r="F33" s="9">
        <v>2018</v>
      </c>
      <c r="G33" s="9">
        <v>1</v>
      </c>
      <c r="H33" s="10">
        <v>13087083</v>
      </c>
      <c r="J33" s="10">
        <v>2007</v>
      </c>
      <c r="K33" s="79">
        <f t="shared" si="0"/>
        <v>10941413</v>
      </c>
    </row>
    <row r="34" spans="1:11" ht="14.7" thickBot="1" x14ac:dyDescent="0.55000000000000004">
      <c r="A34" s="75"/>
      <c r="B34" s="76"/>
      <c r="C34" s="76"/>
      <c r="D34" s="77"/>
      <c r="F34" s="9">
        <v>2017</v>
      </c>
      <c r="G34" s="9">
        <v>12</v>
      </c>
      <c r="H34" s="10">
        <v>13130264</v>
      </c>
      <c r="J34" s="10">
        <v>2008</v>
      </c>
      <c r="K34" s="79">
        <f t="shared" si="0"/>
        <v>11104114.666666666</v>
      </c>
    </row>
    <row r="35" spans="1:11" x14ac:dyDescent="0.5">
      <c r="F35" s="9">
        <v>2017</v>
      </c>
      <c r="G35" s="9">
        <v>11</v>
      </c>
      <c r="H35" s="10">
        <v>13138025</v>
      </c>
      <c r="J35" s="10">
        <v>2009</v>
      </c>
      <c r="K35" s="79">
        <f t="shared" si="0"/>
        <v>11008903</v>
      </c>
    </row>
    <row r="36" spans="1:11" x14ac:dyDescent="0.5">
      <c r="F36" s="9">
        <v>2017</v>
      </c>
      <c r="G36" s="9">
        <v>10</v>
      </c>
      <c r="H36" s="10">
        <v>13080134</v>
      </c>
      <c r="J36" s="10">
        <v>2010</v>
      </c>
      <c r="K36" s="79">
        <f t="shared" si="0"/>
        <v>11244631.916666666</v>
      </c>
    </row>
    <row r="37" spans="1:11" x14ac:dyDescent="0.5">
      <c r="F37" s="9">
        <v>2017</v>
      </c>
      <c r="G37" s="9">
        <v>9</v>
      </c>
      <c r="H37" s="10">
        <v>13088558</v>
      </c>
      <c r="J37" s="10">
        <v>2011</v>
      </c>
      <c r="K37" s="79">
        <f t="shared" si="0"/>
        <v>11535094.666666666</v>
      </c>
    </row>
    <row r="38" spans="1:11" x14ac:dyDescent="0.5">
      <c r="F38" s="9">
        <v>2017</v>
      </c>
      <c r="G38" s="9">
        <v>8</v>
      </c>
      <c r="H38" s="10">
        <v>12949658</v>
      </c>
      <c r="J38" s="10">
        <v>2012</v>
      </c>
      <c r="K38" s="79">
        <f t="shared" si="0"/>
        <v>11818674.583333334</v>
      </c>
    </row>
    <row r="39" spans="1:11" x14ac:dyDescent="0.5">
      <c r="F39" s="9">
        <v>2017</v>
      </c>
      <c r="G39" s="9">
        <v>7</v>
      </c>
      <c r="H39" s="10">
        <v>12987028</v>
      </c>
      <c r="J39" s="10">
        <v>2013</v>
      </c>
      <c r="K39" s="79">
        <f t="shared" si="0"/>
        <v>12052645.75</v>
      </c>
    </row>
    <row r="40" spans="1:11" x14ac:dyDescent="0.5">
      <c r="F40" s="9">
        <v>2017</v>
      </c>
      <c r="G40" s="9">
        <v>6</v>
      </c>
      <c r="H40" s="10">
        <v>12956888</v>
      </c>
      <c r="J40" s="10">
        <v>2014</v>
      </c>
      <c r="K40" s="79">
        <f t="shared" si="0"/>
        <v>12374171.75</v>
      </c>
    </row>
    <row r="41" spans="1:11" x14ac:dyDescent="0.5">
      <c r="F41" s="9">
        <v>2017</v>
      </c>
      <c r="G41" s="9">
        <v>5</v>
      </c>
      <c r="H41" s="10">
        <v>12960745</v>
      </c>
      <c r="J41" s="10">
        <v>2015</v>
      </c>
      <c r="K41" s="79">
        <f t="shared" si="0"/>
        <v>12505617.333333334</v>
      </c>
    </row>
    <row r="42" spans="1:11" x14ac:dyDescent="0.5">
      <c r="F42" s="9">
        <v>2017</v>
      </c>
      <c r="G42" s="9">
        <v>4</v>
      </c>
      <c r="H42" s="10">
        <v>12995707</v>
      </c>
      <c r="J42" s="10">
        <v>2016</v>
      </c>
      <c r="K42" s="79">
        <f t="shared" si="0"/>
        <v>12720225.583333334</v>
      </c>
    </row>
    <row r="43" spans="1:11" x14ac:dyDescent="0.5">
      <c r="F43" s="9">
        <v>2017</v>
      </c>
      <c r="G43" s="9">
        <v>3</v>
      </c>
      <c r="H43" s="10">
        <v>12938226</v>
      </c>
      <c r="J43" s="10">
        <v>2017</v>
      </c>
      <c r="K43" s="79">
        <f t="shared" si="0"/>
        <v>12989682</v>
      </c>
    </row>
    <row r="44" spans="1:11" x14ac:dyDescent="0.5">
      <c r="F44" s="9">
        <v>2017</v>
      </c>
      <c r="G44" s="9">
        <v>2</v>
      </c>
      <c r="H44" s="10">
        <v>12877450</v>
      </c>
      <c r="J44" s="10">
        <v>2018</v>
      </c>
      <c r="K44" s="79">
        <f t="shared" si="0"/>
        <v>13285118.416666666</v>
      </c>
    </row>
    <row r="45" spans="1:11" x14ac:dyDescent="0.5">
      <c r="F45" s="9">
        <v>2017</v>
      </c>
      <c r="G45" s="9">
        <v>1</v>
      </c>
      <c r="H45" s="10">
        <v>12773501</v>
      </c>
      <c r="J45" s="10">
        <v>2019</v>
      </c>
      <c r="K45" s="79">
        <f t="shared" si="0"/>
        <v>13551791.166666666</v>
      </c>
    </row>
    <row r="46" spans="1:11" x14ac:dyDescent="0.5">
      <c r="F46" s="9">
        <v>2016</v>
      </c>
      <c r="G46" s="9">
        <v>12</v>
      </c>
      <c r="H46" s="10">
        <v>12803258</v>
      </c>
      <c r="J46" s="10">
        <v>2020</v>
      </c>
      <c r="K46" s="79">
        <f t="shared" si="0"/>
        <v>12799752.125</v>
      </c>
    </row>
    <row r="47" spans="1:11" x14ac:dyDescent="0.5">
      <c r="F47" s="9">
        <v>2016</v>
      </c>
      <c r="G47" s="9">
        <v>11</v>
      </c>
      <c r="H47" s="10">
        <v>12827123</v>
      </c>
    </row>
    <row r="48" spans="1:11" x14ac:dyDescent="0.5">
      <c r="F48" s="9">
        <v>2016</v>
      </c>
      <c r="G48" s="9">
        <v>10</v>
      </c>
      <c r="H48" s="10">
        <v>12771296</v>
      </c>
    </row>
    <row r="49" spans="6:8" x14ac:dyDescent="0.5">
      <c r="F49" s="9">
        <v>2016</v>
      </c>
      <c r="G49" s="9">
        <v>9</v>
      </c>
      <c r="H49" s="10">
        <v>12741240</v>
      </c>
    </row>
    <row r="50" spans="6:8" x14ac:dyDescent="0.5">
      <c r="F50" s="9">
        <v>2016</v>
      </c>
      <c r="G50" s="9">
        <v>8</v>
      </c>
      <c r="H50" s="10">
        <v>12684138</v>
      </c>
    </row>
    <row r="51" spans="6:8" x14ac:dyDescent="0.5">
      <c r="F51" s="9">
        <v>2016</v>
      </c>
      <c r="G51" s="9">
        <v>7</v>
      </c>
      <c r="H51" s="10">
        <v>12706007</v>
      </c>
    </row>
    <row r="52" spans="6:8" x14ac:dyDescent="0.5">
      <c r="F52" s="9">
        <v>2016</v>
      </c>
      <c r="G52" s="9">
        <v>6</v>
      </c>
      <c r="H52" s="10">
        <v>12688463</v>
      </c>
    </row>
    <row r="53" spans="6:8" x14ac:dyDescent="0.5">
      <c r="F53" s="9">
        <v>2016</v>
      </c>
      <c r="G53" s="9">
        <v>5</v>
      </c>
      <c r="H53" s="10">
        <v>12721826</v>
      </c>
    </row>
    <row r="54" spans="6:8" x14ac:dyDescent="0.5">
      <c r="F54" s="9">
        <v>2016</v>
      </c>
      <c r="G54" s="9">
        <v>4</v>
      </c>
      <c r="H54" s="10">
        <v>12729423</v>
      </c>
    </row>
    <row r="55" spans="6:8" x14ac:dyDescent="0.5">
      <c r="F55" s="9">
        <v>2016</v>
      </c>
      <c r="G55" s="9">
        <v>3</v>
      </c>
      <c r="H55" s="10">
        <v>12708349</v>
      </c>
    </row>
    <row r="56" spans="6:8" x14ac:dyDescent="0.5">
      <c r="F56" s="9">
        <v>2016</v>
      </c>
      <c r="G56" s="9">
        <v>2</v>
      </c>
      <c r="H56" s="10">
        <v>12684332</v>
      </c>
    </row>
    <row r="57" spans="6:8" x14ac:dyDescent="0.5">
      <c r="F57" s="9">
        <v>2016</v>
      </c>
      <c r="G57" s="9">
        <v>1</v>
      </c>
      <c r="H57" s="10">
        <v>12577252</v>
      </c>
    </row>
    <row r="58" spans="6:8" x14ac:dyDescent="0.5">
      <c r="F58" s="9">
        <v>2015</v>
      </c>
      <c r="G58" s="9">
        <v>12</v>
      </c>
      <c r="H58" s="10">
        <v>12605220</v>
      </c>
    </row>
    <row r="59" spans="6:8" x14ac:dyDescent="0.5">
      <c r="F59" s="9">
        <v>2015</v>
      </c>
      <c r="G59" s="9">
        <v>11</v>
      </c>
      <c r="H59" s="10">
        <v>12586402</v>
      </c>
    </row>
    <row r="60" spans="6:8" x14ac:dyDescent="0.5">
      <c r="F60" s="9">
        <v>2015</v>
      </c>
      <c r="G60" s="9">
        <v>10</v>
      </c>
      <c r="H60" s="10">
        <v>12533367</v>
      </c>
    </row>
    <row r="61" spans="6:8" x14ac:dyDescent="0.5">
      <c r="F61" s="9">
        <v>2015</v>
      </c>
      <c r="G61" s="9">
        <v>9</v>
      </c>
      <c r="H61" s="10">
        <v>12481457</v>
      </c>
    </row>
    <row r="62" spans="6:8" x14ac:dyDescent="0.5">
      <c r="F62" s="9">
        <v>2015</v>
      </c>
      <c r="G62" s="9">
        <v>8</v>
      </c>
      <c r="H62" s="10">
        <v>12456573</v>
      </c>
    </row>
    <row r="63" spans="6:8" x14ac:dyDescent="0.5">
      <c r="F63" s="9">
        <v>2015</v>
      </c>
      <c r="G63" s="9">
        <v>7</v>
      </c>
      <c r="H63" s="10">
        <v>12472754</v>
      </c>
    </row>
    <row r="64" spans="6:8" x14ac:dyDescent="0.5">
      <c r="F64" s="9">
        <v>2015</v>
      </c>
      <c r="G64" s="9">
        <v>6</v>
      </c>
      <c r="H64" s="10">
        <v>12490733</v>
      </c>
    </row>
    <row r="65" spans="6:8" x14ac:dyDescent="0.5">
      <c r="F65" s="9">
        <v>2015</v>
      </c>
      <c r="G65" s="9">
        <v>5</v>
      </c>
      <c r="H65" s="10">
        <v>12538647</v>
      </c>
    </row>
    <row r="66" spans="6:8" x14ac:dyDescent="0.5">
      <c r="F66" s="9">
        <v>2015</v>
      </c>
      <c r="G66" s="9">
        <v>4</v>
      </c>
      <c r="H66" s="10">
        <v>12536027</v>
      </c>
    </row>
    <row r="67" spans="6:8" x14ac:dyDescent="0.5">
      <c r="F67" s="9">
        <v>2015</v>
      </c>
      <c r="G67" s="9">
        <v>3</v>
      </c>
      <c r="H67" s="10">
        <v>12473623</v>
      </c>
    </row>
    <row r="68" spans="6:8" x14ac:dyDescent="0.5">
      <c r="F68" s="9">
        <v>2015</v>
      </c>
      <c r="G68" s="9">
        <v>2</v>
      </c>
      <c r="H68" s="10">
        <v>12469563</v>
      </c>
    </row>
    <row r="69" spans="6:8" x14ac:dyDescent="0.5">
      <c r="F69" s="9">
        <v>2015</v>
      </c>
      <c r="G69" s="9">
        <v>1</v>
      </c>
      <c r="H69" s="10">
        <v>12423042</v>
      </c>
    </row>
    <row r="70" spans="6:8" x14ac:dyDescent="0.5">
      <c r="F70" s="9">
        <v>2014</v>
      </c>
      <c r="G70" s="9">
        <v>12</v>
      </c>
      <c r="H70" s="10">
        <v>12483938</v>
      </c>
    </row>
    <row r="71" spans="6:8" x14ac:dyDescent="0.5">
      <c r="F71" s="9">
        <v>2014</v>
      </c>
      <c r="G71" s="9">
        <v>11</v>
      </c>
      <c r="H71" s="10">
        <v>12504796</v>
      </c>
    </row>
    <row r="72" spans="6:8" x14ac:dyDescent="0.5">
      <c r="F72" s="9">
        <v>2014</v>
      </c>
      <c r="G72" s="9">
        <v>10</v>
      </c>
      <c r="H72" s="10">
        <v>12486008</v>
      </c>
    </row>
    <row r="73" spans="6:8" x14ac:dyDescent="0.5">
      <c r="F73" s="9">
        <v>2014</v>
      </c>
      <c r="G73" s="9">
        <v>9</v>
      </c>
      <c r="H73" s="10">
        <v>12414167</v>
      </c>
    </row>
    <row r="74" spans="6:8" x14ac:dyDescent="0.5">
      <c r="F74" s="9">
        <v>2014</v>
      </c>
      <c r="G74" s="9">
        <v>8</v>
      </c>
      <c r="H74" s="10">
        <v>12341010</v>
      </c>
    </row>
    <row r="75" spans="6:8" x14ac:dyDescent="0.5">
      <c r="F75" s="9">
        <v>2014</v>
      </c>
      <c r="G75" s="9">
        <v>7</v>
      </c>
      <c r="H75" s="10">
        <v>12367994</v>
      </c>
    </row>
    <row r="76" spans="6:8" x14ac:dyDescent="0.5">
      <c r="F76" s="9">
        <v>2014</v>
      </c>
      <c r="G76" s="9">
        <v>6</v>
      </c>
      <c r="H76" s="10">
        <v>12368472</v>
      </c>
    </row>
    <row r="77" spans="6:8" x14ac:dyDescent="0.5">
      <c r="F77" s="9">
        <v>2014</v>
      </c>
      <c r="G77" s="9">
        <v>5</v>
      </c>
      <c r="H77" s="10">
        <v>12379589</v>
      </c>
    </row>
    <row r="78" spans="6:8" x14ac:dyDescent="0.5">
      <c r="F78" s="9">
        <v>2014</v>
      </c>
      <c r="G78" s="9">
        <v>4</v>
      </c>
      <c r="H78" s="10">
        <v>12379779</v>
      </c>
    </row>
    <row r="79" spans="6:8" x14ac:dyDescent="0.5">
      <c r="F79" s="9">
        <v>2014</v>
      </c>
      <c r="G79" s="9">
        <v>3</v>
      </c>
      <c r="H79" s="10">
        <v>12317301</v>
      </c>
    </row>
    <row r="80" spans="6:8" x14ac:dyDescent="0.5">
      <c r="F80" s="9">
        <v>2014</v>
      </c>
      <c r="G80" s="9">
        <v>2</v>
      </c>
      <c r="H80" s="10">
        <v>12257995</v>
      </c>
    </row>
    <row r="81" spans="6:8" x14ac:dyDescent="0.5">
      <c r="F81" s="9">
        <v>2014</v>
      </c>
      <c r="G81" s="9">
        <v>1</v>
      </c>
      <c r="H81" s="10">
        <v>12189012</v>
      </c>
    </row>
    <row r="82" spans="6:8" x14ac:dyDescent="0.5">
      <c r="F82" s="9">
        <v>2013</v>
      </c>
      <c r="G82" s="9">
        <v>12</v>
      </c>
      <c r="H82" s="10">
        <v>12211452</v>
      </c>
    </row>
    <row r="83" spans="6:8" x14ac:dyDescent="0.5">
      <c r="F83" s="9">
        <v>2013</v>
      </c>
      <c r="G83" s="9">
        <v>11</v>
      </c>
      <c r="H83" s="10">
        <v>12191600</v>
      </c>
    </row>
    <row r="84" spans="6:8" x14ac:dyDescent="0.5">
      <c r="F84" s="9">
        <v>2013</v>
      </c>
      <c r="G84" s="9">
        <v>10</v>
      </c>
      <c r="H84" s="10">
        <v>12074850</v>
      </c>
    </row>
    <row r="85" spans="6:8" x14ac:dyDescent="0.5">
      <c r="F85" s="9">
        <v>2013</v>
      </c>
      <c r="G85" s="9">
        <v>9</v>
      </c>
      <c r="H85" s="10">
        <v>12125024</v>
      </c>
    </row>
    <row r="86" spans="6:8" x14ac:dyDescent="0.5">
      <c r="F86" s="9">
        <v>2013</v>
      </c>
      <c r="G86" s="9">
        <v>8</v>
      </c>
      <c r="H86" s="10">
        <v>12051395</v>
      </c>
    </row>
    <row r="87" spans="6:8" x14ac:dyDescent="0.5">
      <c r="F87" s="9">
        <v>2013</v>
      </c>
      <c r="G87" s="9">
        <v>7</v>
      </c>
      <c r="H87" s="10">
        <v>12070089</v>
      </c>
    </row>
    <row r="88" spans="6:8" x14ac:dyDescent="0.5">
      <c r="F88" s="9">
        <v>2013</v>
      </c>
      <c r="G88" s="9">
        <v>6</v>
      </c>
      <c r="H88" s="10">
        <v>12049427</v>
      </c>
    </row>
    <row r="89" spans="6:8" x14ac:dyDescent="0.5">
      <c r="F89" s="9">
        <v>2013</v>
      </c>
      <c r="G89" s="9">
        <v>5</v>
      </c>
      <c r="H89" s="10">
        <v>12073697</v>
      </c>
    </row>
    <row r="90" spans="6:8" x14ac:dyDescent="0.5">
      <c r="F90" s="9">
        <v>2013</v>
      </c>
      <c r="G90" s="9">
        <v>4</v>
      </c>
      <c r="H90" s="10">
        <v>12048376</v>
      </c>
    </row>
    <row r="91" spans="6:8" x14ac:dyDescent="0.5">
      <c r="F91" s="9">
        <v>2013</v>
      </c>
      <c r="G91" s="9">
        <v>3</v>
      </c>
      <c r="H91" s="10">
        <v>11948764</v>
      </c>
    </row>
    <row r="92" spans="6:8" x14ac:dyDescent="0.5">
      <c r="F92" s="9">
        <v>2013</v>
      </c>
      <c r="G92" s="9">
        <v>2</v>
      </c>
      <c r="H92" s="10">
        <v>11925757</v>
      </c>
    </row>
    <row r="93" spans="6:8" x14ac:dyDescent="0.5">
      <c r="F93" s="9">
        <v>2013</v>
      </c>
      <c r="G93" s="9">
        <v>1</v>
      </c>
      <c r="H93" s="10">
        <v>11861318</v>
      </c>
    </row>
    <row r="94" spans="6:8" x14ac:dyDescent="0.5">
      <c r="F94" s="9">
        <v>2012</v>
      </c>
      <c r="G94" s="9">
        <v>12</v>
      </c>
      <c r="H94" s="10">
        <v>11968650</v>
      </c>
    </row>
    <row r="95" spans="6:8" x14ac:dyDescent="0.5">
      <c r="F95" s="9">
        <v>2012</v>
      </c>
      <c r="G95" s="9">
        <v>11</v>
      </c>
      <c r="H95" s="10">
        <v>11970972</v>
      </c>
    </row>
    <row r="96" spans="6:8" x14ac:dyDescent="0.5">
      <c r="F96" s="9">
        <v>2012</v>
      </c>
      <c r="G96" s="9">
        <v>10</v>
      </c>
      <c r="H96" s="10">
        <v>11971813</v>
      </c>
    </row>
    <row r="97" spans="6:8" x14ac:dyDescent="0.5">
      <c r="F97" s="9">
        <v>2012</v>
      </c>
      <c r="G97" s="9">
        <v>9</v>
      </c>
      <c r="H97" s="10">
        <v>11909369</v>
      </c>
    </row>
    <row r="98" spans="6:8" x14ac:dyDescent="0.5">
      <c r="F98" s="9">
        <v>2012</v>
      </c>
      <c r="G98" s="9">
        <v>8</v>
      </c>
      <c r="H98" s="10">
        <v>11769217</v>
      </c>
    </row>
    <row r="99" spans="6:8" x14ac:dyDescent="0.5">
      <c r="F99" s="9">
        <v>2012</v>
      </c>
      <c r="G99" s="9">
        <v>7</v>
      </c>
      <c r="H99" s="10">
        <v>11796327</v>
      </c>
    </row>
    <row r="100" spans="6:8" x14ac:dyDescent="0.5">
      <c r="F100" s="9">
        <v>2012</v>
      </c>
      <c r="G100" s="9">
        <v>6</v>
      </c>
      <c r="H100" s="10">
        <v>11798739</v>
      </c>
    </row>
    <row r="101" spans="6:8" x14ac:dyDescent="0.5">
      <c r="F101" s="9">
        <v>2012</v>
      </c>
      <c r="G101" s="9">
        <v>5</v>
      </c>
      <c r="H101" s="10">
        <v>11806442</v>
      </c>
    </row>
    <row r="102" spans="6:8" x14ac:dyDescent="0.5">
      <c r="F102" s="9">
        <v>2012</v>
      </c>
      <c r="G102" s="9">
        <v>4</v>
      </c>
      <c r="H102" s="10">
        <v>11786190</v>
      </c>
    </row>
    <row r="103" spans="6:8" x14ac:dyDescent="0.5">
      <c r="F103" s="9">
        <v>2012</v>
      </c>
      <c r="G103" s="9">
        <v>3</v>
      </c>
      <c r="H103" s="10">
        <v>11741389</v>
      </c>
    </row>
    <row r="104" spans="6:8" x14ac:dyDescent="0.5">
      <c r="F104" s="9">
        <v>2012</v>
      </c>
      <c r="G104" s="9">
        <v>2</v>
      </c>
      <c r="H104" s="10">
        <v>11687054</v>
      </c>
    </row>
    <row r="105" spans="6:8" x14ac:dyDescent="0.5">
      <c r="F105" s="9">
        <v>2012</v>
      </c>
      <c r="G105" s="9">
        <v>1</v>
      </c>
      <c r="H105" s="10">
        <v>11617933</v>
      </c>
    </row>
    <row r="106" spans="6:8" x14ac:dyDescent="0.5">
      <c r="F106" s="9">
        <v>2011</v>
      </c>
      <c r="G106" s="9">
        <v>12</v>
      </c>
      <c r="H106" s="10">
        <v>11714861</v>
      </c>
    </row>
    <row r="107" spans="6:8" x14ac:dyDescent="0.5">
      <c r="F107" s="9">
        <v>2011</v>
      </c>
      <c r="G107" s="9">
        <v>11</v>
      </c>
      <c r="H107" s="10">
        <v>11702257</v>
      </c>
    </row>
    <row r="108" spans="6:8" x14ac:dyDescent="0.5">
      <c r="F108" s="9">
        <v>2011</v>
      </c>
      <c r="G108" s="9">
        <v>10</v>
      </c>
      <c r="H108" s="10">
        <v>11655694</v>
      </c>
    </row>
    <row r="109" spans="6:8" x14ac:dyDescent="0.5">
      <c r="F109" s="9">
        <v>2011</v>
      </c>
      <c r="G109" s="9">
        <v>9</v>
      </c>
      <c r="H109" s="10">
        <v>11607339</v>
      </c>
    </row>
    <row r="110" spans="6:8" x14ac:dyDescent="0.5">
      <c r="F110" s="9">
        <v>2011</v>
      </c>
      <c r="G110" s="9">
        <v>8</v>
      </c>
      <c r="H110" s="10">
        <v>11520653</v>
      </c>
    </row>
    <row r="111" spans="6:8" x14ac:dyDescent="0.5">
      <c r="F111" s="9">
        <v>2011</v>
      </c>
      <c r="G111" s="9">
        <v>7</v>
      </c>
      <c r="H111" s="10">
        <v>11501175</v>
      </c>
    </row>
    <row r="112" spans="6:8" x14ac:dyDescent="0.5">
      <c r="F112" s="9">
        <v>2011</v>
      </c>
      <c r="G112" s="9">
        <v>6</v>
      </c>
      <c r="H112" s="10">
        <v>11491101</v>
      </c>
    </row>
    <row r="113" spans="6:8" x14ac:dyDescent="0.5">
      <c r="F113" s="9">
        <v>2011</v>
      </c>
      <c r="G113" s="9">
        <v>5</v>
      </c>
      <c r="H113" s="10">
        <v>11518020</v>
      </c>
    </row>
    <row r="114" spans="6:8" x14ac:dyDescent="0.5">
      <c r="F114" s="9">
        <v>2011</v>
      </c>
      <c r="G114" s="9">
        <v>4</v>
      </c>
      <c r="H114" s="10">
        <v>11518006</v>
      </c>
    </row>
    <row r="115" spans="6:8" x14ac:dyDescent="0.5">
      <c r="F115" s="9">
        <v>2011</v>
      </c>
      <c r="G115" s="9">
        <v>3</v>
      </c>
      <c r="H115" s="10">
        <v>11463514</v>
      </c>
    </row>
    <row r="116" spans="6:8" x14ac:dyDescent="0.5">
      <c r="F116" s="9">
        <v>2011</v>
      </c>
      <c r="G116" s="9">
        <v>2</v>
      </c>
      <c r="H116" s="10">
        <v>11390426</v>
      </c>
    </row>
    <row r="117" spans="6:8" x14ac:dyDescent="0.5">
      <c r="F117" s="9">
        <v>2011</v>
      </c>
      <c r="G117" s="9">
        <v>1</v>
      </c>
      <c r="H117" s="10">
        <v>11338090</v>
      </c>
    </row>
    <row r="118" spans="6:8" x14ac:dyDescent="0.5">
      <c r="F118" s="9">
        <v>2010</v>
      </c>
      <c r="G118" s="9">
        <v>12</v>
      </c>
      <c r="H118" s="10">
        <v>11385991</v>
      </c>
    </row>
    <row r="119" spans="6:8" x14ac:dyDescent="0.5">
      <c r="F119" s="9">
        <v>2010</v>
      </c>
      <c r="G119" s="9">
        <v>11</v>
      </c>
      <c r="H119" s="10">
        <v>11362655</v>
      </c>
    </row>
    <row r="120" spans="6:8" x14ac:dyDescent="0.5">
      <c r="F120" s="9">
        <v>2010</v>
      </c>
      <c r="G120" s="9">
        <v>10</v>
      </c>
      <c r="H120" s="10">
        <v>11350286</v>
      </c>
    </row>
    <row r="121" spans="6:8" x14ac:dyDescent="0.5">
      <c r="F121" s="9">
        <v>2010</v>
      </c>
      <c r="G121" s="9">
        <v>9</v>
      </c>
      <c r="H121" s="10">
        <v>11333517</v>
      </c>
    </row>
    <row r="122" spans="6:8" x14ac:dyDescent="0.5">
      <c r="F122" s="9">
        <v>2010</v>
      </c>
      <c r="G122" s="9">
        <v>8</v>
      </c>
      <c r="H122" s="10">
        <v>11274649</v>
      </c>
    </row>
    <row r="123" spans="6:8" x14ac:dyDescent="0.5">
      <c r="F123" s="9">
        <v>2010</v>
      </c>
      <c r="G123" s="9">
        <v>7</v>
      </c>
      <c r="H123" s="10">
        <v>11261587</v>
      </c>
    </row>
    <row r="124" spans="6:8" x14ac:dyDescent="0.5">
      <c r="F124" s="9">
        <v>2010</v>
      </c>
      <c r="G124" s="9">
        <v>6</v>
      </c>
      <c r="H124" s="10">
        <v>11238521</v>
      </c>
    </row>
    <row r="125" spans="6:8" x14ac:dyDescent="0.5">
      <c r="F125" s="9">
        <v>2010</v>
      </c>
      <c r="G125" s="9">
        <v>5</v>
      </c>
      <c r="H125" s="10">
        <v>11260078</v>
      </c>
    </row>
    <row r="126" spans="6:8" x14ac:dyDescent="0.5">
      <c r="F126" s="9">
        <v>2010</v>
      </c>
      <c r="G126" s="9">
        <v>4</v>
      </c>
      <c r="H126" s="10">
        <v>11289475</v>
      </c>
    </row>
    <row r="127" spans="6:8" x14ac:dyDescent="0.5">
      <c r="F127" s="9">
        <v>2010</v>
      </c>
      <c r="G127" s="9">
        <v>3</v>
      </c>
      <c r="H127" s="10">
        <v>11127084</v>
      </c>
    </row>
    <row r="128" spans="6:8" x14ac:dyDescent="0.5">
      <c r="F128" s="9">
        <v>2010</v>
      </c>
      <c r="G128" s="9">
        <v>2</v>
      </c>
      <c r="H128" s="10">
        <v>11055561</v>
      </c>
    </row>
    <row r="129" spans="6:8" x14ac:dyDescent="0.5">
      <c r="F129" s="9">
        <v>2010</v>
      </c>
      <c r="G129" s="9">
        <v>1</v>
      </c>
      <c r="H129" s="10">
        <v>10996179</v>
      </c>
    </row>
    <row r="130" spans="6:8" x14ac:dyDescent="0.5">
      <c r="F130" s="9">
        <v>2009</v>
      </c>
      <c r="G130" s="9">
        <v>12</v>
      </c>
      <c r="H130" s="10">
        <v>11013116</v>
      </c>
    </row>
    <row r="131" spans="6:8" x14ac:dyDescent="0.5">
      <c r="F131" s="9">
        <v>2009</v>
      </c>
      <c r="G131" s="9">
        <v>11</v>
      </c>
      <c r="H131" s="10">
        <v>11062079</v>
      </c>
    </row>
    <row r="132" spans="6:8" x14ac:dyDescent="0.5">
      <c r="F132" s="9">
        <v>2009</v>
      </c>
      <c r="G132" s="9">
        <v>10</v>
      </c>
      <c r="H132" s="10">
        <v>11011595</v>
      </c>
    </row>
    <row r="133" spans="6:8" x14ac:dyDescent="0.5">
      <c r="F133" s="9">
        <v>2009</v>
      </c>
      <c r="G133" s="9">
        <v>9</v>
      </c>
      <c r="H133" s="10">
        <v>10990178</v>
      </c>
    </row>
    <row r="134" spans="6:8" x14ac:dyDescent="0.5">
      <c r="F134" s="9">
        <v>2009</v>
      </c>
      <c r="G134" s="9">
        <v>8</v>
      </c>
      <c r="H134" s="10">
        <v>10994483</v>
      </c>
    </row>
    <row r="135" spans="6:8" x14ac:dyDescent="0.5">
      <c r="F135" s="9">
        <v>2009</v>
      </c>
      <c r="G135" s="9">
        <v>7</v>
      </c>
      <c r="H135" s="10">
        <v>11040828</v>
      </c>
    </row>
    <row r="136" spans="6:8" x14ac:dyDescent="0.5">
      <c r="F136" s="9">
        <v>2009</v>
      </c>
      <c r="G136" s="9">
        <v>6</v>
      </c>
      <c r="H136" s="10">
        <v>11018811</v>
      </c>
    </row>
    <row r="137" spans="6:8" x14ac:dyDescent="0.5">
      <c r="F137" s="9">
        <v>2009</v>
      </c>
      <c r="G137" s="9">
        <v>5</v>
      </c>
      <c r="H137" s="10">
        <v>11013839</v>
      </c>
    </row>
    <row r="138" spans="6:8" x14ac:dyDescent="0.5">
      <c r="F138" s="9">
        <v>2009</v>
      </c>
      <c r="G138" s="9">
        <v>4</v>
      </c>
      <c r="H138" s="10">
        <v>11059651</v>
      </c>
    </row>
    <row r="139" spans="6:8" x14ac:dyDescent="0.5">
      <c r="F139" s="9">
        <v>2009</v>
      </c>
      <c r="G139" s="9">
        <v>3</v>
      </c>
      <c r="H139" s="10">
        <v>10968499</v>
      </c>
    </row>
    <row r="140" spans="6:8" x14ac:dyDescent="0.5">
      <c r="F140" s="9">
        <v>2009</v>
      </c>
      <c r="G140" s="9">
        <v>2</v>
      </c>
      <c r="H140" s="10">
        <v>10965224</v>
      </c>
    </row>
    <row r="141" spans="6:8" x14ac:dyDescent="0.5">
      <c r="F141" s="9">
        <v>2009</v>
      </c>
      <c r="G141" s="9">
        <v>1</v>
      </c>
      <c r="H141" s="10">
        <v>10968533</v>
      </c>
    </row>
    <row r="142" spans="6:8" x14ac:dyDescent="0.5">
      <c r="F142" s="9">
        <v>2008</v>
      </c>
      <c r="G142" s="9">
        <v>12</v>
      </c>
      <c r="H142" s="10">
        <v>11110725</v>
      </c>
    </row>
    <row r="143" spans="6:8" x14ac:dyDescent="0.5">
      <c r="F143" s="9">
        <v>2008</v>
      </c>
      <c r="G143" s="9">
        <v>11</v>
      </c>
      <c r="H143" s="10">
        <v>11162021</v>
      </c>
    </row>
    <row r="144" spans="6:8" x14ac:dyDescent="0.5">
      <c r="F144" s="9">
        <v>2008</v>
      </c>
      <c r="G144" s="9">
        <v>10</v>
      </c>
      <c r="H144" s="10">
        <v>11188769</v>
      </c>
    </row>
    <row r="145" spans="6:8" x14ac:dyDescent="0.5">
      <c r="F145" s="9">
        <v>2008</v>
      </c>
      <c r="G145" s="9">
        <v>9</v>
      </c>
      <c r="H145" s="10">
        <v>11146305</v>
      </c>
    </row>
    <row r="146" spans="6:8" x14ac:dyDescent="0.5">
      <c r="F146" s="9">
        <v>2008</v>
      </c>
      <c r="G146" s="9">
        <v>8</v>
      </c>
      <c r="H146" s="10">
        <v>11094921</v>
      </c>
    </row>
    <row r="147" spans="6:8" x14ac:dyDescent="0.5">
      <c r="F147" s="9">
        <v>2008</v>
      </c>
      <c r="G147" s="9">
        <v>7</v>
      </c>
      <c r="H147" s="10">
        <v>11151531</v>
      </c>
    </row>
    <row r="148" spans="6:8" x14ac:dyDescent="0.5">
      <c r="F148" s="9">
        <v>2008</v>
      </c>
      <c r="G148" s="9">
        <v>6</v>
      </c>
      <c r="H148" s="10">
        <v>11124221</v>
      </c>
    </row>
    <row r="149" spans="6:8" x14ac:dyDescent="0.5">
      <c r="F149" s="9">
        <v>2008</v>
      </c>
      <c r="G149" s="9">
        <v>5</v>
      </c>
      <c r="H149" s="10">
        <v>11097095</v>
      </c>
    </row>
    <row r="150" spans="6:8" x14ac:dyDescent="0.5">
      <c r="F150" s="9">
        <v>2008</v>
      </c>
      <c r="G150" s="9">
        <v>4</v>
      </c>
      <c r="H150" s="10">
        <v>11132636</v>
      </c>
    </row>
    <row r="151" spans="6:8" x14ac:dyDescent="0.5">
      <c r="F151" s="9">
        <v>2008</v>
      </c>
      <c r="G151" s="9">
        <v>3</v>
      </c>
      <c r="H151" s="10">
        <v>11051758</v>
      </c>
    </row>
    <row r="152" spans="6:8" x14ac:dyDescent="0.5">
      <c r="F152" s="9">
        <v>2008</v>
      </c>
      <c r="G152" s="9">
        <v>2</v>
      </c>
      <c r="H152" s="10">
        <v>10992699</v>
      </c>
    </row>
    <row r="153" spans="6:8" x14ac:dyDescent="0.5">
      <c r="F153" s="9">
        <v>2008</v>
      </c>
      <c r="G153" s="9">
        <v>1</v>
      </c>
      <c r="H153" s="10">
        <v>10996695</v>
      </c>
    </row>
    <row r="154" spans="6:8" x14ac:dyDescent="0.5">
      <c r="F154" s="9">
        <v>2007</v>
      </c>
      <c r="G154" s="9">
        <v>12</v>
      </c>
      <c r="H154" s="10">
        <v>11049555</v>
      </c>
    </row>
    <row r="155" spans="6:8" x14ac:dyDescent="0.5">
      <c r="F155" s="9">
        <v>2007</v>
      </c>
      <c r="G155" s="9">
        <v>11</v>
      </c>
      <c r="H155" s="10">
        <v>11075735</v>
      </c>
    </row>
    <row r="156" spans="6:8" x14ac:dyDescent="0.5">
      <c r="F156" s="9">
        <v>2007</v>
      </c>
      <c r="G156" s="9">
        <v>10</v>
      </c>
      <c r="H156" s="10">
        <v>11011656</v>
      </c>
    </row>
    <row r="157" spans="6:8" x14ac:dyDescent="0.5">
      <c r="F157" s="9">
        <v>2007</v>
      </c>
      <c r="G157" s="9">
        <v>9</v>
      </c>
      <c r="H157" s="10">
        <v>10980926</v>
      </c>
    </row>
    <row r="158" spans="6:8" x14ac:dyDescent="0.5">
      <c r="F158" s="9">
        <v>2007</v>
      </c>
      <c r="G158" s="9">
        <v>8</v>
      </c>
      <c r="H158" s="10">
        <v>10904772</v>
      </c>
    </row>
    <row r="159" spans="6:8" x14ac:dyDescent="0.5">
      <c r="F159" s="9">
        <v>2007</v>
      </c>
      <c r="G159" s="9">
        <v>7</v>
      </c>
      <c r="H159" s="10">
        <v>10971424</v>
      </c>
    </row>
    <row r="160" spans="6:8" x14ac:dyDescent="0.5">
      <c r="F160" s="9">
        <v>2007</v>
      </c>
      <c r="G160" s="9">
        <v>6</v>
      </c>
      <c r="H160" s="10">
        <v>10940718</v>
      </c>
    </row>
    <row r="161" spans="6:8" x14ac:dyDescent="0.5">
      <c r="F161" s="9">
        <v>2007</v>
      </c>
      <c r="G161" s="9">
        <v>5</v>
      </c>
      <c r="H161" s="10">
        <v>10903461</v>
      </c>
    </row>
    <row r="162" spans="6:8" x14ac:dyDescent="0.5">
      <c r="F162" s="9">
        <v>2007</v>
      </c>
      <c r="G162" s="9">
        <v>4</v>
      </c>
      <c r="H162" s="10">
        <v>10901324</v>
      </c>
    </row>
    <row r="163" spans="6:8" x14ac:dyDescent="0.5">
      <c r="F163" s="9">
        <v>2007</v>
      </c>
      <c r="G163" s="9">
        <v>3</v>
      </c>
      <c r="H163" s="10">
        <v>10897097</v>
      </c>
    </row>
    <row r="164" spans="6:8" x14ac:dyDescent="0.5">
      <c r="F164" s="9">
        <v>2007</v>
      </c>
      <c r="G164" s="9">
        <v>2</v>
      </c>
      <c r="H164" s="10">
        <v>10831239</v>
      </c>
    </row>
    <row r="165" spans="6:8" x14ac:dyDescent="0.5">
      <c r="F165" s="9">
        <v>2007</v>
      </c>
      <c r="G165" s="9">
        <v>1</v>
      </c>
      <c r="H165" s="10">
        <v>10829049</v>
      </c>
    </row>
    <row r="166" spans="6:8" x14ac:dyDescent="0.5">
      <c r="F166" s="9">
        <v>2006</v>
      </c>
      <c r="G166" s="9">
        <v>12</v>
      </c>
      <c r="H166" s="10">
        <v>10956317</v>
      </c>
    </row>
    <row r="167" spans="6:8" x14ac:dyDescent="0.5">
      <c r="F167" s="9">
        <v>2006</v>
      </c>
      <c r="G167" s="9">
        <v>11</v>
      </c>
      <c r="H167" s="10">
        <v>10925350</v>
      </c>
    </row>
    <row r="168" spans="6:8" x14ac:dyDescent="0.5">
      <c r="F168" s="9">
        <v>2006</v>
      </c>
      <c r="G168" s="9">
        <v>10</v>
      </c>
      <c r="H168" s="10">
        <v>10910614</v>
      </c>
    </row>
    <row r="169" spans="6:8" x14ac:dyDescent="0.5">
      <c r="F169" s="9">
        <v>2006</v>
      </c>
      <c r="G169" s="9">
        <v>9</v>
      </c>
      <c r="H169" s="10">
        <v>10813585</v>
      </c>
    </row>
    <row r="170" spans="6:8" x14ac:dyDescent="0.5">
      <c r="F170" s="9">
        <v>2006</v>
      </c>
      <c r="G170" s="9">
        <v>8</v>
      </c>
      <c r="H170" s="10">
        <v>10782048</v>
      </c>
    </row>
    <row r="171" spans="6:8" x14ac:dyDescent="0.5">
      <c r="F171" s="9">
        <v>2006</v>
      </c>
      <c r="G171" s="9">
        <v>7</v>
      </c>
      <c r="H171" s="10">
        <v>10792293</v>
      </c>
    </row>
    <row r="172" spans="6:8" x14ac:dyDescent="0.5">
      <c r="F172" s="9">
        <v>2006</v>
      </c>
      <c r="G172" s="9">
        <v>6</v>
      </c>
      <c r="H172" s="10">
        <v>10765207</v>
      </c>
    </row>
    <row r="173" spans="6:8" x14ac:dyDescent="0.5">
      <c r="F173" s="9">
        <v>2006</v>
      </c>
      <c r="G173" s="9">
        <v>5</v>
      </c>
      <c r="H173" s="10">
        <v>10725868</v>
      </c>
    </row>
    <row r="174" spans="6:8" x14ac:dyDescent="0.5">
      <c r="F174" s="9">
        <v>2006</v>
      </c>
      <c r="G174" s="9">
        <v>4</v>
      </c>
      <c r="H174" s="10">
        <v>10722411</v>
      </c>
    </row>
    <row r="175" spans="6:8" x14ac:dyDescent="0.5">
      <c r="F175" s="9">
        <v>2006</v>
      </c>
      <c r="G175" s="9">
        <v>3</v>
      </c>
      <c r="H175" s="10">
        <v>10680046</v>
      </c>
    </row>
    <row r="176" spans="6:8" x14ac:dyDescent="0.5">
      <c r="F176" s="9">
        <v>2006</v>
      </c>
      <c r="G176" s="9">
        <v>2</v>
      </c>
      <c r="H176" s="10">
        <v>10623673</v>
      </c>
    </row>
    <row r="177" spans="6:8" x14ac:dyDescent="0.5">
      <c r="F177" s="9">
        <v>2006</v>
      </c>
      <c r="G177" s="9">
        <v>1</v>
      </c>
      <c r="H177" s="10">
        <v>10596465</v>
      </c>
    </row>
    <row r="178" spans="6:8" x14ac:dyDescent="0.5">
      <c r="F178" s="9">
        <v>2005</v>
      </c>
      <c r="G178" s="9">
        <v>12</v>
      </c>
      <c r="H178" s="10">
        <v>10683767</v>
      </c>
    </row>
    <row r="179" spans="6:8" x14ac:dyDescent="0.5">
      <c r="F179" s="9">
        <v>2005</v>
      </c>
      <c r="G179" s="9">
        <v>11</v>
      </c>
      <c r="H179" s="10">
        <v>10664565</v>
      </c>
    </row>
    <row r="180" spans="6:8" x14ac:dyDescent="0.5">
      <c r="F180" s="9">
        <v>2005</v>
      </c>
      <c r="G180" s="9">
        <v>10</v>
      </c>
      <c r="H180" s="10">
        <v>10683461</v>
      </c>
    </row>
    <row r="181" spans="6:8" x14ac:dyDescent="0.5">
      <c r="F181" s="9">
        <v>2005</v>
      </c>
      <c r="G181" s="9">
        <v>9</v>
      </c>
      <c r="H181" s="10">
        <v>10593348</v>
      </c>
    </row>
    <row r="182" spans="6:8" x14ac:dyDescent="0.5">
      <c r="F182" s="9">
        <v>2005</v>
      </c>
      <c r="G182" s="9">
        <v>8</v>
      </c>
      <c r="H182" s="10">
        <v>10540998</v>
      </c>
    </row>
    <row r="183" spans="6:8" x14ac:dyDescent="0.5">
      <c r="F183" s="9">
        <v>2005</v>
      </c>
      <c r="G183" s="9">
        <v>7</v>
      </c>
      <c r="H183" s="10">
        <v>10543440</v>
      </c>
    </row>
    <row r="184" spans="6:8" x14ac:dyDescent="0.5">
      <c r="F184" s="9">
        <v>2005</v>
      </c>
      <c r="G184" s="9">
        <v>6</v>
      </c>
      <c r="H184" s="10">
        <v>10493434</v>
      </c>
    </row>
    <row r="185" spans="6:8" x14ac:dyDescent="0.5">
      <c r="F185" s="9">
        <v>2005</v>
      </c>
      <c r="G185" s="9">
        <v>5</v>
      </c>
      <c r="H185" s="10">
        <v>10484012</v>
      </c>
    </row>
    <row r="186" spans="6:8" x14ac:dyDescent="0.5">
      <c r="F186" s="9">
        <v>2005</v>
      </c>
      <c r="G186" s="9">
        <v>4</v>
      </c>
      <c r="H186" s="10">
        <v>10479958</v>
      </c>
    </row>
    <row r="187" spans="6:8" x14ac:dyDescent="0.5">
      <c r="F187" s="9">
        <v>2005</v>
      </c>
      <c r="G187" s="9">
        <v>3</v>
      </c>
      <c r="H187" s="10">
        <v>10405736</v>
      </c>
    </row>
    <row r="188" spans="6:8" x14ac:dyDescent="0.5">
      <c r="F188" s="9">
        <v>2005</v>
      </c>
      <c r="G188" s="9">
        <v>2</v>
      </c>
      <c r="H188" s="10">
        <v>10364448</v>
      </c>
    </row>
    <row r="189" spans="6:8" x14ac:dyDescent="0.5">
      <c r="F189" s="9">
        <v>2005</v>
      </c>
      <c r="G189" s="9">
        <v>1</v>
      </c>
      <c r="H189" s="10">
        <v>10341922</v>
      </c>
    </row>
    <row r="190" spans="6:8" x14ac:dyDescent="0.5">
      <c r="F190" s="9">
        <v>2004</v>
      </c>
      <c r="G190" s="9">
        <v>12</v>
      </c>
      <c r="H190" s="10">
        <v>10441331</v>
      </c>
    </row>
    <row r="191" spans="6:8" x14ac:dyDescent="0.5">
      <c r="F191" s="9">
        <v>2004</v>
      </c>
      <c r="G191" s="9">
        <v>11</v>
      </c>
      <c r="H191" s="10">
        <v>10440639</v>
      </c>
    </row>
    <row r="192" spans="6:8" x14ac:dyDescent="0.5">
      <c r="F192" s="9">
        <v>2004</v>
      </c>
      <c r="G192" s="9">
        <v>10</v>
      </c>
      <c r="H192" s="10">
        <v>10417859</v>
      </c>
    </row>
    <row r="193" spans="6:8" x14ac:dyDescent="0.5">
      <c r="F193" s="9">
        <v>2004</v>
      </c>
      <c r="G193" s="9">
        <v>9</v>
      </c>
      <c r="H193" s="10">
        <v>10356976</v>
      </c>
    </row>
    <row r="194" spans="6:8" x14ac:dyDescent="0.5">
      <c r="F194" s="9">
        <v>2004</v>
      </c>
      <c r="G194" s="9">
        <v>8</v>
      </c>
      <c r="H194" s="10">
        <v>10345375</v>
      </c>
    </row>
    <row r="195" spans="6:8" x14ac:dyDescent="0.5">
      <c r="F195" s="9">
        <v>2004</v>
      </c>
      <c r="G195" s="9">
        <v>7</v>
      </c>
      <c r="H195" s="10">
        <v>10376617</v>
      </c>
    </row>
    <row r="196" spans="6:8" x14ac:dyDescent="0.5">
      <c r="F196" s="9">
        <v>2004</v>
      </c>
      <c r="G196" s="9">
        <v>6</v>
      </c>
      <c r="H196" s="10">
        <v>10326304</v>
      </c>
    </row>
    <row r="197" spans="6:8" x14ac:dyDescent="0.5">
      <c r="F197" s="9">
        <v>2004</v>
      </c>
      <c r="G197" s="9">
        <v>5</v>
      </c>
      <c r="H197" s="10">
        <v>10305181</v>
      </c>
    </row>
    <row r="198" spans="6:8" x14ac:dyDescent="0.5">
      <c r="F198" s="9">
        <v>2004</v>
      </c>
      <c r="G198" s="9">
        <v>4</v>
      </c>
      <c r="H198" s="10">
        <v>10313069</v>
      </c>
    </row>
    <row r="199" spans="6:8" x14ac:dyDescent="0.5">
      <c r="F199" s="9">
        <v>2004</v>
      </c>
      <c r="G199" s="9">
        <v>3</v>
      </c>
      <c r="H199" s="10">
        <v>10264007</v>
      </c>
    </row>
    <row r="200" spans="6:8" x14ac:dyDescent="0.5">
      <c r="F200" s="9">
        <v>2004</v>
      </c>
      <c r="G200" s="9">
        <v>2</v>
      </c>
      <c r="H200" s="10">
        <v>10251062</v>
      </c>
    </row>
    <row r="201" spans="6:8" x14ac:dyDescent="0.5">
      <c r="F201" s="9">
        <v>2004</v>
      </c>
      <c r="G201" s="9">
        <v>1</v>
      </c>
      <c r="H201" s="10">
        <v>10223390</v>
      </c>
    </row>
    <row r="202" spans="6:8" x14ac:dyDescent="0.5">
      <c r="F202" s="9">
        <v>2003</v>
      </c>
      <c r="G202" s="9">
        <v>12</v>
      </c>
      <c r="H202" s="10">
        <v>10299023</v>
      </c>
    </row>
    <row r="203" spans="6:8" x14ac:dyDescent="0.5">
      <c r="F203" s="9">
        <v>2003</v>
      </c>
      <c r="G203" s="9">
        <v>11</v>
      </c>
      <c r="H203" s="10">
        <v>10284220</v>
      </c>
    </row>
    <row r="204" spans="6:8" x14ac:dyDescent="0.5">
      <c r="F204" s="9">
        <v>2003</v>
      </c>
      <c r="G204" s="9">
        <v>10</v>
      </c>
      <c r="H204" s="10">
        <v>10253725</v>
      </c>
    </row>
    <row r="205" spans="6:8" x14ac:dyDescent="0.5">
      <c r="F205" s="9">
        <v>2003</v>
      </c>
      <c r="G205" s="9">
        <v>9</v>
      </c>
      <c r="H205" s="10">
        <v>10183161</v>
      </c>
    </row>
    <row r="206" spans="6:8" x14ac:dyDescent="0.5">
      <c r="F206" s="9">
        <v>2003</v>
      </c>
      <c r="G206" s="9">
        <v>8</v>
      </c>
      <c r="H206" s="10">
        <v>10154551</v>
      </c>
    </row>
    <row r="207" spans="6:8" x14ac:dyDescent="0.5">
      <c r="F207" s="9">
        <v>2003</v>
      </c>
      <c r="G207" s="9">
        <v>7</v>
      </c>
      <c r="H207" s="10">
        <v>10174388</v>
      </c>
    </row>
    <row r="208" spans="6:8" x14ac:dyDescent="0.5">
      <c r="F208" s="9">
        <v>2003</v>
      </c>
      <c r="G208" s="9">
        <v>6</v>
      </c>
      <c r="H208" s="10">
        <v>10181411</v>
      </c>
    </row>
    <row r="209" spans="6:8" x14ac:dyDescent="0.5">
      <c r="F209" s="9">
        <v>2003</v>
      </c>
      <c r="G209" s="9">
        <v>5</v>
      </c>
      <c r="H209" s="10">
        <v>10157338</v>
      </c>
    </row>
    <row r="210" spans="6:8" x14ac:dyDescent="0.5">
      <c r="F210" s="9">
        <v>2003</v>
      </c>
      <c r="G210" s="9">
        <v>4</v>
      </c>
      <c r="H210" s="10">
        <v>10191357</v>
      </c>
    </row>
    <row r="211" spans="6:8" x14ac:dyDescent="0.5">
      <c r="F211" s="9">
        <v>2003</v>
      </c>
      <c r="G211" s="9">
        <v>3</v>
      </c>
      <c r="H211" s="10">
        <v>10145641</v>
      </c>
    </row>
    <row r="212" spans="6:8" x14ac:dyDescent="0.5">
      <c r="F212" s="9">
        <v>2003</v>
      </c>
      <c r="G212" s="9">
        <v>2</v>
      </c>
      <c r="H212" s="10">
        <v>10117563</v>
      </c>
    </row>
    <row r="213" spans="6:8" x14ac:dyDescent="0.5">
      <c r="F213" s="9">
        <v>2003</v>
      </c>
      <c r="G213" s="9">
        <v>1</v>
      </c>
      <c r="H213" s="10">
        <v>10081368</v>
      </c>
    </row>
    <row r="214" spans="6:8" x14ac:dyDescent="0.5">
      <c r="F214" s="9">
        <v>2002</v>
      </c>
      <c r="G214" s="9">
        <v>12</v>
      </c>
      <c r="H214" s="10">
        <v>10155201</v>
      </c>
    </row>
    <row r="215" spans="6:8" x14ac:dyDescent="0.5">
      <c r="F215" s="9">
        <v>2002</v>
      </c>
      <c r="G215" s="9">
        <v>11</v>
      </c>
      <c r="H215" s="10">
        <v>10127279</v>
      </c>
    </row>
    <row r="216" spans="6:8" x14ac:dyDescent="0.5">
      <c r="F216" s="9">
        <v>2002</v>
      </c>
      <c r="G216" s="9">
        <v>10</v>
      </c>
      <c r="H216" s="10">
        <v>10171631</v>
      </c>
    </row>
    <row r="217" spans="6:8" x14ac:dyDescent="0.5">
      <c r="F217" s="9">
        <v>2002</v>
      </c>
      <c r="G217" s="9">
        <v>9</v>
      </c>
      <c r="H217" s="10">
        <v>10142022</v>
      </c>
    </row>
    <row r="218" spans="6:8" x14ac:dyDescent="0.5">
      <c r="F218" s="9">
        <v>2002</v>
      </c>
      <c r="G218" s="9">
        <v>8</v>
      </c>
      <c r="H218" s="10">
        <v>10067035</v>
      </c>
    </row>
    <row r="219" spans="6:8" x14ac:dyDescent="0.5">
      <c r="F219" s="9">
        <v>2002</v>
      </c>
      <c r="G219" s="9">
        <v>7</v>
      </c>
      <c r="H219" s="10">
        <v>10072312</v>
      </c>
    </row>
    <row r="220" spans="6:8" x14ac:dyDescent="0.5">
      <c r="F220" s="9">
        <v>2002</v>
      </c>
      <c r="G220" s="9">
        <v>6</v>
      </c>
      <c r="H220" s="10">
        <v>10050236</v>
      </c>
    </row>
    <row r="221" spans="6:8" x14ac:dyDescent="0.5">
      <c r="F221" s="9">
        <v>2002</v>
      </c>
      <c r="G221" s="9">
        <v>5</v>
      </c>
      <c r="H221" s="10">
        <v>10043631</v>
      </c>
    </row>
    <row r="222" spans="6:8" x14ac:dyDescent="0.5">
      <c r="F222" s="9">
        <v>2002</v>
      </c>
      <c r="G222" s="9">
        <v>4</v>
      </c>
      <c r="H222" s="10">
        <v>10032749</v>
      </c>
    </row>
    <row r="223" spans="6:8" x14ac:dyDescent="0.5">
      <c r="F223" s="9">
        <v>2002</v>
      </c>
      <c r="G223" s="9">
        <v>3</v>
      </c>
      <c r="H223" s="10">
        <v>10014687</v>
      </c>
    </row>
    <row r="224" spans="6:8" x14ac:dyDescent="0.5">
      <c r="F224" s="9">
        <v>2002</v>
      </c>
      <c r="G224" s="9">
        <v>2</v>
      </c>
      <c r="H224" s="10">
        <v>10006953</v>
      </c>
    </row>
    <row r="225" spans="6:8" x14ac:dyDescent="0.5">
      <c r="F225" s="9">
        <v>2002</v>
      </c>
      <c r="G225" s="9">
        <v>1</v>
      </c>
      <c r="H225" s="10">
        <v>9906699</v>
      </c>
    </row>
    <row r="226" spans="6:8" x14ac:dyDescent="0.5">
      <c r="F226" s="9">
        <v>2001</v>
      </c>
      <c r="G226" s="9">
        <v>12</v>
      </c>
      <c r="H226" s="10">
        <v>10035821</v>
      </c>
    </row>
    <row r="227" spans="6:8" x14ac:dyDescent="0.5">
      <c r="F227" s="9">
        <v>2001</v>
      </c>
      <c r="G227" s="9">
        <v>11</v>
      </c>
      <c r="H227" s="10">
        <v>10001479</v>
      </c>
    </row>
    <row r="228" spans="6:8" x14ac:dyDescent="0.5">
      <c r="F228" s="9">
        <v>2001</v>
      </c>
      <c r="G228" s="9">
        <v>10</v>
      </c>
      <c r="H228" s="10">
        <v>10021659</v>
      </c>
    </row>
    <row r="229" spans="6:8" x14ac:dyDescent="0.5">
      <c r="F229" s="9">
        <v>2001</v>
      </c>
      <c r="G229" s="9">
        <v>9</v>
      </c>
      <c r="H229" s="10">
        <v>9997055</v>
      </c>
    </row>
    <row r="230" spans="6:8" x14ac:dyDescent="0.5">
      <c r="F230" s="9">
        <v>2001</v>
      </c>
      <c r="G230" s="9">
        <v>8</v>
      </c>
      <c r="H230" s="10">
        <v>9923604</v>
      </c>
    </row>
    <row r="231" spans="6:8" x14ac:dyDescent="0.5">
      <c r="F231" s="9">
        <v>2001</v>
      </c>
      <c r="G231" s="9">
        <v>7</v>
      </c>
      <c r="H231" s="10">
        <v>10032984</v>
      </c>
    </row>
    <row r="232" spans="6:8" x14ac:dyDescent="0.5">
      <c r="F232" s="9">
        <v>2001</v>
      </c>
      <c r="G232" s="9">
        <v>6</v>
      </c>
      <c r="H232" s="10">
        <v>10001811</v>
      </c>
    </row>
    <row r="233" spans="6:8" x14ac:dyDescent="0.5">
      <c r="F233" s="9">
        <v>2001</v>
      </c>
      <c r="G233" s="9">
        <v>5</v>
      </c>
      <c r="H233" s="10">
        <v>10011118</v>
      </c>
    </row>
    <row r="234" spans="6:8" x14ac:dyDescent="0.5">
      <c r="F234" s="9">
        <v>2001</v>
      </c>
      <c r="G234" s="9">
        <v>4</v>
      </c>
      <c r="H234" s="10">
        <v>10036171</v>
      </c>
    </row>
    <row r="235" spans="6:8" x14ac:dyDescent="0.5">
      <c r="F235" s="9">
        <v>2001</v>
      </c>
      <c r="G235" s="9">
        <v>3</v>
      </c>
      <c r="H235" s="10">
        <v>10052547</v>
      </c>
    </row>
    <row r="236" spans="6:8" x14ac:dyDescent="0.5">
      <c r="F236" s="9">
        <v>2001</v>
      </c>
      <c r="G236" s="9">
        <v>2</v>
      </c>
      <c r="H236" s="10">
        <v>10018096</v>
      </c>
    </row>
    <row r="237" spans="6:8" x14ac:dyDescent="0.5">
      <c r="F237" s="9">
        <v>2001</v>
      </c>
      <c r="G237" s="9">
        <v>1</v>
      </c>
      <c r="H237" s="10">
        <v>10000205</v>
      </c>
    </row>
    <row r="238" spans="6:8" x14ac:dyDescent="0.5">
      <c r="F238" s="9">
        <v>2000</v>
      </c>
      <c r="G238" s="9">
        <v>12</v>
      </c>
      <c r="H238" s="10">
        <v>10080686</v>
      </c>
    </row>
    <row r="239" spans="6:8" x14ac:dyDescent="0.5">
      <c r="F239" s="9">
        <v>2000</v>
      </c>
      <c r="G239" s="9">
        <v>11</v>
      </c>
      <c r="H239" s="10">
        <v>10009575</v>
      </c>
    </row>
    <row r="240" spans="6:8" x14ac:dyDescent="0.5">
      <c r="F240" s="9">
        <v>2000</v>
      </c>
      <c r="G240" s="9">
        <v>10</v>
      </c>
      <c r="H240" s="10">
        <v>9986863</v>
      </c>
    </row>
    <row r="241" spans="6:8" x14ac:dyDescent="0.5">
      <c r="F241" s="9">
        <v>2000</v>
      </c>
      <c r="G241" s="9">
        <v>9</v>
      </c>
      <c r="H241" s="10">
        <v>9916073</v>
      </c>
    </row>
    <row r="242" spans="6:8" x14ac:dyDescent="0.5">
      <c r="F242" s="9">
        <v>2000</v>
      </c>
      <c r="G242" s="9">
        <v>8</v>
      </c>
      <c r="H242" s="10">
        <v>9885445</v>
      </c>
    </row>
    <row r="243" spans="6:8" x14ac:dyDescent="0.5">
      <c r="F243" s="9">
        <v>2000</v>
      </c>
      <c r="G243" s="9">
        <v>7</v>
      </c>
      <c r="H243" s="10">
        <v>9917421</v>
      </c>
    </row>
    <row r="244" spans="6:8" x14ac:dyDescent="0.5">
      <c r="F244" s="9">
        <v>2000</v>
      </c>
      <c r="G244" s="9">
        <v>6</v>
      </c>
      <c r="H244" s="10">
        <v>9931329</v>
      </c>
    </row>
    <row r="245" spans="6:8" x14ac:dyDescent="0.5">
      <c r="F245" s="9">
        <v>2000</v>
      </c>
      <c r="G245" s="9">
        <v>5</v>
      </c>
      <c r="H245" s="10">
        <v>9883756</v>
      </c>
    </row>
    <row r="246" spans="6:8" x14ac:dyDescent="0.5">
      <c r="F246" s="9">
        <v>2000</v>
      </c>
      <c r="G246" s="9">
        <v>4</v>
      </c>
      <c r="H246" s="10">
        <v>9949362</v>
      </c>
    </row>
    <row r="247" spans="6:8" x14ac:dyDescent="0.5">
      <c r="F247" s="9">
        <v>2000</v>
      </c>
      <c r="G247" s="9">
        <v>3</v>
      </c>
      <c r="H247" s="10">
        <v>9900447</v>
      </c>
    </row>
    <row r="248" spans="6:8" x14ac:dyDescent="0.5">
      <c r="F248" s="9">
        <v>2000</v>
      </c>
      <c r="G248" s="9">
        <v>2</v>
      </c>
      <c r="H248" s="10">
        <v>9864368</v>
      </c>
    </row>
    <row r="249" spans="6:8" x14ac:dyDescent="0.5">
      <c r="F249" s="9">
        <v>2000</v>
      </c>
      <c r="G249" s="9">
        <v>1</v>
      </c>
      <c r="H249" s="10">
        <v>9827315</v>
      </c>
    </row>
    <row r="250" spans="6:8" x14ac:dyDescent="0.5">
      <c r="F250" s="9">
        <v>1999</v>
      </c>
      <c r="G250" s="9">
        <v>12</v>
      </c>
      <c r="H250" s="10">
        <v>9896600</v>
      </c>
    </row>
    <row r="251" spans="6:8" x14ac:dyDescent="0.5">
      <c r="F251" s="9">
        <v>1999</v>
      </c>
      <c r="G251" s="9">
        <v>11</v>
      </c>
      <c r="H251" s="10">
        <v>9854719</v>
      </c>
    </row>
    <row r="252" spans="6:8" x14ac:dyDescent="0.5">
      <c r="F252" s="9">
        <v>1999</v>
      </c>
      <c r="G252" s="9">
        <v>10</v>
      </c>
      <c r="H252" s="10">
        <v>9828085</v>
      </c>
    </row>
    <row r="253" spans="6:8" x14ac:dyDescent="0.5">
      <c r="F253" s="9">
        <v>1999</v>
      </c>
      <c r="G253" s="9">
        <v>9</v>
      </c>
      <c r="H253" s="10">
        <v>9758563</v>
      </c>
    </row>
    <row r="254" spans="6:8" x14ac:dyDescent="0.5">
      <c r="F254" s="9">
        <v>1999</v>
      </c>
      <c r="G254" s="9">
        <v>8</v>
      </c>
      <c r="H254" s="10">
        <v>9751406</v>
      </c>
    </row>
    <row r="255" spans="6:8" x14ac:dyDescent="0.5">
      <c r="F255" s="9">
        <v>1999</v>
      </c>
      <c r="G255" s="9">
        <v>7</v>
      </c>
      <c r="H255" s="10">
        <v>9790182</v>
      </c>
    </row>
    <row r="256" spans="6:8" x14ac:dyDescent="0.5">
      <c r="F256" s="9">
        <v>1999</v>
      </c>
      <c r="G256" s="9">
        <v>6</v>
      </c>
      <c r="H256" s="10">
        <v>9779523</v>
      </c>
    </row>
    <row r="257" spans="6:8" x14ac:dyDescent="0.5">
      <c r="F257" s="9">
        <v>1999</v>
      </c>
      <c r="G257" s="9">
        <v>5</v>
      </c>
      <c r="H257" s="10">
        <v>9757765</v>
      </c>
    </row>
    <row r="258" spans="6:8" x14ac:dyDescent="0.5">
      <c r="F258" s="9">
        <v>1999</v>
      </c>
      <c r="G258" s="9">
        <v>4</v>
      </c>
      <c r="H258" s="10">
        <v>9737648</v>
      </c>
    </row>
    <row r="259" spans="6:8" x14ac:dyDescent="0.5">
      <c r="F259" s="9">
        <v>1999</v>
      </c>
      <c r="G259" s="9">
        <v>3</v>
      </c>
      <c r="H259" s="10">
        <v>9723998</v>
      </c>
    </row>
    <row r="260" spans="6:8" x14ac:dyDescent="0.5">
      <c r="F260" s="9">
        <v>1999</v>
      </c>
      <c r="G260" s="9">
        <v>2</v>
      </c>
      <c r="H260" s="10">
        <v>9673667</v>
      </c>
    </row>
    <row r="261" spans="6:8" x14ac:dyDescent="0.5">
      <c r="F261" s="9">
        <v>1999</v>
      </c>
      <c r="G261" s="9">
        <v>1</v>
      </c>
      <c r="H261" s="10">
        <v>9662057</v>
      </c>
    </row>
    <row r="262" spans="6:8" x14ac:dyDescent="0.5">
      <c r="F262" s="9">
        <v>1998</v>
      </c>
      <c r="G262" s="9">
        <v>12</v>
      </c>
      <c r="H262" s="10">
        <v>9750572</v>
      </c>
    </row>
    <row r="263" spans="6:8" x14ac:dyDescent="0.5">
      <c r="F263" s="9">
        <v>1998</v>
      </c>
      <c r="G263" s="9">
        <v>11</v>
      </c>
      <c r="H263" s="10">
        <v>9716093</v>
      </c>
    </row>
    <row r="264" spans="6:8" x14ac:dyDescent="0.5">
      <c r="F264" s="9">
        <v>1998</v>
      </c>
      <c r="G264" s="9">
        <v>10</v>
      </c>
      <c r="H264" s="10">
        <v>9686268</v>
      </c>
    </row>
    <row r="265" spans="6:8" x14ac:dyDescent="0.5">
      <c r="F265" s="9">
        <v>1998</v>
      </c>
      <c r="G265" s="9">
        <v>9</v>
      </c>
      <c r="H265" s="10">
        <v>9635223</v>
      </c>
    </row>
    <row r="266" spans="6:8" x14ac:dyDescent="0.5">
      <c r="F266" s="9">
        <v>1998</v>
      </c>
      <c r="G266" s="9">
        <v>8</v>
      </c>
      <c r="H266" s="10">
        <v>9597032</v>
      </c>
    </row>
    <row r="267" spans="6:8" x14ac:dyDescent="0.5">
      <c r="F267" s="9">
        <v>1998</v>
      </c>
      <c r="G267" s="9">
        <v>7</v>
      </c>
      <c r="H267" s="10">
        <v>9640210</v>
      </c>
    </row>
    <row r="268" spans="6:8" x14ac:dyDescent="0.5">
      <c r="F268" s="9">
        <v>1998</v>
      </c>
      <c r="G268" s="9">
        <v>6</v>
      </c>
      <c r="H268" s="10">
        <v>9603591</v>
      </c>
    </row>
    <row r="269" spans="6:8" x14ac:dyDescent="0.5">
      <c r="F269" s="9">
        <v>1998</v>
      </c>
      <c r="G269" s="9">
        <v>5</v>
      </c>
      <c r="H269" s="10">
        <v>9587731</v>
      </c>
    </row>
    <row r="270" spans="6:8" x14ac:dyDescent="0.5">
      <c r="F270" s="9">
        <v>1998</v>
      </c>
      <c r="G270" s="9">
        <v>4</v>
      </c>
      <c r="H270" s="10">
        <v>9571258</v>
      </c>
    </row>
    <row r="271" spans="6:8" x14ac:dyDescent="0.5">
      <c r="F271" s="9">
        <v>1998</v>
      </c>
      <c r="G271" s="9">
        <v>3</v>
      </c>
      <c r="H271" s="10">
        <v>9534284</v>
      </c>
    </row>
    <row r="272" spans="6:8" x14ac:dyDescent="0.5">
      <c r="F272" s="9">
        <v>1998</v>
      </c>
      <c r="G272" s="9">
        <v>2</v>
      </c>
      <c r="H272" s="10">
        <v>9477394</v>
      </c>
    </row>
    <row r="273" spans="6:8" x14ac:dyDescent="0.5">
      <c r="F273" s="9">
        <v>1998</v>
      </c>
      <c r="G273" s="9">
        <v>1</v>
      </c>
      <c r="H273" s="10">
        <v>9436597</v>
      </c>
    </row>
    <row r="274" spans="6:8" x14ac:dyDescent="0.5">
      <c r="F274" s="9">
        <v>1997</v>
      </c>
      <c r="G274" s="9">
        <v>12</v>
      </c>
      <c r="H274" s="10">
        <v>9539938</v>
      </c>
    </row>
    <row r="275" spans="6:8" x14ac:dyDescent="0.5">
      <c r="F275" s="9">
        <v>1997</v>
      </c>
      <c r="G275" s="9">
        <v>11</v>
      </c>
      <c r="H275" s="10">
        <v>9529680</v>
      </c>
    </row>
    <row r="276" spans="6:8" x14ac:dyDescent="0.5">
      <c r="F276" s="9">
        <v>1997</v>
      </c>
      <c r="G276" s="9">
        <v>10</v>
      </c>
      <c r="H276" s="10">
        <v>9485710</v>
      </c>
    </row>
    <row r="277" spans="6:8" x14ac:dyDescent="0.5">
      <c r="F277" s="9">
        <v>1997</v>
      </c>
      <c r="G277" s="9">
        <v>9</v>
      </c>
      <c r="H277" s="10">
        <v>9428830</v>
      </c>
    </row>
    <row r="278" spans="6:8" x14ac:dyDescent="0.5">
      <c r="F278" s="9">
        <v>1997</v>
      </c>
      <c r="G278" s="9">
        <v>8</v>
      </c>
      <c r="H278" s="10">
        <v>9427991</v>
      </c>
    </row>
    <row r="279" spans="6:8" x14ac:dyDescent="0.5">
      <c r="F279" s="9">
        <v>1997</v>
      </c>
      <c r="G279" s="9">
        <v>7</v>
      </c>
      <c r="H279" s="10">
        <v>9461112</v>
      </c>
    </row>
    <row r="280" spans="6:8" x14ac:dyDescent="0.5">
      <c r="F280" s="9">
        <v>1997</v>
      </c>
      <c r="G280" s="9">
        <v>6</v>
      </c>
      <c r="H280" s="10">
        <v>9406111</v>
      </c>
    </row>
    <row r="281" spans="6:8" x14ac:dyDescent="0.5">
      <c r="F281" s="9">
        <v>1997</v>
      </c>
      <c r="G281" s="9">
        <v>5</v>
      </c>
      <c r="H281" s="10">
        <v>9383007</v>
      </c>
    </row>
    <row r="282" spans="6:8" x14ac:dyDescent="0.5">
      <c r="F282" s="9">
        <v>1997</v>
      </c>
      <c r="G282" s="9">
        <v>4</v>
      </c>
      <c r="H282" s="10">
        <v>9349583</v>
      </c>
    </row>
    <row r="283" spans="6:8" x14ac:dyDescent="0.5">
      <c r="F283" s="9">
        <v>1997</v>
      </c>
      <c r="G283" s="9">
        <v>3</v>
      </c>
      <c r="H283" s="10">
        <v>9316821</v>
      </c>
    </row>
    <row r="284" spans="6:8" x14ac:dyDescent="0.5">
      <c r="F284" s="9">
        <v>1997</v>
      </c>
      <c r="G284" s="9">
        <v>2</v>
      </c>
      <c r="H284" s="10">
        <v>9224148</v>
      </c>
    </row>
    <row r="285" spans="6:8" x14ac:dyDescent="0.5">
      <c r="F285" s="9">
        <v>1997</v>
      </c>
      <c r="G285" s="9">
        <v>1</v>
      </c>
      <c r="H285" s="10">
        <v>9193514</v>
      </c>
    </row>
    <row r="286" spans="6:8" x14ac:dyDescent="0.5">
      <c r="F286" s="9">
        <v>1996</v>
      </c>
      <c r="G286" s="9">
        <v>12</v>
      </c>
      <c r="H286" s="10">
        <v>9296002</v>
      </c>
    </row>
    <row r="287" spans="6:8" x14ac:dyDescent="0.5">
      <c r="F287" s="9">
        <v>1996</v>
      </c>
      <c r="G287" s="9">
        <v>11</v>
      </c>
      <c r="H287" s="10">
        <v>9288632</v>
      </c>
    </row>
    <row r="288" spans="6:8" x14ac:dyDescent="0.5">
      <c r="F288" s="9">
        <v>1996</v>
      </c>
      <c r="G288" s="9">
        <v>10</v>
      </c>
      <c r="H288" s="10">
        <v>9293402</v>
      </c>
    </row>
    <row r="289" spans="6:8" x14ac:dyDescent="0.5">
      <c r="F289" s="9">
        <v>1996</v>
      </c>
      <c r="G289" s="9">
        <v>9</v>
      </c>
      <c r="H289" s="10">
        <v>9215437</v>
      </c>
    </row>
    <row r="290" spans="6:8" x14ac:dyDescent="0.5">
      <c r="F290" s="9">
        <v>1996</v>
      </c>
      <c r="G290" s="9">
        <v>8</v>
      </c>
      <c r="H290" s="10">
        <v>9197654</v>
      </c>
    </row>
    <row r="291" spans="6:8" x14ac:dyDescent="0.5">
      <c r="F291" s="9">
        <v>1996</v>
      </c>
      <c r="G291" s="9">
        <v>7</v>
      </c>
      <c r="H291" s="10">
        <v>9237350</v>
      </c>
    </row>
    <row r="292" spans="6:8" x14ac:dyDescent="0.5">
      <c r="F292" s="9">
        <v>1996</v>
      </c>
      <c r="G292" s="9">
        <v>6</v>
      </c>
      <c r="H292" s="10">
        <v>9180849</v>
      </c>
    </row>
    <row r="293" spans="6:8" x14ac:dyDescent="0.5">
      <c r="F293" s="9">
        <v>1996</v>
      </c>
      <c r="G293" s="9">
        <v>5</v>
      </c>
      <c r="H293" s="10">
        <v>9132213</v>
      </c>
    </row>
    <row r="294" spans="6:8" x14ac:dyDescent="0.5">
      <c r="F294" s="9">
        <v>1996</v>
      </c>
      <c r="G294" s="9">
        <v>4</v>
      </c>
      <c r="H294" s="10">
        <v>9103957</v>
      </c>
    </row>
    <row r="295" spans="6:8" x14ac:dyDescent="0.5">
      <c r="F295" s="9">
        <v>1996</v>
      </c>
      <c r="G295" s="9">
        <v>3</v>
      </c>
      <c r="H295" s="10">
        <v>9081131</v>
      </c>
    </row>
    <row r="296" spans="6:8" x14ac:dyDescent="0.5">
      <c r="F296" s="9">
        <v>1996</v>
      </c>
      <c r="G296" s="9">
        <v>2</v>
      </c>
      <c r="H296" s="10">
        <v>9016006</v>
      </c>
    </row>
    <row r="297" spans="6:8" x14ac:dyDescent="0.5">
      <c r="F297" s="9">
        <v>1996</v>
      </c>
      <c r="G297" s="9">
        <v>1</v>
      </c>
      <c r="H297" s="10">
        <v>8948353</v>
      </c>
    </row>
    <row r="298" spans="6:8" x14ac:dyDescent="0.5">
      <c r="F298" s="9">
        <v>1995</v>
      </c>
      <c r="G298" s="9">
        <v>12</v>
      </c>
      <c r="H298" s="10">
        <v>9067561</v>
      </c>
    </row>
    <row r="299" spans="6:8" x14ac:dyDescent="0.5">
      <c r="F299" s="9">
        <v>1995</v>
      </c>
      <c r="G299" s="9">
        <v>11</v>
      </c>
      <c r="H299" s="10">
        <v>9075540</v>
      </c>
    </row>
    <row r="300" spans="6:8" x14ac:dyDescent="0.5">
      <c r="F300" s="9">
        <v>1995</v>
      </c>
      <c r="G300" s="9">
        <v>10</v>
      </c>
      <c r="H300" s="10">
        <v>9088388</v>
      </c>
    </row>
    <row r="301" spans="6:8" x14ac:dyDescent="0.5">
      <c r="F301" s="9">
        <v>1995</v>
      </c>
      <c r="G301" s="9">
        <v>9</v>
      </c>
      <c r="H301" s="10">
        <v>9016223</v>
      </c>
    </row>
    <row r="302" spans="6:8" x14ac:dyDescent="0.5">
      <c r="F302" s="9">
        <v>1995</v>
      </c>
      <c r="G302" s="9">
        <v>8</v>
      </c>
      <c r="H302" s="10">
        <v>9012892</v>
      </c>
    </row>
    <row r="303" spans="6:8" x14ac:dyDescent="0.5">
      <c r="F303" s="9">
        <v>1995</v>
      </c>
      <c r="G303" s="9">
        <v>7</v>
      </c>
      <c r="H303" s="10">
        <v>9062210</v>
      </c>
    </row>
    <row r="304" spans="6:8" x14ac:dyDescent="0.5">
      <c r="F304" s="9">
        <v>1995</v>
      </c>
      <c r="G304" s="9">
        <v>6</v>
      </c>
      <c r="H304" s="10">
        <v>9005152</v>
      </c>
    </row>
    <row r="305" spans="6:8" x14ac:dyDescent="0.5">
      <c r="F305" s="9">
        <v>1995</v>
      </c>
      <c r="G305" s="9">
        <v>5</v>
      </c>
      <c r="H305" s="10">
        <v>8964633</v>
      </c>
    </row>
    <row r="306" spans="6:8" x14ac:dyDescent="0.5">
      <c r="F306" s="9">
        <v>1995</v>
      </c>
      <c r="G306" s="9">
        <v>4</v>
      </c>
      <c r="H306" s="10">
        <v>8979330</v>
      </c>
    </row>
    <row r="307" spans="6:8" x14ac:dyDescent="0.5">
      <c r="F307" s="9">
        <v>1995</v>
      </c>
      <c r="G307" s="9">
        <v>3</v>
      </c>
      <c r="H307" s="10">
        <v>8950706</v>
      </c>
    </row>
    <row r="308" spans="6:8" x14ac:dyDescent="0.5">
      <c r="F308" s="9">
        <v>1995</v>
      </c>
      <c r="G308" s="9">
        <v>2</v>
      </c>
      <c r="H308" s="10">
        <v>8899368</v>
      </c>
    </row>
    <row r="309" spans="6:8" x14ac:dyDescent="0.5">
      <c r="F309" s="9">
        <v>1995</v>
      </c>
      <c r="G309" s="9">
        <v>1</v>
      </c>
      <c r="H309" s="10">
        <v>8848450</v>
      </c>
    </row>
    <row r="310" spans="6:8" x14ac:dyDescent="0.5">
      <c r="F310" s="9">
        <v>1994</v>
      </c>
      <c r="G310" s="9">
        <v>12</v>
      </c>
      <c r="H310" s="10">
        <v>8968663</v>
      </c>
    </row>
    <row r="311" spans="6:8" x14ac:dyDescent="0.5">
      <c r="F311" s="9">
        <v>1994</v>
      </c>
      <c r="G311" s="9">
        <v>11</v>
      </c>
      <c r="H311" s="10">
        <v>8952841</v>
      </c>
    </row>
    <row r="312" spans="6:8" x14ac:dyDescent="0.5">
      <c r="F312" s="9">
        <v>1994</v>
      </c>
      <c r="G312" s="9">
        <v>10</v>
      </c>
      <c r="H312" s="10">
        <v>8923614</v>
      </c>
    </row>
    <row r="313" spans="6:8" x14ac:dyDescent="0.5">
      <c r="F313" s="9">
        <v>1994</v>
      </c>
      <c r="G313" s="9">
        <v>9</v>
      </c>
      <c r="H313" s="10">
        <v>8836266</v>
      </c>
    </row>
    <row r="314" spans="6:8" x14ac:dyDescent="0.5">
      <c r="F314" s="9">
        <v>1994</v>
      </c>
      <c r="G314" s="9">
        <v>8</v>
      </c>
      <c r="H314" s="10">
        <v>8831016</v>
      </c>
    </row>
    <row r="315" spans="6:8" x14ac:dyDescent="0.5">
      <c r="F315" s="9">
        <v>1994</v>
      </c>
      <c r="G315" s="9">
        <v>7</v>
      </c>
      <c r="H315" s="10">
        <v>8833550</v>
      </c>
    </row>
    <row r="316" spans="6:8" x14ac:dyDescent="0.5">
      <c r="F316" s="9">
        <v>1994</v>
      </c>
      <c r="G316" s="9">
        <v>6</v>
      </c>
      <c r="H316" s="10">
        <v>8800493</v>
      </c>
    </row>
    <row r="317" spans="6:8" x14ac:dyDescent="0.5">
      <c r="F317" s="9">
        <v>1994</v>
      </c>
      <c r="G317" s="9">
        <v>5</v>
      </c>
      <c r="H317" s="10">
        <v>8774814</v>
      </c>
    </row>
    <row r="318" spans="6:8" x14ac:dyDescent="0.5">
      <c r="F318" s="9">
        <v>1994</v>
      </c>
      <c r="G318" s="9">
        <v>4</v>
      </c>
      <c r="H318" s="10">
        <v>8714234</v>
      </c>
    </row>
    <row r="319" spans="6:8" x14ac:dyDescent="0.5">
      <c r="F319" s="9">
        <v>1994</v>
      </c>
      <c r="G319" s="9">
        <v>3</v>
      </c>
      <c r="H319" s="10">
        <v>8661579</v>
      </c>
    </row>
    <row r="320" spans="6:8" x14ac:dyDescent="0.5">
      <c r="F320" s="9">
        <v>1994</v>
      </c>
      <c r="G320" s="9">
        <v>2</v>
      </c>
      <c r="H320" s="10">
        <v>8630825</v>
      </c>
    </row>
    <row r="321" spans="6:8" x14ac:dyDescent="0.5">
      <c r="F321" s="9">
        <v>1994</v>
      </c>
      <c r="G321" s="9">
        <v>1</v>
      </c>
      <c r="H321" s="10">
        <v>8590295</v>
      </c>
    </row>
    <row r="322" spans="6:8" x14ac:dyDescent="0.5">
      <c r="F322" s="9">
        <v>1993</v>
      </c>
      <c r="G322" s="9">
        <v>12</v>
      </c>
      <c r="H322" s="10">
        <v>8686095</v>
      </c>
    </row>
    <row r="323" spans="6:8" x14ac:dyDescent="0.5">
      <c r="F323" s="9">
        <v>1993</v>
      </c>
      <c r="G323" s="9">
        <v>11</v>
      </c>
      <c r="H323" s="10">
        <v>8660930</v>
      </c>
    </row>
    <row r="324" spans="6:8" x14ac:dyDescent="0.5">
      <c r="F324" s="9">
        <v>1993</v>
      </c>
      <c r="G324" s="9">
        <v>10</v>
      </c>
      <c r="H324" s="10">
        <v>8627582</v>
      </c>
    </row>
    <row r="325" spans="6:8" x14ac:dyDescent="0.5">
      <c r="F325" s="9">
        <v>1993</v>
      </c>
      <c r="G325" s="9">
        <v>9</v>
      </c>
      <c r="H325" s="10">
        <v>8565455</v>
      </c>
    </row>
    <row r="326" spans="6:8" x14ac:dyDescent="0.5">
      <c r="F326" s="9">
        <v>1993</v>
      </c>
      <c r="G326" s="9">
        <v>8</v>
      </c>
      <c r="H326" s="10">
        <v>8601557</v>
      </c>
    </row>
    <row r="327" spans="6:8" x14ac:dyDescent="0.5">
      <c r="F327" s="9">
        <v>1993</v>
      </c>
      <c r="G327" s="9">
        <v>7</v>
      </c>
      <c r="H327" s="10">
        <v>8620821</v>
      </c>
    </row>
    <row r="328" spans="6:8" x14ac:dyDescent="0.5">
      <c r="F328" s="9">
        <v>1993</v>
      </c>
      <c r="G328" s="9">
        <v>6</v>
      </c>
      <c r="H328" s="10">
        <v>8575049</v>
      </c>
    </row>
    <row r="329" spans="6:8" x14ac:dyDescent="0.5">
      <c r="F329" s="9">
        <v>1993</v>
      </c>
      <c r="G329" s="9">
        <v>5</v>
      </c>
      <c r="H329" s="10">
        <v>8508293</v>
      </c>
    </row>
    <row r="330" spans="6:8" x14ac:dyDescent="0.5">
      <c r="F330" s="9">
        <v>1993</v>
      </c>
      <c r="G330" s="9">
        <v>4</v>
      </c>
      <c r="H330" s="10">
        <v>8442254</v>
      </c>
    </row>
    <row r="331" spans="6:8" x14ac:dyDescent="0.5">
      <c r="F331" s="9">
        <v>1993</v>
      </c>
      <c r="G331" s="9">
        <v>3</v>
      </c>
      <c r="H331" s="10">
        <v>8412506</v>
      </c>
    </row>
    <row r="332" spans="6:8" x14ac:dyDescent="0.5">
      <c r="F332" s="9">
        <v>1993</v>
      </c>
      <c r="G332" s="9">
        <v>2</v>
      </c>
      <c r="H332" s="10">
        <v>8348702</v>
      </c>
    </row>
    <row r="333" spans="6:8" x14ac:dyDescent="0.5">
      <c r="F333" s="9">
        <v>1993</v>
      </c>
      <c r="G333" s="9">
        <v>1</v>
      </c>
      <c r="H333" s="10">
        <v>8312995</v>
      </c>
    </row>
    <row r="334" spans="6:8" x14ac:dyDescent="0.5">
      <c r="F334" s="9">
        <v>1992</v>
      </c>
      <c r="G334" s="9">
        <v>12</v>
      </c>
      <c r="H334" s="10">
        <v>8425405</v>
      </c>
    </row>
    <row r="335" spans="6:8" x14ac:dyDescent="0.5">
      <c r="F335" s="9">
        <v>1992</v>
      </c>
      <c r="G335" s="9">
        <v>11</v>
      </c>
      <c r="H335" s="10">
        <v>8407220</v>
      </c>
    </row>
    <row r="336" spans="6:8" x14ac:dyDescent="0.5">
      <c r="F336" s="9">
        <v>1992</v>
      </c>
      <c r="G336" s="9">
        <v>10</v>
      </c>
      <c r="H336" s="10">
        <v>8386614</v>
      </c>
    </row>
    <row r="337" spans="6:8" x14ac:dyDescent="0.5">
      <c r="F337" s="9">
        <v>1992</v>
      </c>
      <c r="G337" s="9">
        <v>9</v>
      </c>
      <c r="H337" s="10">
        <v>8356393</v>
      </c>
    </row>
    <row r="338" spans="6:8" x14ac:dyDescent="0.5">
      <c r="F338" s="9">
        <v>1992</v>
      </c>
      <c r="G338" s="9">
        <v>8</v>
      </c>
      <c r="H338" s="10">
        <v>8379308</v>
      </c>
    </row>
    <row r="339" spans="6:8" x14ac:dyDescent="0.5">
      <c r="F339" s="9">
        <v>1992</v>
      </c>
      <c r="G339" s="9">
        <v>7</v>
      </c>
      <c r="H339" s="10">
        <v>8423027</v>
      </c>
    </row>
    <row r="340" spans="6:8" x14ac:dyDescent="0.5">
      <c r="F340" s="9">
        <v>1992</v>
      </c>
      <c r="G340" s="9">
        <v>6</v>
      </c>
      <c r="H340" s="10">
        <v>8361976</v>
      </c>
    </row>
    <row r="341" spans="6:8" x14ac:dyDescent="0.5">
      <c r="F341" s="9">
        <v>1992</v>
      </c>
      <c r="G341" s="9">
        <v>5</v>
      </c>
      <c r="H341" s="10">
        <v>8290071</v>
      </c>
    </row>
    <row r="342" spans="6:8" x14ac:dyDescent="0.5">
      <c r="F342" s="9">
        <v>1992</v>
      </c>
      <c r="G342" s="9">
        <v>4</v>
      </c>
      <c r="H342" s="10">
        <v>8278538</v>
      </c>
    </row>
    <row r="343" spans="6:8" x14ac:dyDescent="0.5">
      <c r="F343" s="9">
        <v>1992</v>
      </c>
      <c r="G343" s="9">
        <v>3</v>
      </c>
      <c r="H343" s="10">
        <v>8218642</v>
      </c>
    </row>
    <row r="344" spans="6:8" x14ac:dyDescent="0.5">
      <c r="F344" s="9">
        <v>1992</v>
      </c>
      <c r="G344" s="9">
        <v>2</v>
      </c>
      <c r="H344" s="10">
        <v>8141787</v>
      </c>
    </row>
    <row r="345" spans="6:8" x14ac:dyDescent="0.5">
      <c r="F345" s="9">
        <v>1992</v>
      </c>
      <c r="G345" s="9">
        <v>1</v>
      </c>
      <c r="H345" s="10">
        <v>8138613</v>
      </c>
    </row>
    <row r="346" spans="6:8" x14ac:dyDescent="0.5">
      <c r="F346" s="9">
        <v>1991</v>
      </c>
      <c r="G346" s="9">
        <v>12</v>
      </c>
      <c r="H346" s="10">
        <v>8213818</v>
      </c>
    </row>
    <row r="347" spans="6:8" x14ac:dyDescent="0.5">
      <c r="F347" s="9">
        <v>1991</v>
      </c>
      <c r="G347" s="9">
        <v>11</v>
      </c>
      <c r="H347" s="10">
        <v>8226849</v>
      </c>
    </row>
    <row r="348" spans="6:8" x14ac:dyDescent="0.5">
      <c r="F348" s="9">
        <v>1991</v>
      </c>
      <c r="G348" s="9">
        <v>10</v>
      </c>
      <c r="H348" s="10">
        <v>8234038</v>
      </c>
    </row>
    <row r="349" spans="6:8" x14ac:dyDescent="0.5">
      <c r="F349" s="9">
        <v>1991</v>
      </c>
      <c r="G349" s="9">
        <v>9</v>
      </c>
      <c r="H349" s="10">
        <v>8208525</v>
      </c>
    </row>
    <row r="350" spans="6:8" x14ac:dyDescent="0.5">
      <c r="F350" s="9">
        <v>1991</v>
      </c>
      <c r="G350" s="9">
        <v>8</v>
      </c>
      <c r="H350" s="10">
        <v>8186302</v>
      </c>
    </row>
    <row r="351" spans="6:8" x14ac:dyDescent="0.5">
      <c r="F351" s="9">
        <v>1991</v>
      </c>
      <c r="G351" s="9">
        <v>7</v>
      </c>
      <c r="H351" s="10">
        <v>8252812</v>
      </c>
    </row>
    <row r="352" spans="6:8" x14ac:dyDescent="0.5">
      <c r="F352" s="9">
        <v>1991</v>
      </c>
      <c r="G352" s="9">
        <v>6</v>
      </c>
      <c r="H352" s="10">
        <v>8214786</v>
      </c>
    </row>
    <row r="353" spans="6:8" x14ac:dyDescent="0.5">
      <c r="F353" s="9">
        <v>1991</v>
      </c>
      <c r="G353" s="9">
        <v>5</v>
      </c>
      <c r="H353" s="10">
        <v>8120785</v>
      </c>
    </row>
    <row r="354" spans="6:8" x14ac:dyDescent="0.5">
      <c r="F354" s="9">
        <v>1991</v>
      </c>
      <c r="G354" s="9">
        <v>4</v>
      </c>
      <c r="H354" s="10">
        <v>8158380</v>
      </c>
    </row>
    <row r="355" spans="6:8" x14ac:dyDescent="0.5">
      <c r="F355" s="9">
        <v>1991</v>
      </c>
      <c r="G355" s="9">
        <v>3</v>
      </c>
      <c r="H355" s="10">
        <v>8074953</v>
      </c>
    </row>
    <row r="356" spans="6:8" x14ac:dyDescent="0.5">
      <c r="F356" s="9">
        <v>1991</v>
      </c>
      <c r="G356" s="9">
        <v>2</v>
      </c>
      <c r="H356" s="10">
        <v>8020824</v>
      </c>
    </row>
    <row r="357" spans="6:8" x14ac:dyDescent="0.5">
      <c r="F357" s="9">
        <v>1991</v>
      </c>
      <c r="G357" s="9">
        <v>1</v>
      </c>
      <c r="H357" s="10">
        <v>8014077</v>
      </c>
    </row>
    <row r="358" spans="6:8" x14ac:dyDescent="0.5">
      <c r="F358" s="9">
        <v>1990</v>
      </c>
      <c r="G358" s="9">
        <v>12</v>
      </c>
      <c r="H358" s="10">
        <v>8133372</v>
      </c>
    </row>
    <row r="359" spans="6:8" x14ac:dyDescent="0.5">
      <c r="F359" s="9">
        <v>1990</v>
      </c>
      <c r="G359" s="9">
        <v>11</v>
      </c>
      <c r="H359" s="10">
        <v>8118853</v>
      </c>
    </row>
    <row r="360" spans="6:8" x14ac:dyDescent="0.5">
      <c r="F360" s="9">
        <v>1990</v>
      </c>
      <c r="G360" s="9">
        <v>10</v>
      </c>
      <c r="H360" s="10">
        <v>8144571</v>
      </c>
    </row>
    <row r="361" spans="6:8" x14ac:dyDescent="0.5">
      <c r="F361" s="9">
        <v>1990</v>
      </c>
      <c r="G361" s="9">
        <v>9</v>
      </c>
      <c r="H361" s="10">
        <v>8095030</v>
      </c>
    </row>
    <row r="362" spans="6:8" x14ac:dyDescent="0.5">
      <c r="F362" s="9">
        <v>1990</v>
      </c>
      <c r="G362" s="9">
        <v>8</v>
      </c>
      <c r="H362" s="10">
        <v>8116166</v>
      </c>
    </row>
    <row r="363" spans="6:8" x14ac:dyDescent="0.5">
      <c r="F363" s="9">
        <v>1990</v>
      </c>
      <c r="G363" s="9">
        <v>7</v>
      </c>
      <c r="H363" s="10">
        <v>8167892</v>
      </c>
    </row>
    <row r="364" spans="6:8" x14ac:dyDescent="0.5">
      <c r="F364" s="9">
        <v>1990</v>
      </c>
      <c r="G364" s="9">
        <v>6</v>
      </c>
      <c r="H364" s="10">
        <v>8142505</v>
      </c>
    </row>
    <row r="365" spans="6:8" x14ac:dyDescent="0.5">
      <c r="F365" s="9">
        <v>1990</v>
      </c>
      <c r="G365" s="9">
        <v>5</v>
      </c>
      <c r="H365" s="10">
        <v>8069813</v>
      </c>
    </row>
    <row r="366" spans="6:8" x14ac:dyDescent="0.5">
      <c r="F366" s="9">
        <v>1990</v>
      </c>
      <c r="G366" s="9">
        <v>4</v>
      </c>
      <c r="H366" s="10">
        <v>8033832</v>
      </c>
    </row>
    <row r="367" spans="6:8" x14ac:dyDescent="0.5">
      <c r="F367" s="9">
        <v>1990</v>
      </c>
      <c r="G367" s="9">
        <v>3</v>
      </c>
      <c r="H367" s="10">
        <v>8009826</v>
      </c>
    </row>
    <row r="368" spans="6:8" x14ac:dyDescent="0.5">
      <c r="F368" s="9">
        <v>1990</v>
      </c>
      <c r="G368" s="9">
        <v>2</v>
      </c>
      <c r="H368" s="10">
        <v>7931556</v>
      </c>
    </row>
    <row r="369" spans="6:8" x14ac:dyDescent="0.5">
      <c r="F369" s="9">
        <v>1990</v>
      </c>
      <c r="G369" s="9">
        <v>1</v>
      </c>
      <c r="H369" s="10">
        <v>7915669</v>
      </c>
    </row>
    <row r="370" spans="6:8" x14ac:dyDescent="0.5">
      <c r="F370" s="9">
        <v>1989</v>
      </c>
      <c r="G370" s="9">
        <v>12</v>
      </c>
      <c r="H370" s="10">
        <v>7958993</v>
      </c>
    </row>
    <row r="371" spans="6:8" x14ac:dyDescent="0.5">
      <c r="F371" s="9">
        <v>1989</v>
      </c>
      <c r="G371" s="9">
        <v>11</v>
      </c>
      <c r="H371" s="10">
        <v>7962562</v>
      </c>
    </row>
    <row r="372" spans="6:8" x14ac:dyDescent="0.5">
      <c r="F372" s="9">
        <v>1989</v>
      </c>
      <c r="G372" s="9">
        <v>10</v>
      </c>
      <c r="H372" s="10">
        <v>7944688</v>
      </c>
    </row>
    <row r="373" spans="6:8" x14ac:dyDescent="0.5">
      <c r="F373" s="9">
        <v>1989</v>
      </c>
      <c r="G373" s="9">
        <v>9</v>
      </c>
      <c r="H373" s="10">
        <v>7881383</v>
      </c>
    </row>
    <row r="374" spans="6:8" x14ac:dyDescent="0.5">
      <c r="F374" s="9">
        <v>1989</v>
      </c>
      <c r="G374" s="9">
        <v>8</v>
      </c>
      <c r="H374" s="10">
        <v>7933142</v>
      </c>
    </row>
    <row r="375" spans="6:8" x14ac:dyDescent="0.5">
      <c r="F375" s="9">
        <v>1989</v>
      </c>
      <c r="G375" s="9">
        <v>7</v>
      </c>
      <c r="H375" s="10">
        <v>7963224</v>
      </c>
    </row>
    <row r="376" spans="6:8" x14ac:dyDescent="0.5">
      <c r="F376" s="9">
        <v>1989</v>
      </c>
      <c r="G376" s="9">
        <v>6</v>
      </c>
      <c r="H376" s="10">
        <v>7918663</v>
      </c>
    </row>
    <row r="377" spans="6:8" x14ac:dyDescent="0.5">
      <c r="F377" s="9">
        <v>1989</v>
      </c>
      <c r="G377" s="9">
        <v>5</v>
      </c>
      <c r="H377" s="10">
        <v>7846861</v>
      </c>
    </row>
    <row r="378" spans="6:8" x14ac:dyDescent="0.5">
      <c r="F378" s="9">
        <v>1989</v>
      </c>
      <c r="G378" s="9">
        <v>4</v>
      </c>
      <c r="H378" s="10">
        <v>7839019</v>
      </c>
    </row>
    <row r="379" spans="6:8" x14ac:dyDescent="0.5">
      <c r="F379" s="9">
        <v>1989</v>
      </c>
      <c r="G379" s="9">
        <v>3</v>
      </c>
      <c r="H379" s="10">
        <v>7815821</v>
      </c>
    </row>
    <row r="380" spans="6:8" x14ac:dyDescent="0.5">
      <c r="F380" s="9">
        <v>1989</v>
      </c>
      <c r="G380" s="9">
        <v>2</v>
      </c>
      <c r="H380" s="10">
        <v>7756240</v>
      </c>
    </row>
    <row r="381" spans="6:8" x14ac:dyDescent="0.5">
      <c r="F381" s="9">
        <v>1989</v>
      </c>
      <c r="G381" s="9">
        <v>1</v>
      </c>
      <c r="H381" s="10">
        <v>7754586</v>
      </c>
    </row>
    <row r="382" spans="6:8" x14ac:dyDescent="0.5">
      <c r="F382" s="9">
        <v>1988</v>
      </c>
      <c r="G382" s="9">
        <v>12</v>
      </c>
      <c r="H382" s="10">
        <v>7812955</v>
      </c>
    </row>
    <row r="383" spans="6:8" x14ac:dyDescent="0.5">
      <c r="F383" s="9">
        <v>1988</v>
      </c>
      <c r="G383" s="9">
        <v>11</v>
      </c>
      <c r="H383" s="10">
        <v>7821550</v>
      </c>
    </row>
    <row r="384" spans="6:8" x14ac:dyDescent="0.5">
      <c r="F384" s="9">
        <v>1988</v>
      </c>
      <c r="G384" s="9">
        <v>10</v>
      </c>
      <c r="H384" s="10">
        <v>7806505</v>
      </c>
    </row>
    <row r="385" spans="6:8" x14ac:dyDescent="0.5">
      <c r="F385" s="9">
        <v>1988</v>
      </c>
      <c r="G385" s="9">
        <v>9</v>
      </c>
      <c r="H385" s="10">
        <v>7745909</v>
      </c>
    </row>
    <row r="386" spans="6:8" x14ac:dyDescent="0.5">
      <c r="F386" s="9">
        <v>1988</v>
      </c>
      <c r="G386" s="9">
        <v>8</v>
      </c>
      <c r="H386" s="10">
        <v>7781945</v>
      </c>
    </row>
    <row r="387" spans="6:8" x14ac:dyDescent="0.5">
      <c r="F387" s="9">
        <v>1988</v>
      </c>
      <c r="G387" s="9">
        <v>7</v>
      </c>
      <c r="H387" s="10">
        <v>7814995</v>
      </c>
    </row>
    <row r="388" spans="6:8" x14ac:dyDescent="0.5">
      <c r="F388" s="9">
        <v>1988</v>
      </c>
      <c r="G388" s="9">
        <v>6</v>
      </c>
      <c r="H388" s="10">
        <v>7765625</v>
      </c>
    </row>
    <row r="389" spans="6:8" x14ac:dyDescent="0.5">
      <c r="F389" s="9">
        <v>1988</v>
      </c>
      <c r="G389" s="9">
        <v>5</v>
      </c>
      <c r="H389" s="10">
        <v>7669851</v>
      </c>
    </row>
    <row r="390" spans="6:8" x14ac:dyDescent="0.5">
      <c r="F390" s="9">
        <v>1988</v>
      </c>
      <c r="G390" s="9">
        <v>4</v>
      </c>
      <c r="H390" s="10">
        <v>7687254</v>
      </c>
    </row>
    <row r="391" spans="6:8" x14ac:dyDescent="0.5">
      <c r="F391" s="9">
        <v>1988</v>
      </c>
      <c r="G391" s="9">
        <v>3</v>
      </c>
      <c r="H391" s="10">
        <v>7619920</v>
      </c>
    </row>
    <row r="392" spans="6:8" x14ac:dyDescent="0.5">
      <c r="F392" s="9">
        <v>1988</v>
      </c>
      <c r="G392" s="9">
        <v>2</v>
      </c>
      <c r="H392" s="10">
        <v>7587715</v>
      </c>
    </row>
    <row r="393" spans="6:8" x14ac:dyDescent="0.5">
      <c r="F393" s="9">
        <v>1988</v>
      </c>
      <c r="G393" s="9">
        <v>1</v>
      </c>
      <c r="H393" s="10">
        <v>7583465</v>
      </c>
    </row>
    <row r="394" spans="6:8" x14ac:dyDescent="0.5">
      <c r="F394" s="9">
        <v>1987</v>
      </c>
      <c r="G394" s="9">
        <v>12</v>
      </c>
      <c r="H394" s="10">
        <v>7668913</v>
      </c>
    </row>
    <row r="395" spans="6:8" x14ac:dyDescent="0.5">
      <c r="F395" s="9">
        <v>1987</v>
      </c>
      <c r="G395" s="9">
        <v>11</v>
      </c>
      <c r="H395" s="10">
        <v>7658568</v>
      </c>
    </row>
    <row r="396" spans="6:8" x14ac:dyDescent="0.5">
      <c r="F396" s="9">
        <v>1987</v>
      </c>
      <c r="G396" s="9">
        <v>10</v>
      </c>
      <c r="H396" s="10">
        <v>7654275</v>
      </c>
    </row>
    <row r="397" spans="6:8" x14ac:dyDescent="0.5">
      <c r="F397" s="9">
        <v>1987</v>
      </c>
      <c r="G397" s="9">
        <v>9</v>
      </c>
      <c r="H397" s="10">
        <v>7593228</v>
      </c>
    </row>
    <row r="398" spans="6:8" x14ac:dyDescent="0.5">
      <c r="F398" s="9">
        <v>1987</v>
      </c>
      <c r="G398" s="9">
        <v>8</v>
      </c>
      <c r="H398" s="10">
        <v>7650616</v>
      </c>
    </row>
    <row r="399" spans="6:8" x14ac:dyDescent="0.5">
      <c r="F399" s="9">
        <v>1987</v>
      </c>
      <c r="G399" s="9">
        <v>7</v>
      </c>
      <c r="H399" s="10">
        <v>7669547</v>
      </c>
    </row>
    <row r="400" spans="6:8" x14ac:dyDescent="0.5">
      <c r="F400" s="9">
        <v>1987</v>
      </c>
      <c r="G400" s="9">
        <v>6</v>
      </c>
      <c r="H400" s="10">
        <v>7605432</v>
      </c>
    </row>
    <row r="401" spans="6:8" x14ac:dyDescent="0.5">
      <c r="F401" s="9">
        <v>1987</v>
      </c>
      <c r="G401" s="9">
        <v>5</v>
      </c>
      <c r="H401" s="10">
        <v>7568011</v>
      </c>
    </row>
    <row r="402" spans="6:8" x14ac:dyDescent="0.5">
      <c r="F402" s="9">
        <v>1987</v>
      </c>
      <c r="G402" s="9">
        <v>4</v>
      </c>
      <c r="H402" s="10">
        <v>7520726</v>
      </c>
    </row>
    <row r="403" spans="6:8" x14ac:dyDescent="0.5">
      <c r="F403" s="9">
        <v>1987</v>
      </c>
      <c r="G403" s="9">
        <v>3</v>
      </c>
      <c r="H403" s="10">
        <v>7482631</v>
      </c>
    </row>
    <row r="404" spans="6:8" x14ac:dyDescent="0.5">
      <c r="F404" s="9">
        <v>1987</v>
      </c>
      <c r="G404" s="9">
        <v>2</v>
      </c>
      <c r="H404" s="10">
        <v>7428238</v>
      </c>
    </row>
    <row r="405" spans="6:8" x14ac:dyDescent="0.5">
      <c r="F405" s="9">
        <v>1987</v>
      </c>
      <c r="G405" s="9">
        <v>1</v>
      </c>
      <c r="H405" s="10">
        <v>7419610</v>
      </c>
    </row>
    <row r="406" spans="6:8" x14ac:dyDescent="0.5">
      <c r="F406" s="9">
        <v>1986</v>
      </c>
      <c r="G406" s="9">
        <v>12</v>
      </c>
      <c r="H406" s="10">
        <v>7513817</v>
      </c>
    </row>
    <row r="407" spans="6:8" x14ac:dyDescent="0.5">
      <c r="F407" s="9">
        <v>1986</v>
      </c>
      <c r="G407" s="9">
        <v>11</v>
      </c>
      <c r="H407" s="10">
        <v>7510722</v>
      </c>
    </row>
    <row r="408" spans="6:8" x14ac:dyDescent="0.5">
      <c r="F408" s="9">
        <v>1986</v>
      </c>
      <c r="G408" s="9">
        <v>10</v>
      </c>
      <c r="H408" s="10">
        <v>7513621</v>
      </c>
    </row>
    <row r="409" spans="6:8" x14ac:dyDescent="0.5">
      <c r="F409" s="9">
        <v>1986</v>
      </c>
      <c r="G409" s="9">
        <v>9</v>
      </c>
      <c r="H409" s="10">
        <v>7472102</v>
      </c>
    </row>
    <row r="410" spans="6:8" x14ac:dyDescent="0.5">
      <c r="F410" s="9">
        <v>1986</v>
      </c>
      <c r="G410" s="9">
        <v>8</v>
      </c>
      <c r="H410" s="10">
        <v>7519272</v>
      </c>
    </row>
    <row r="411" spans="6:8" x14ac:dyDescent="0.5">
      <c r="F411" s="9">
        <v>1986</v>
      </c>
      <c r="G411" s="9">
        <v>7</v>
      </c>
      <c r="H411" s="10">
        <v>7560131</v>
      </c>
    </row>
    <row r="412" spans="6:8" x14ac:dyDescent="0.5">
      <c r="F412" s="9">
        <v>1986</v>
      </c>
      <c r="G412" s="9">
        <v>6</v>
      </c>
      <c r="H412" s="10">
        <v>7507718</v>
      </c>
    </row>
    <row r="413" spans="6:8" x14ac:dyDescent="0.5">
      <c r="F413" s="9">
        <v>1986</v>
      </c>
      <c r="G413" s="9">
        <v>5</v>
      </c>
      <c r="H413" s="10">
        <v>7428162</v>
      </c>
    </row>
    <row r="414" spans="6:8" x14ac:dyDescent="0.5">
      <c r="F414" s="9">
        <v>1986</v>
      </c>
      <c r="G414" s="9">
        <v>4</v>
      </c>
      <c r="H414" s="10">
        <v>7418735</v>
      </c>
    </row>
    <row r="415" spans="6:8" x14ac:dyDescent="0.5">
      <c r="F415" s="9">
        <v>1986</v>
      </c>
      <c r="G415" s="9">
        <v>3</v>
      </c>
      <c r="H415" s="10">
        <v>7395443</v>
      </c>
    </row>
    <row r="416" spans="6:8" x14ac:dyDescent="0.5">
      <c r="F416" s="9">
        <v>1986</v>
      </c>
      <c r="G416" s="9">
        <v>2</v>
      </c>
      <c r="H416" s="10">
        <v>7335682</v>
      </c>
    </row>
    <row r="417" spans="6:8" x14ac:dyDescent="0.5">
      <c r="F417" s="9">
        <v>1986</v>
      </c>
      <c r="G417" s="9">
        <v>1</v>
      </c>
      <c r="H417" s="10">
        <v>7382971</v>
      </c>
    </row>
    <row r="418" spans="6:8" x14ac:dyDescent="0.5">
      <c r="F418" s="9">
        <v>1985</v>
      </c>
      <c r="G418" s="9">
        <v>12</v>
      </c>
      <c r="H418" s="10">
        <v>7474270</v>
      </c>
    </row>
    <row r="419" spans="6:8" x14ac:dyDescent="0.5">
      <c r="F419" s="9">
        <v>1985</v>
      </c>
      <c r="G419" s="9">
        <v>11</v>
      </c>
      <c r="H419" s="10">
        <v>7486848</v>
      </c>
    </row>
    <row r="420" spans="6:8" x14ac:dyDescent="0.5">
      <c r="F420" s="9">
        <v>1985</v>
      </c>
      <c r="G420" s="9">
        <v>10</v>
      </c>
      <c r="H420" s="10">
        <v>7498653</v>
      </c>
    </row>
    <row r="421" spans="6:8" x14ac:dyDescent="0.5">
      <c r="F421" s="9">
        <v>1985</v>
      </c>
      <c r="G421" s="9">
        <v>9</v>
      </c>
      <c r="H421" s="10">
        <v>7465959</v>
      </c>
    </row>
    <row r="422" spans="6:8" x14ac:dyDescent="0.5">
      <c r="F422" s="9">
        <v>1985</v>
      </c>
      <c r="G422" s="9">
        <v>8</v>
      </c>
      <c r="H422" s="10">
        <v>7476672</v>
      </c>
    </row>
    <row r="423" spans="6:8" x14ac:dyDescent="0.5">
      <c r="F423" s="9">
        <v>1985</v>
      </c>
      <c r="G423" s="9">
        <v>7</v>
      </c>
      <c r="H423" s="10">
        <v>7521455</v>
      </c>
    </row>
    <row r="424" spans="6:8" x14ac:dyDescent="0.5">
      <c r="F424" s="9">
        <v>1985</v>
      </c>
      <c r="G424" s="9">
        <v>6</v>
      </c>
      <c r="H424" s="10">
        <v>7466647</v>
      </c>
    </row>
    <row r="425" spans="6:8" x14ac:dyDescent="0.5">
      <c r="F425" s="9">
        <v>1985</v>
      </c>
      <c r="G425" s="9">
        <v>5</v>
      </c>
      <c r="H425" s="10">
        <v>7453757</v>
      </c>
    </row>
    <row r="426" spans="6:8" x14ac:dyDescent="0.5">
      <c r="F426" s="9">
        <v>1985</v>
      </c>
      <c r="G426" s="9">
        <v>4</v>
      </c>
      <c r="H426" s="10">
        <v>7463271</v>
      </c>
    </row>
    <row r="427" spans="6:8" x14ac:dyDescent="0.5">
      <c r="F427" s="9">
        <v>1985</v>
      </c>
      <c r="G427" s="9">
        <v>3</v>
      </c>
      <c r="H427" s="10">
        <v>7462567</v>
      </c>
    </row>
    <row r="428" spans="6:8" x14ac:dyDescent="0.5">
      <c r="F428" s="9">
        <v>1985</v>
      </c>
      <c r="G428" s="9">
        <v>2</v>
      </c>
      <c r="H428" s="10">
        <v>7395976</v>
      </c>
    </row>
    <row r="429" spans="6:8" x14ac:dyDescent="0.5">
      <c r="F429" s="9">
        <v>1985</v>
      </c>
      <c r="G429" s="9">
        <v>1</v>
      </c>
      <c r="H429" s="10">
        <v>7393806</v>
      </c>
    </row>
    <row r="430" spans="6:8" x14ac:dyDescent="0.5">
      <c r="F430" s="9">
        <v>1984</v>
      </c>
      <c r="G430" s="9">
        <v>12</v>
      </c>
      <c r="H430" s="10">
        <v>7493818</v>
      </c>
    </row>
    <row r="431" spans="6:8" x14ac:dyDescent="0.5">
      <c r="F431" s="9">
        <v>1984</v>
      </c>
      <c r="G431" s="9">
        <v>11</v>
      </c>
      <c r="H431" s="10">
        <v>7492257</v>
      </c>
    </row>
    <row r="432" spans="6:8" x14ac:dyDescent="0.5">
      <c r="F432" s="9">
        <v>1984</v>
      </c>
      <c r="G432" s="9">
        <v>10</v>
      </c>
      <c r="H432" s="10">
        <v>7489351</v>
      </c>
    </row>
    <row r="433" spans="6:8" x14ac:dyDescent="0.5">
      <c r="F433" s="9">
        <v>1984</v>
      </c>
      <c r="G433" s="9">
        <v>9</v>
      </c>
      <c r="H433" s="10">
        <v>7458057</v>
      </c>
    </row>
    <row r="434" spans="6:8" x14ac:dyDescent="0.5">
      <c r="F434" s="9">
        <v>1984</v>
      </c>
      <c r="G434" s="9">
        <v>8</v>
      </c>
      <c r="H434" s="10">
        <v>7463673</v>
      </c>
    </row>
    <row r="435" spans="6:8" x14ac:dyDescent="0.5">
      <c r="F435" s="9">
        <v>1984</v>
      </c>
      <c r="G435" s="9">
        <v>7</v>
      </c>
      <c r="H435" s="10">
        <v>7530919</v>
      </c>
    </row>
    <row r="436" spans="6:8" x14ac:dyDescent="0.5">
      <c r="F436" s="9">
        <v>1984</v>
      </c>
      <c r="G436" s="9">
        <v>6</v>
      </c>
      <c r="H436" s="10">
        <v>7477255</v>
      </c>
    </row>
    <row r="437" spans="6:8" x14ac:dyDescent="0.5">
      <c r="F437" s="9">
        <v>1984</v>
      </c>
      <c r="G437" s="9">
        <v>5</v>
      </c>
      <c r="H437" s="10">
        <v>7370219</v>
      </c>
    </row>
    <row r="438" spans="6:8" x14ac:dyDescent="0.5">
      <c r="F438" s="9">
        <v>1984</v>
      </c>
      <c r="G438" s="9">
        <v>4</v>
      </c>
      <c r="H438" s="10">
        <v>7207357</v>
      </c>
    </row>
    <row r="439" spans="6:8" x14ac:dyDescent="0.5">
      <c r="F439" s="9">
        <v>1984</v>
      </c>
      <c r="G439" s="9">
        <v>3</v>
      </c>
      <c r="H439" s="10">
        <v>7163109</v>
      </c>
    </row>
    <row r="440" spans="6:8" x14ac:dyDescent="0.5">
      <c r="F440" s="9">
        <v>1984</v>
      </c>
      <c r="G440" s="9">
        <v>2</v>
      </c>
      <c r="H440" s="10">
        <v>7102296</v>
      </c>
    </row>
    <row r="441" spans="6:8" x14ac:dyDescent="0.5">
      <c r="F441" s="9">
        <v>1984</v>
      </c>
      <c r="G441" s="9">
        <v>1</v>
      </c>
      <c r="H441" s="10">
        <v>7073521</v>
      </c>
    </row>
    <row r="442" spans="6:8" x14ac:dyDescent="0.5">
      <c r="F442" s="9">
        <v>1983</v>
      </c>
      <c r="G442" s="9">
        <v>12</v>
      </c>
      <c r="H442" s="10">
        <v>7176454</v>
      </c>
    </row>
    <row r="443" spans="6:8" x14ac:dyDescent="0.5">
      <c r="F443" s="9">
        <v>1983</v>
      </c>
      <c r="G443" s="9">
        <v>11</v>
      </c>
      <c r="H443" s="10">
        <v>7174719</v>
      </c>
    </row>
    <row r="444" spans="6:8" x14ac:dyDescent="0.5">
      <c r="F444" s="9">
        <v>1983</v>
      </c>
      <c r="G444" s="9">
        <v>10</v>
      </c>
      <c r="H444" s="10">
        <v>7144718</v>
      </c>
    </row>
    <row r="445" spans="6:8" x14ac:dyDescent="0.5">
      <c r="F445" s="9">
        <v>1983</v>
      </c>
      <c r="G445" s="9">
        <v>9</v>
      </c>
      <c r="H445" s="10">
        <v>7127325</v>
      </c>
    </row>
    <row r="446" spans="6:8" x14ac:dyDescent="0.5">
      <c r="F446" s="9">
        <v>1983</v>
      </c>
      <c r="G446" s="9">
        <v>8</v>
      </c>
      <c r="H446" s="10">
        <v>7131931</v>
      </c>
    </row>
    <row r="447" spans="6:8" x14ac:dyDescent="0.5">
      <c r="F447" s="9">
        <v>1983</v>
      </c>
      <c r="G447" s="9">
        <v>7</v>
      </c>
      <c r="H447" s="10">
        <v>7147621</v>
      </c>
    </row>
    <row r="448" spans="6:8" x14ac:dyDescent="0.5">
      <c r="F448" s="9">
        <v>1983</v>
      </c>
      <c r="G448" s="9">
        <v>6</v>
      </c>
      <c r="H448" s="10">
        <v>7063200</v>
      </c>
    </row>
    <row r="449" spans="6:8" x14ac:dyDescent="0.5">
      <c r="F449" s="9">
        <v>1983</v>
      </c>
      <c r="G449" s="9">
        <v>5</v>
      </c>
      <c r="H449" s="10">
        <v>6948244</v>
      </c>
    </row>
    <row r="450" spans="6:8" x14ac:dyDescent="0.5">
      <c r="F450" s="9">
        <v>1983</v>
      </c>
      <c r="G450" s="9">
        <v>4</v>
      </c>
      <c r="H450" s="10">
        <v>6945260</v>
      </c>
    </row>
    <row r="451" spans="6:8" x14ac:dyDescent="0.5">
      <c r="F451" s="9">
        <v>1983</v>
      </c>
      <c r="G451" s="9">
        <v>3</v>
      </c>
      <c r="H451" s="10">
        <v>6899926</v>
      </c>
    </row>
    <row r="452" spans="6:8" x14ac:dyDescent="0.5">
      <c r="F452" s="9">
        <v>1983</v>
      </c>
      <c r="G452" s="9">
        <v>2</v>
      </c>
      <c r="H452" s="10">
        <v>6845745</v>
      </c>
    </row>
    <row r="453" spans="6:8" x14ac:dyDescent="0.5">
      <c r="F453" s="9">
        <v>1983</v>
      </c>
      <c r="G453" s="9">
        <v>1</v>
      </c>
      <c r="H453" s="10">
        <v>6849569</v>
      </c>
    </row>
    <row r="454" spans="6:8" x14ac:dyDescent="0.5">
      <c r="F454" s="9">
        <v>1982</v>
      </c>
      <c r="G454" s="9">
        <v>12</v>
      </c>
      <c r="H454" s="10">
        <v>6934300</v>
      </c>
    </row>
    <row r="455" spans="6:8" x14ac:dyDescent="0.5">
      <c r="F455" s="9">
        <v>1982</v>
      </c>
      <c r="G455" s="9">
        <v>11</v>
      </c>
      <c r="H455" s="10">
        <v>6940391</v>
      </c>
    </row>
    <row r="456" spans="6:8" x14ac:dyDescent="0.5">
      <c r="F456" s="9">
        <v>1982</v>
      </c>
      <c r="G456" s="9">
        <v>10</v>
      </c>
      <c r="H456" s="10">
        <v>6945077</v>
      </c>
    </row>
    <row r="457" spans="6:8" x14ac:dyDescent="0.5">
      <c r="F457" s="9">
        <v>1982</v>
      </c>
      <c r="G457" s="9">
        <v>9</v>
      </c>
      <c r="H457" s="10">
        <v>6921758</v>
      </c>
    </row>
    <row r="458" spans="6:8" x14ac:dyDescent="0.5">
      <c r="F458" s="9">
        <v>1982</v>
      </c>
      <c r="G458" s="9">
        <v>8</v>
      </c>
      <c r="H458" s="10">
        <v>6942231</v>
      </c>
    </row>
    <row r="459" spans="6:8" x14ac:dyDescent="0.5">
      <c r="F459" s="9">
        <v>1982</v>
      </c>
      <c r="G459" s="9">
        <v>7</v>
      </c>
      <c r="H459" s="10">
        <v>6959780</v>
      </c>
    </row>
    <row r="460" spans="6:8" x14ac:dyDescent="0.5">
      <c r="F460" s="9">
        <v>1982</v>
      </c>
      <c r="G460" s="9">
        <v>6</v>
      </c>
      <c r="H460" s="10">
        <v>6893048</v>
      </c>
    </row>
    <row r="461" spans="6:8" x14ac:dyDescent="0.5">
      <c r="F461" s="9">
        <v>1982</v>
      </c>
      <c r="G461" s="9">
        <v>5</v>
      </c>
      <c r="H461" s="10">
        <v>6857326</v>
      </c>
    </row>
    <row r="462" spans="6:8" x14ac:dyDescent="0.5">
      <c r="F462" s="9">
        <v>1982</v>
      </c>
      <c r="G462" s="9">
        <v>4</v>
      </c>
      <c r="H462" s="10">
        <v>6811573</v>
      </c>
    </row>
    <row r="463" spans="6:8" x14ac:dyDescent="0.5">
      <c r="F463" s="9">
        <v>1982</v>
      </c>
      <c r="G463" s="9">
        <v>3</v>
      </c>
      <c r="H463" s="10">
        <v>6777568</v>
      </c>
    </row>
    <row r="464" spans="6:8" x14ac:dyDescent="0.5">
      <c r="F464" s="9">
        <v>1982</v>
      </c>
      <c r="G464" s="9">
        <v>2</v>
      </c>
      <c r="H464" s="10">
        <v>6722024</v>
      </c>
    </row>
    <row r="465" spans="6:8" x14ac:dyDescent="0.5">
      <c r="F465" s="9">
        <v>1982</v>
      </c>
      <c r="G465" s="9">
        <v>1</v>
      </c>
      <c r="H465" s="10">
        <v>6710513</v>
      </c>
    </row>
    <row r="466" spans="6:8" x14ac:dyDescent="0.5">
      <c r="F466" s="9">
        <v>1981</v>
      </c>
      <c r="G466" s="9">
        <v>12</v>
      </c>
      <c r="H466" s="10">
        <v>6779466</v>
      </c>
    </row>
    <row r="467" spans="6:8" x14ac:dyDescent="0.5">
      <c r="F467" s="9">
        <v>1981</v>
      </c>
      <c r="G467" s="9">
        <v>11</v>
      </c>
      <c r="H467" s="10">
        <v>6799532</v>
      </c>
    </row>
    <row r="468" spans="6:8" x14ac:dyDescent="0.5">
      <c r="F468" s="9">
        <v>1981</v>
      </c>
      <c r="G468" s="9">
        <v>10</v>
      </c>
      <c r="H468" s="10">
        <v>6799428</v>
      </c>
    </row>
    <row r="469" spans="6:8" x14ac:dyDescent="0.5">
      <c r="F469" s="9">
        <v>1981</v>
      </c>
      <c r="G469" s="9">
        <v>9</v>
      </c>
      <c r="H469" s="10">
        <v>6731873</v>
      </c>
    </row>
    <row r="470" spans="6:8" x14ac:dyDescent="0.5">
      <c r="F470" s="9">
        <v>1981</v>
      </c>
      <c r="G470" s="9">
        <v>8</v>
      </c>
      <c r="H470" s="10">
        <v>6767831</v>
      </c>
    </row>
    <row r="471" spans="6:8" x14ac:dyDescent="0.5">
      <c r="F471" s="9">
        <v>1981</v>
      </c>
      <c r="G471" s="9">
        <v>7</v>
      </c>
      <c r="H471" s="10">
        <v>6788138</v>
      </c>
    </row>
    <row r="472" spans="6:8" x14ac:dyDescent="0.5">
      <c r="F472" s="9">
        <v>1981</v>
      </c>
      <c r="G472" s="9">
        <v>6</v>
      </c>
      <c r="H472" s="10">
        <v>6694622</v>
      </c>
    </row>
    <row r="473" spans="6:8" x14ac:dyDescent="0.5">
      <c r="F473" s="9">
        <v>1981</v>
      </c>
      <c r="G473" s="9">
        <v>5</v>
      </c>
      <c r="H473" s="10">
        <v>6666698</v>
      </c>
    </row>
    <row r="474" spans="6:8" x14ac:dyDescent="0.5">
      <c r="F474" s="9">
        <v>1981</v>
      </c>
      <c r="G474" s="9">
        <v>4</v>
      </c>
      <c r="H474" s="10">
        <v>6654677</v>
      </c>
    </row>
    <row r="475" spans="6:8" x14ac:dyDescent="0.5">
      <c r="F475" s="9">
        <v>1981</v>
      </c>
      <c r="G475" s="9">
        <v>3</v>
      </c>
      <c r="H475" s="10">
        <v>6585628</v>
      </c>
    </row>
    <row r="476" spans="6:8" x14ac:dyDescent="0.5">
      <c r="F476" s="9">
        <v>1981</v>
      </c>
      <c r="G476" s="9">
        <v>2</v>
      </c>
      <c r="H476" s="10">
        <v>6499647</v>
      </c>
    </row>
    <row r="477" spans="6:8" x14ac:dyDescent="0.5">
      <c r="F477" s="9">
        <v>1981</v>
      </c>
      <c r="G477" s="9">
        <v>1</v>
      </c>
      <c r="H477" s="10">
        <v>6476088</v>
      </c>
    </row>
    <row r="478" spans="6:8" x14ac:dyDescent="0.5">
      <c r="F478" s="9">
        <v>1980</v>
      </c>
      <c r="G478" s="9">
        <v>12</v>
      </c>
      <c r="H478" s="10">
        <v>6542801</v>
      </c>
    </row>
    <row r="479" spans="6:8" x14ac:dyDescent="0.5">
      <c r="F479" s="9">
        <v>1980</v>
      </c>
      <c r="G479" s="9">
        <v>11</v>
      </c>
      <c r="H479" s="10">
        <v>6527919</v>
      </c>
    </row>
    <row r="480" spans="6:8" x14ac:dyDescent="0.5">
      <c r="F480" s="9">
        <v>1980</v>
      </c>
      <c r="G480" s="9">
        <v>10</v>
      </c>
      <c r="H480" s="10">
        <v>6511909</v>
      </c>
    </row>
    <row r="481" spans="6:8" x14ac:dyDescent="0.5">
      <c r="F481" s="9">
        <v>1980</v>
      </c>
      <c r="G481" s="9">
        <v>9</v>
      </c>
      <c r="H481" s="10">
        <v>6445591</v>
      </c>
    </row>
    <row r="482" spans="6:8" x14ac:dyDescent="0.5">
      <c r="F482" s="9">
        <v>1980</v>
      </c>
      <c r="G482" s="9">
        <v>8</v>
      </c>
      <c r="H482" s="10">
        <v>6429380</v>
      </c>
    </row>
    <row r="483" spans="6:8" x14ac:dyDescent="0.5">
      <c r="F483" s="9">
        <v>1980</v>
      </c>
      <c r="G483" s="9">
        <v>7</v>
      </c>
      <c r="H483" s="10">
        <v>6455182</v>
      </c>
    </row>
    <row r="484" spans="6:8" x14ac:dyDescent="0.5">
      <c r="F484" s="9">
        <v>1980</v>
      </c>
      <c r="G484" s="9">
        <v>6</v>
      </c>
      <c r="H484" s="10">
        <v>6391579</v>
      </c>
    </row>
    <row r="485" spans="6:8" x14ac:dyDescent="0.5">
      <c r="F485" s="9">
        <v>1980</v>
      </c>
      <c r="G485" s="9">
        <v>5</v>
      </c>
      <c r="H485" s="10">
        <v>6335814</v>
      </c>
    </row>
    <row r="486" spans="6:8" x14ac:dyDescent="0.5">
      <c r="F486" s="9">
        <v>1980</v>
      </c>
      <c r="G486" s="9">
        <v>4</v>
      </c>
      <c r="H486" s="10">
        <v>6345400</v>
      </c>
    </row>
    <row r="487" spans="6:8" x14ac:dyDescent="0.5">
      <c r="F487" s="9">
        <v>1980</v>
      </c>
      <c r="G487" s="9">
        <v>3</v>
      </c>
      <c r="H487" s="10">
        <v>6328842</v>
      </c>
    </row>
    <row r="488" spans="6:8" x14ac:dyDescent="0.5">
      <c r="F488" s="9">
        <v>1980</v>
      </c>
      <c r="G488" s="9">
        <v>2</v>
      </c>
      <c r="H488" s="10">
        <v>6280572</v>
      </c>
    </row>
    <row r="489" spans="6:8" x14ac:dyDescent="0.5">
      <c r="F489" s="9">
        <v>1980</v>
      </c>
      <c r="G489" s="9">
        <v>1</v>
      </c>
      <c r="H489" s="10">
        <v>6263604</v>
      </c>
    </row>
    <row r="490" spans="6:8" x14ac:dyDescent="0.5">
      <c r="F490" s="9">
        <v>1979</v>
      </c>
      <c r="G490" s="9">
        <v>12</v>
      </c>
      <c r="H490" s="10">
        <v>6357308</v>
      </c>
    </row>
    <row r="491" spans="6:8" x14ac:dyDescent="0.5">
      <c r="F491" s="9">
        <v>1979</v>
      </c>
      <c r="G491" s="9">
        <v>11</v>
      </c>
      <c r="H491" s="10">
        <v>6315350</v>
      </c>
    </row>
    <row r="492" spans="6:8" x14ac:dyDescent="0.5">
      <c r="F492" s="9">
        <v>1979</v>
      </c>
      <c r="G492" s="9">
        <v>10</v>
      </c>
      <c r="H492" s="10">
        <v>6306643</v>
      </c>
    </row>
    <row r="493" spans="6:8" x14ac:dyDescent="0.5">
      <c r="F493" s="9">
        <v>1979</v>
      </c>
      <c r="G493" s="9">
        <v>9</v>
      </c>
      <c r="H493" s="10">
        <v>6267791</v>
      </c>
    </row>
    <row r="494" spans="6:8" x14ac:dyDescent="0.5">
      <c r="F494" s="9">
        <v>1979</v>
      </c>
      <c r="G494" s="9">
        <v>8</v>
      </c>
      <c r="H494" s="10">
        <v>6232958</v>
      </c>
    </row>
    <row r="495" spans="6:8" x14ac:dyDescent="0.5">
      <c r="F495" s="9">
        <v>1979</v>
      </c>
      <c r="G495" s="9">
        <v>7</v>
      </c>
      <c r="H495" s="10">
        <v>6273444</v>
      </c>
    </row>
    <row r="496" spans="6:8" x14ac:dyDescent="0.5">
      <c r="F496" s="9">
        <v>1979</v>
      </c>
      <c r="G496" s="9">
        <v>6</v>
      </c>
      <c r="H496" s="10">
        <v>6199227</v>
      </c>
    </row>
    <row r="497" spans="6:8" x14ac:dyDescent="0.5">
      <c r="F497" s="9">
        <v>1979</v>
      </c>
      <c r="G497" s="9">
        <v>5</v>
      </c>
      <c r="H497" s="10">
        <v>6106775</v>
      </c>
    </row>
    <row r="498" spans="6:8" x14ac:dyDescent="0.5">
      <c r="F498" s="9">
        <v>1979</v>
      </c>
      <c r="G498" s="9">
        <v>4</v>
      </c>
      <c r="H498" s="10">
        <v>6103967</v>
      </c>
    </row>
    <row r="499" spans="6:8" x14ac:dyDescent="0.5">
      <c r="F499" s="9">
        <v>1979</v>
      </c>
      <c r="G499" s="9">
        <v>3</v>
      </c>
      <c r="H499" s="10">
        <v>6086111</v>
      </c>
    </row>
    <row r="500" spans="6:8" x14ac:dyDescent="0.5">
      <c r="F500" s="9">
        <v>1979</v>
      </c>
      <c r="G500" s="9">
        <v>2</v>
      </c>
      <c r="H500" s="10">
        <v>6027907</v>
      </c>
    </row>
    <row r="501" spans="6:8" x14ac:dyDescent="0.5">
      <c r="F501" s="9">
        <v>1979</v>
      </c>
      <c r="G501" s="9">
        <v>1</v>
      </c>
      <c r="H501" s="10">
        <v>6008813</v>
      </c>
    </row>
    <row r="502" spans="6:8" x14ac:dyDescent="0.5">
      <c r="F502" s="9">
        <v>1978</v>
      </c>
      <c r="G502" s="9">
        <v>12</v>
      </c>
      <c r="H502" s="10">
        <v>6073277</v>
      </c>
    </row>
    <row r="503" spans="6:8" x14ac:dyDescent="0.5">
      <c r="F503" s="9">
        <v>1978</v>
      </c>
      <c r="G503" s="9">
        <v>11</v>
      </c>
      <c r="H503" s="10">
        <v>6057561</v>
      </c>
    </row>
    <row r="504" spans="6:8" x14ac:dyDescent="0.5">
      <c r="F504" s="9">
        <v>1978</v>
      </c>
      <c r="G504" s="9">
        <v>10</v>
      </c>
      <c r="H504" s="10">
        <v>6046186</v>
      </c>
    </row>
    <row r="505" spans="6:8" x14ac:dyDescent="0.5">
      <c r="F505" s="9">
        <v>1978</v>
      </c>
      <c r="G505" s="9">
        <v>9</v>
      </c>
      <c r="H505" s="10">
        <v>5962835</v>
      </c>
    </row>
    <row r="506" spans="6:8" x14ac:dyDescent="0.5">
      <c r="F506" s="9">
        <v>1978</v>
      </c>
      <c r="G506" s="9">
        <v>8</v>
      </c>
      <c r="H506" s="10">
        <v>5962555</v>
      </c>
    </row>
    <row r="507" spans="6:8" x14ac:dyDescent="0.5">
      <c r="F507" s="9">
        <v>1978</v>
      </c>
      <c r="G507" s="9">
        <v>7</v>
      </c>
      <c r="H507" s="10">
        <v>5976328</v>
      </c>
    </row>
    <row r="508" spans="6:8" x14ac:dyDescent="0.5">
      <c r="F508" s="9">
        <v>1978</v>
      </c>
      <c r="G508" s="9">
        <v>6</v>
      </c>
      <c r="H508" s="10">
        <v>5947080</v>
      </c>
    </row>
    <row r="509" spans="6:8" x14ac:dyDescent="0.5">
      <c r="F509" s="9">
        <v>1978</v>
      </c>
      <c r="G509" s="9">
        <v>5</v>
      </c>
      <c r="H509" s="10">
        <v>5844374</v>
      </c>
    </row>
    <row r="510" spans="6:8" x14ac:dyDescent="0.5">
      <c r="F510" s="9">
        <v>1978</v>
      </c>
      <c r="G510" s="9">
        <v>4</v>
      </c>
      <c r="H510" s="10">
        <v>5837964</v>
      </c>
    </row>
    <row r="511" spans="6:8" x14ac:dyDescent="0.5">
      <c r="F511" s="9">
        <v>1978</v>
      </c>
      <c r="G511" s="9">
        <v>3</v>
      </c>
      <c r="H511" s="10">
        <v>5779017</v>
      </c>
    </row>
    <row r="512" spans="6:8" x14ac:dyDescent="0.5">
      <c r="F512" s="9">
        <v>1978</v>
      </c>
      <c r="G512" s="9">
        <v>2</v>
      </c>
      <c r="H512" s="10">
        <v>5719097</v>
      </c>
    </row>
    <row r="513" spans="6:8" x14ac:dyDescent="0.5">
      <c r="F513" s="9">
        <v>1978</v>
      </c>
      <c r="G513" s="9">
        <v>1</v>
      </c>
      <c r="H513" s="10">
        <v>5711781</v>
      </c>
    </row>
    <row r="514" spans="6:8" x14ac:dyDescent="0.5">
      <c r="F514" s="9">
        <v>1977</v>
      </c>
      <c r="G514" s="9">
        <v>12</v>
      </c>
      <c r="H514" s="10">
        <v>5803974</v>
      </c>
    </row>
    <row r="515" spans="6:8" x14ac:dyDescent="0.5">
      <c r="F515" s="9">
        <v>1977</v>
      </c>
      <c r="G515" s="9">
        <v>11</v>
      </c>
      <c r="H515" s="10">
        <v>5770635</v>
      </c>
    </row>
    <row r="516" spans="6:8" x14ac:dyDescent="0.5">
      <c r="F516" s="9">
        <v>1977</v>
      </c>
      <c r="G516" s="9">
        <v>10</v>
      </c>
      <c r="H516" s="10">
        <v>5748890</v>
      </c>
    </row>
    <row r="517" spans="6:8" x14ac:dyDescent="0.5">
      <c r="F517" s="9">
        <v>1977</v>
      </c>
      <c r="G517" s="9">
        <v>9</v>
      </c>
      <c r="H517" s="10">
        <v>5674660</v>
      </c>
    </row>
    <row r="518" spans="6:8" x14ac:dyDescent="0.5">
      <c r="F518" s="9">
        <v>1977</v>
      </c>
      <c r="G518" s="9">
        <v>8</v>
      </c>
      <c r="H518" s="10">
        <v>5676409</v>
      </c>
    </row>
    <row r="519" spans="6:8" x14ac:dyDescent="0.5">
      <c r="F519" s="9">
        <v>1977</v>
      </c>
      <c r="G519" s="9">
        <v>7</v>
      </c>
      <c r="H519" s="10">
        <v>5695674</v>
      </c>
    </row>
    <row r="520" spans="6:8" x14ac:dyDescent="0.5">
      <c r="F520" s="9">
        <v>1977</v>
      </c>
      <c r="G520" s="9">
        <v>6</v>
      </c>
      <c r="H520" s="10">
        <v>5649589</v>
      </c>
    </row>
    <row r="521" spans="6:8" x14ac:dyDescent="0.5">
      <c r="F521" s="9">
        <v>1977</v>
      </c>
      <c r="G521" s="9">
        <v>5</v>
      </c>
      <c r="H521" s="10">
        <v>5583883</v>
      </c>
    </row>
    <row r="522" spans="6:8" x14ac:dyDescent="0.5">
      <c r="F522" s="9">
        <v>1977</v>
      </c>
      <c r="G522" s="9">
        <v>4</v>
      </c>
      <c r="H522" s="10">
        <v>5577257</v>
      </c>
    </row>
    <row r="523" spans="6:8" x14ac:dyDescent="0.5">
      <c r="F523" s="9">
        <v>1977</v>
      </c>
      <c r="G523" s="9">
        <v>3</v>
      </c>
      <c r="H523" s="10">
        <v>5521784</v>
      </c>
    </row>
    <row r="524" spans="6:8" x14ac:dyDescent="0.5">
      <c r="F524" s="9">
        <v>1977</v>
      </c>
      <c r="G524" s="9">
        <v>2</v>
      </c>
      <c r="H524" s="10">
        <v>5452497</v>
      </c>
    </row>
    <row r="525" spans="6:8" x14ac:dyDescent="0.5">
      <c r="F525" s="9">
        <v>1977</v>
      </c>
      <c r="G525" s="9">
        <v>1</v>
      </c>
      <c r="H525" s="10">
        <v>5443952</v>
      </c>
    </row>
    <row r="526" spans="6:8" x14ac:dyDescent="0.5">
      <c r="F526" s="9">
        <v>1976</v>
      </c>
      <c r="G526" s="9">
        <v>12</v>
      </c>
      <c r="H526" s="10">
        <v>5526033</v>
      </c>
    </row>
    <row r="527" spans="6:8" x14ac:dyDescent="0.5">
      <c r="F527" s="9">
        <v>1976</v>
      </c>
      <c r="G527" s="9">
        <v>11</v>
      </c>
      <c r="H527" s="10">
        <v>5506207</v>
      </c>
    </row>
    <row r="528" spans="6:8" x14ac:dyDescent="0.5">
      <c r="F528" s="9">
        <v>1976</v>
      </c>
      <c r="G528" s="9">
        <v>10</v>
      </c>
      <c r="H528" s="10">
        <v>5496669</v>
      </c>
    </row>
    <row r="529" spans="6:8" x14ac:dyDescent="0.5">
      <c r="F529" s="9">
        <v>1976</v>
      </c>
      <c r="G529" s="9">
        <v>9</v>
      </c>
      <c r="H529" s="10">
        <v>5430009</v>
      </c>
    </row>
    <row r="530" spans="6:8" x14ac:dyDescent="0.5">
      <c r="F530" s="9">
        <v>1976</v>
      </c>
      <c r="G530" s="9">
        <v>8</v>
      </c>
      <c r="H530" s="10">
        <v>5460621</v>
      </c>
    </row>
    <row r="531" spans="6:8" x14ac:dyDescent="0.5">
      <c r="F531" s="9">
        <v>1976</v>
      </c>
      <c r="G531" s="9">
        <v>7</v>
      </c>
      <c r="H531" s="10">
        <v>5479372</v>
      </c>
    </row>
    <row r="532" spans="6:8" x14ac:dyDescent="0.5">
      <c r="F532" s="9">
        <v>1976</v>
      </c>
      <c r="G532" s="9">
        <v>6</v>
      </c>
      <c r="H532" s="10">
        <v>5399577</v>
      </c>
    </row>
    <row r="533" spans="6:8" x14ac:dyDescent="0.5">
      <c r="F533" s="9">
        <v>1976</v>
      </c>
      <c r="G533" s="9">
        <v>5</v>
      </c>
      <c r="H533" s="10">
        <v>5338649</v>
      </c>
    </row>
    <row r="534" spans="6:8" x14ac:dyDescent="0.5">
      <c r="F534" s="9">
        <v>1976</v>
      </c>
      <c r="G534" s="9">
        <v>4</v>
      </c>
      <c r="H534" s="10">
        <v>5322439</v>
      </c>
    </row>
    <row r="535" spans="6:8" x14ac:dyDescent="0.5">
      <c r="F535" s="9">
        <v>1976</v>
      </c>
      <c r="G535" s="9">
        <v>3</v>
      </c>
      <c r="H535" s="10">
        <v>5260114</v>
      </c>
    </row>
    <row r="536" spans="6:8" x14ac:dyDescent="0.5">
      <c r="F536" s="9">
        <v>1976</v>
      </c>
      <c r="G536" s="9">
        <v>2</v>
      </c>
      <c r="H536" s="10">
        <v>5186271</v>
      </c>
    </row>
    <row r="537" spans="6:8" x14ac:dyDescent="0.5">
      <c r="F537" s="9">
        <v>1976</v>
      </c>
      <c r="G537" s="9">
        <v>1</v>
      </c>
      <c r="H537" s="10">
        <v>5169022</v>
      </c>
    </row>
  </sheetData>
  <autoFilter ref="F1:H1" xr:uid="{1D548944-CF63-485B-AA0B-4F1661D6AB35}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73F6-65E3-4667-9658-05D16B7C99C7}">
  <dimension ref="B1:N70"/>
  <sheetViews>
    <sheetView workbookViewId="0">
      <selection activeCell="J22" sqref="J22"/>
    </sheetView>
  </sheetViews>
  <sheetFormatPr defaultRowHeight="14.35" x14ac:dyDescent="0.5"/>
  <cols>
    <col min="14" max="14" width="17.41015625" bestFit="1" customWidth="1"/>
    <col min="19" max="19" width="5" bestFit="1" customWidth="1"/>
    <col min="20" max="20" width="17.41015625" bestFit="1" customWidth="1"/>
  </cols>
  <sheetData>
    <row r="1" spans="2:14" x14ac:dyDescent="0.5">
      <c r="B1" t="s">
        <v>48</v>
      </c>
    </row>
    <row r="3" spans="2:14" x14ac:dyDescent="0.5">
      <c r="B3" s="2" t="s">
        <v>33</v>
      </c>
      <c r="C3" s="2" t="s">
        <v>49</v>
      </c>
      <c r="M3" s="2"/>
      <c r="N3" s="2"/>
    </row>
    <row r="4" spans="2:14" x14ac:dyDescent="0.5">
      <c r="B4">
        <v>1950</v>
      </c>
      <c r="C4">
        <v>2853644.8611794598</v>
      </c>
    </row>
    <row r="5" spans="2:14" x14ac:dyDescent="0.5">
      <c r="B5">
        <v>1951</v>
      </c>
      <c r="C5">
        <v>3158331.4301242698</v>
      </c>
      <c r="M5" s="2"/>
      <c r="N5" s="2"/>
    </row>
    <row r="6" spans="2:14" x14ac:dyDescent="0.5">
      <c r="B6">
        <v>1952</v>
      </c>
      <c r="C6">
        <v>3397115.3066297001</v>
      </c>
    </row>
    <row r="7" spans="2:14" x14ac:dyDescent="0.5">
      <c r="B7">
        <v>1953</v>
      </c>
      <c r="C7">
        <v>3587003.6371317399</v>
      </c>
    </row>
    <row r="8" spans="2:14" x14ac:dyDescent="0.5">
      <c r="B8">
        <v>1954</v>
      </c>
      <c r="C8">
        <v>3753507.1412843298</v>
      </c>
    </row>
    <row r="9" spans="2:14" x14ac:dyDescent="0.5">
      <c r="B9">
        <v>1955</v>
      </c>
      <c r="C9">
        <v>3895562.8724352098</v>
      </c>
    </row>
    <row r="10" spans="2:14" x14ac:dyDescent="0.5">
      <c r="B10">
        <v>1956</v>
      </c>
      <c r="C10">
        <v>4019548.5104978802</v>
      </c>
    </row>
    <row r="11" spans="2:14" x14ac:dyDescent="0.5">
      <c r="B11">
        <v>1957</v>
      </c>
      <c r="C11">
        <v>4109519.8556886199</v>
      </c>
    </row>
    <row r="12" spans="2:14" x14ac:dyDescent="0.5">
      <c r="B12">
        <v>1958</v>
      </c>
      <c r="C12">
        <v>4186735.8410523902</v>
      </c>
    </row>
    <row r="13" spans="2:14" x14ac:dyDescent="0.5">
      <c r="B13">
        <v>1959</v>
      </c>
      <c r="C13">
        <v>4282021.9195043696</v>
      </c>
    </row>
    <row r="14" spans="2:14" x14ac:dyDescent="0.5">
      <c r="B14">
        <v>1960</v>
      </c>
      <c r="C14">
        <v>4454903.1035704399</v>
      </c>
    </row>
    <row r="15" spans="2:14" x14ac:dyDescent="0.5">
      <c r="B15">
        <v>1961</v>
      </c>
      <c r="C15">
        <v>4742582.5260792803</v>
      </c>
    </row>
    <row r="16" spans="2:14" x14ac:dyDescent="0.5">
      <c r="B16">
        <v>1962</v>
      </c>
      <c r="C16">
        <v>4947352.1097127898</v>
      </c>
    </row>
    <row r="17" spans="2:3" x14ac:dyDescent="0.5">
      <c r="B17">
        <v>1963</v>
      </c>
      <c r="C17">
        <v>5097911.4140816601</v>
      </c>
    </row>
    <row r="18" spans="2:3" x14ac:dyDescent="0.5">
      <c r="B18">
        <v>1964</v>
      </c>
      <c r="C18">
        <v>5237841.2519280501</v>
      </c>
    </row>
    <row r="19" spans="2:3" x14ac:dyDescent="0.5">
      <c r="B19">
        <v>1965</v>
      </c>
      <c r="C19">
        <v>5451114.4087795299</v>
      </c>
    </row>
    <row r="20" spans="2:3" x14ac:dyDescent="0.5">
      <c r="B20">
        <v>1966</v>
      </c>
      <c r="C20">
        <v>5551715.2204927597</v>
      </c>
    </row>
    <row r="21" spans="2:3" x14ac:dyDescent="0.5">
      <c r="B21">
        <v>1967</v>
      </c>
      <c r="C21">
        <v>5591728.0730278501</v>
      </c>
    </row>
    <row r="22" spans="2:3" x14ac:dyDescent="0.5">
      <c r="B22">
        <v>1968</v>
      </c>
      <c r="C22">
        <v>5713587.8177860295</v>
      </c>
    </row>
    <row r="23" spans="2:3" x14ac:dyDescent="0.5">
      <c r="B23">
        <v>1969</v>
      </c>
      <c r="C23">
        <v>6083016.4542220496</v>
      </c>
    </row>
    <row r="24" spans="2:3" x14ac:dyDescent="0.5">
      <c r="B24">
        <v>1970</v>
      </c>
      <c r="C24">
        <v>6456909.4665975096</v>
      </c>
    </row>
    <row r="25" spans="2:3" x14ac:dyDescent="0.5">
      <c r="B25">
        <v>1971</v>
      </c>
      <c r="C25">
        <v>6662741.9968832601</v>
      </c>
    </row>
    <row r="26" spans="2:3" x14ac:dyDescent="0.5">
      <c r="B26">
        <v>1972</v>
      </c>
      <c r="C26">
        <v>6854756.2206897996</v>
      </c>
    </row>
    <row r="27" spans="2:3" x14ac:dyDescent="0.5">
      <c r="B27">
        <v>1973</v>
      </c>
      <c r="C27">
        <v>7106295.4570222097</v>
      </c>
    </row>
    <row r="28" spans="2:3" x14ac:dyDescent="0.5">
      <c r="B28">
        <v>1974</v>
      </c>
      <c r="C28">
        <v>7378030.67974733</v>
      </c>
    </row>
    <row r="29" spans="2:3" x14ac:dyDescent="0.5">
      <c r="B29">
        <v>1975</v>
      </c>
      <c r="C29">
        <v>7673150.7288218997</v>
      </c>
    </row>
    <row r="30" spans="2:3" x14ac:dyDescent="0.5">
      <c r="B30">
        <v>1976</v>
      </c>
      <c r="C30">
        <v>8017166.3238998698</v>
      </c>
    </row>
    <row r="31" spans="2:3" x14ac:dyDescent="0.5">
      <c r="B31">
        <v>1977</v>
      </c>
      <c r="C31">
        <v>8377126.1187615599</v>
      </c>
    </row>
    <row r="32" spans="2:3" x14ac:dyDescent="0.5">
      <c r="B32">
        <v>1978</v>
      </c>
      <c r="C32">
        <v>8758344.8466682006</v>
      </c>
    </row>
    <row r="33" spans="2:3" x14ac:dyDescent="0.5">
      <c r="B33">
        <v>1979</v>
      </c>
      <c r="C33">
        <v>9120430.5348343793</v>
      </c>
    </row>
    <row r="34" spans="2:3" x14ac:dyDescent="0.5">
      <c r="B34">
        <v>1980</v>
      </c>
      <c r="C34">
        <v>9492082.7428708002</v>
      </c>
    </row>
    <row r="35" spans="2:3" x14ac:dyDescent="0.5">
      <c r="B35">
        <v>1981</v>
      </c>
      <c r="C35">
        <v>9947707.7364347894</v>
      </c>
    </row>
    <row r="36" spans="2:3" x14ac:dyDescent="0.5">
      <c r="B36">
        <v>1982</v>
      </c>
      <c r="C36">
        <v>10440673.724736599</v>
      </c>
    </row>
    <row r="37" spans="2:3" x14ac:dyDescent="0.5">
      <c r="B37">
        <v>1983</v>
      </c>
      <c r="C37">
        <v>11020445.0908165</v>
      </c>
    </row>
    <row r="38" spans="2:3" x14ac:dyDescent="0.5">
      <c r="B38">
        <v>1984</v>
      </c>
      <c r="C38">
        <v>11075080.627072699</v>
      </c>
    </row>
    <row r="39" spans="2:3" x14ac:dyDescent="0.5">
      <c r="B39">
        <v>1985</v>
      </c>
      <c r="C39">
        <v>10806528.6828296</v>
      </c>
    </row>
    <row r="40" spans="2:3" x14ac:dyDescent="0.5">
      <c r="B40">
        <v>1986</v>
      </c>
      <c r="C40">
        <v>10963465.6671119</v>
      </c>
    </row>
    <row r="41" spans="2:3" x14ac:dyDescent="0.5">
      <c r="B41">
        <v>1987</v>
      </c>
      <c r="C41">
        <v>11120402.6513943</v>
      </c>
    </row>
    <row r="42" spans="2:3" x14ac:dyDescent="0.5">
      <c r="B42">
        <v>1988</v>
      </c>
      <c r="C42">
        <v>11088135.131576501</v>
      </c>
    </row>
    <row r="43" spans="2:3" x14ac:dyDescent="0.5">
      <c r="B43">
        <v>1989</v>
      </c>
      <c r="C43">
        <v>11066497.0782812</v>
      </c>
    </row>
    <row r="44" spans="2:3" x14ac:dyDescent="0.5">
      <c r="B44">
        <v>1990</v>
      </c>
      <c r="C44">
        <v>11098006.3575984</v>
      </c>
    </row>
    <row r="45" spans="2:3" x14ac:dyDescent="0.5">
      <c r="B45">
        <v>1991</v>
      </c>
      <c r="C45">
        <v>11209236.6358341</v>
      </c>
    </row>
    <row r="46" spans="2:3" x14ac:dyDescent="0.5">
      <c r="B46">
        <v>1992</v>
      </c>
      <c r="C46">
        <v>11360858.8868552</v>
      </c>
    </row>
    <row r="47" spans="2:3" x14ac:dyDescent="0.5">
      <c r="B47">
        <v>1993</v>
      </c>
      <c r="C47">
        <v>11699559.7486719</v>
      </c>
    </row>
    <row r="48" spans="2:3" x14ac:dyDescent="0.5">
      <c r="B48">
        <v>1994</v>
      </c>
      <c r="C48">
        <v>12003183.370964499</v>
      </c>
    </row>
    <row r="49" spans="2:3" x14ac:dyDescent="0.5">
      <c r="B49">
        <v>1995</v>
      </c>
      <c r="C49">
        <v>12261100.287210399</v>
      </c>
    </row>
    <row r="50" spans="2:3" x14ac:dyDescent="0.5">
      <c r="B50">
        <v>1996</v>
      </c>
      <c r="C50">
        <v>12485002.910584301</v>
      </c>
    </row>
    <row r="51" spans="2:3" x14ac:dyDescent="0.5">
      <c r="B51">
        <v>1997</v>
      </c>
      <c r="C51">
        <v>12729101.520351</v>
      </c>
    </row>
    <row r="52" spans="2:3" x14ac:dyDescent="0.5">
      <c r="B52">
        <v>1998</v>
      </c>
      <c r="C52">
        <v>13159215.794260999</v>
      </c>
    </row>
    <row r="53" spans="2:3" x14ac:dyDescent="0.5">
      <c r="B53">
        <v>1999</v>
      </c>
      <c r="C53">
        <v>13323593.4051091</v>
      </c>
    </row>
    <row r="54" spans="2:3" x14ac:dyDescent="0.5">
      <c r="B54">
        <v>2000</v>
      </c>
      <c r="C54">
        <v>13411438.8569954</v>
      </c>
    </row>
    <row r="55" spans="2:3" x14ac:dyDescent="0.5">
      <c r="B55">
        <v>2001</v>
      </c>
      <c r="C55">
        <v>13119812.354029199</v>
      </c>
    </row>
    <row r="56" spans="2:3" x14ac:dyDescent="0.5">
      <c r="B56">
        <v>2002</v>
      </c>
      <c r="C56">
        <v>13124747.967040099</v>
      </c>
    </row>
    <row r="57" spans="2:3" x14ac:dyDescent="0.5">
      <c r="B57">
        <v>2003</v>
      </c>
      <c r="C57">
        <v>13403923.8163309</v>
      </c>
    </row>
    <row r="58" spans="2:3" x14ac:dyDescent="0.5">
      <c r="B58">
        <v>2004</v>
      </c>
      <c r="C58">
        <v>13921762.7562954</v>
      </c>
    </row>
    <row r="59" spans="2:3" x14ac:dyDescent="0.5">
      <c r="B59">
        <v>2005</v>
      </c>
      <c r="C59">
        <v>14494024.564855</v>
      </c>
    </row>
    <row r="60" spans="2:3" x14ac:dyDescent="0.5">
      <c r="B60">
        <v>2006</v>
      </c>
      <c r="C60">
        <v>14657339.2290508</v>
      </c>
    </row>
    <row r="61" spans="2:3" x14ac:dyDescent="0.5">
      <c r="B61">
        <v>2007</v>
      </c>
      <c r="C61">
        <v>14906752.572078699</v>
      </c>
    </row>
    <row r="62" spans="2:3" x14ac:dyDescent="0.5">
      <c r="B62">
        <v>2008</v>
      </c>
      <c r="C62">
        <v>15176361.901499299</v>
      </c>
    </row>
    <row r="63" spans="2:3" x14ac:dyDescent="0.5">
      <c r="B63">
        <v>2009</v>
      </c>
      <c r="C63">
        <v>15349243.085565399</v>
      </c>
    </row>
    <row r="64" spans="2:3" x14ac:dyDescent="0.5">
      <c r="B64">
        <v>2010</v>
      </c>
      <c r="C64">
        <v>15314849.6724432</v>
      </c>
    </row>
    <row r="65" spans="2:3" x14ac:dyDescent="0.5">
      <c r="B65">
        <v>2011</v>
      </c>
      <c r="C65">
        <v>15125266.048092701</v>
      </c>
    </row>
    <row r="66" spans="2:3" x14ac:dyDescent="0.5">
      <c r="B66">
        <v>2012</v>
      </c>
      <c r="C66">
        <v>15116383.3546244</v>
      </c>
    </row>
    <row r="67" spans="2:3" x14ac:dyDescent="0.5">
      <c r="B67">
        <v>2013</v>
      </c>
      <c r="C67">
        <v>15259502.032427499</v>
      </c>
    </row>
    <row r="68" spans="2:3" x14ac:dyDescent="0.5">
      <c r="B68">
        <v>2014</v>
      </c>
      <c r="C68">
        <v>15455768.0428431</v>
      </c>
    </row>
    <row r="69" spans="2:3" x14ac:dyDescent="0.5">
      <c r="B69">
        <v>2015</v>
      </c>
      <c r="C69">
        <v>15664789.4130856</v>
      </c>
    </row>
    <row r="70" spans="2:3" x14ac:dyDescent="0.5">
      <c r="B70">
        <v>2016</v>
      </c>
      <c r="C70">
        <v>15841922.383760599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2669-7982-4CA0-9478-3A34DE729BB9}">
  <dimension ref="D26:O38"/>
  <sheetViews>
    <sheetView showGridLines="0" tabSelected="1" zoomScale="82" zoomScaleNormal="77" workbookViewId="0">
      <selection activeCell="A26" sqref="A26"/>
    </sheetView>
  </sheetViews>
  <sheetFormatPr defaultRowHeight="14.35" x14ac:dyDescent="0.5"/>
  <cols>
    <col min="2" max="2" width="5.5859375" bestFit="1" customWidth="1"/>
    <col min="3" max="3" width="1.5859375" customWidth="1"/>
    <col min="4" max="4" width="2.29296875" customWidth="1"/>
    <col min="5" max="5" width="2.5859375" customWidth="1"/>
    <col min="6" max="6" width="1.87890625" customWidth="1"/>
    <col min="7" max="7" width="4.1171875" customWidth="1"/>
    <col min="8" max="9" width="2.703125" customWidth="1"/>
    <col min="10" max="10" width="2.29296875" customWidth="1"/>
    <col min="11" max="11" width="25.1171875" customWidth="1"/>
    <col min="12" max="12" width="26.703125" customWidth="1"/>
    <col min="13" max="13" width="32.87890625" customWidth="1"/>
    <col min="14" max="14" width="43.1171875" customWidth="1"/>
    <col min="15" max="15" width="18.87890625" bestFit="1" customWidth="1"/>
  </cols>
  <sheetData>
    <row r="26" spans="4:15" x14ac:dyDescent="0.5">
      <c r="D26" s="89"/>
      <c r="E26" s="27"/>
      <c r="F26" s="27"/>
      <c r="G26" s="27"/>
      <c r="K26" s="59"/>
      <c r="L26" s="59"/>
      <c r="M26" s="91"/>
      <c r="N26" s="46"/>
      <c r="O26" s="59"/>
    </row>
    <row r="27" spans="4:15" x14ac:dyDescent="0.5">
      <c r="D27" s="89"/>
      <c r="E27" s="27"/>
      <c r="F27" s="27"/>
      <c r="G27" s="27"/>
      <c r="K27" s="59"/>
      <c r="L27" s="59"/>
      <c r="M27" s="91"/>
      <c r="N27" s="46"/>
      <c r="O27" s="59"/>
    </row>
    <row r="28" spans="4:15" x14ac:dyDescent="0.5">
      <c r="D28" s="89"/>
      <c r="E28" s="27"/>
      <c r="F28" s="27"/>
      <c r="G28" s="27"/>
      <c r="K28" s="59"/>
      <c r="L28" s="59"/>
      <c r="M28" s="91"/>
      <c r="N28" s="46"/>
      <c r="O28" s="59"/>
    </row>
    <row r="29" spans="4:15" x14ac:dyDescent="0.5">
      <c r="D29" s="89"/>
      <c r="E29" s="27"/>
      <c r="F29" s="27"/>
      <c r="G29" s="27"/>
      <c r="K29" s="59"/>
      <c r="L29" s="59"/>
      <c r="M29" s="91"/>
      <c r="N29" s="46"/>
      <c r="O29" s="59"/>
    </row>
    <row r="30" spans="4:15" x14ac:dyDescent="0.5">
      <c r="D30" s="89"/>
      <c r="E30" s="27"/>
      <c r="F30" s="27"/>
      <c r="G30" s="27"/>
      <c r="K30" s="59"/>
      <c r="L30" s="59"/>
      <c r="M30" s="91"/>
      <c r="N30" s="46"/>
      <c r="O30" s="59"/>
    </row>
    <row r="31" spans="4:15" x14ac:dyDescent="0.5">
      <c r="D31" s="89"/>
      <c r="E31" s="27"/>
      <c r="F31" s="27"/>
      <c r="G31" s="27"/>
      <c r="K31" s="59"/>
      <c r="L31" s="59"/>
      <c r="M31" s="91"/>
      <c r="N31" s="46"/>
      <c r="O31" s="59"/>
    </row>
    <row r="32" spans="4:15" x14ac:dyDescent="0.5">
      <c r="D32" s="89"/>
      <c r="E32" s="27"/>
      <c r="F32" s="27"/>
      <c r="G32" s="27"/>
      <c r="K32" s="59"/>
      <c r="L32" s="59"/>
      <c r="M32" s="91"/>
      <c r="N32" s="46"/>
      <c r="O32" s="59"/>
    </row>
    <row r="33" spans="4:15" x14ac:dyDescent="0.5">
      <c r="D33" s="89"/>
      <c r="E33" s="27"/>
      <c r="F33" s="27"/>
      <c r="G33" s="27"/>
      <c r="K33" s="59"/>
      <c r="L33" s="59"/>
      <c r="M33" s="91"/>
      <c r="N33" s="46"/>
      <c r="O33" s="59"/>
    </row>
    <row r="34" spans="4:15" x14ac:dyDescent="0.5">
      <c r="D34" s="89"/>
      <c r="E34" s="27"/>
      <c r="F34" s="27"/>
      <c r="G34" s="27"/>
      <c r="K34" s="59"/>
      <c r="L34" s="59"/>
      <c r="M34" s="91"/>
      <c r="N34" s="46"/>
      <c r="O34" s="59"/>
    </row>
    <row r="35" spans="4:15" x14ac:dyDescent="0.5">
      <c r="D35" s="89"/>
      <c r="E35" s="27"/>
      <c r="F35" s="27"/>
      <c r="G35" s="27"/>
      <c r="K35" s="59"/>
      <c r="L35" s="59"/>
      <c r="M35" s="91"/>
      <c r="N35" s="46"/>
      <c r="O35" s="59"/>
    </row>
    <row r="36" spans="4:15" x14ac:dyDescent="0.5">
      <c r="D36" s="89"/>
      <c r="E36" s="27"/>
      <c r="F36" s="27"/>
      <c r="G36" s="27"/>
      <c r="K36" s="59"/>
      <c r="L36" s="59"/>
      <c r="M36" s="91"/>
      <c r="N36" s="46"/>
      <c r="O36" s="59"/>
    </row>
    <row r="37" spans="4:15" x14ac:dyDescent="0.5">
      <c r="D37" s="89"/>
      <c r="E37" s="27"/>
      <c r="F37" s="27"/>
      <c r="G37" s="27"/>
      <c r="K37" s="59"/>
      <c r="L37" s="59"/>
      <c r="M37" s="91"/>
      <c r="N37" s="46"/>
      <c r="O37" s="59"/>
    </row>
    <row r="38" spans="4:15" x14ac:dyDescent="0.5">
      <c r="D38" s="89"/>
      <c r="E38" s="27"/>
      <c r="F38" s="27"/>
      <c r="G38" s="27"/>
      <c r="K38" s="59"/>
      <c r="L38" s="59"/>
      <c r="M38" s="91"/>
      <c r="N38" s="46"/>
      <c r="O38" s="5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E4A4-2920-4E70-BB04-CE5872BA58B2}">
  <dimension ref="A1:K32"/>
  <sheetViews>
    <sheetView showGridLines="0" zoomScale="81" zoomScaleNormal="77" workbookViewId="0">
      <selection activeCell="I2" sqref="I2"/>
    </sheetView>
  </sheetViews>
  <sheetFormatPr defaultRowHeight="14.35" x14ac:dyDescent="0.5"/>
  <cols>
    <col min="1" max="1" width="5.87890625" customWidth="1"/>
    <col min="2" max="2" width="13.703125" hidden="1" customWidth="1"/>
    <col min="3" max="3" width="12.1171875" hidden="1" customWidth="1"/>
    <col min="4" max="4" width="17.1171875" bestFit="1" customWidth="1"/>
    <col min="5" max="5" width="20.29296875" hidden="1" customWidth="1"/>
    <col min="6" max="6" width="17.87890625" hidden="1" customWidth="1"/>
    <col min="7" max="7" width="20.41015625" bestFit="1" customWidth="1"/>
    <col min="8" max="8" width="21.87890625" bestFit="1" customWidth="1"/>
    <col min="9" max="9" width="18.29296875" bestFit="1" customWidth="1"/>
    <col min="10" max="10" width="18.87890625" bestFit="1" customWidth="1"/>
    <col min="11" max="11" width="18.1171875" customWidth="1"/>
  </cols>
  <sheetData>
    <row r="1" spans="1:11" x14ac:dyDescent="0.5">
      <c r="A1" s="121" t="s">
        <v>33</v>
      </c>
      <c r="B1" s="121" t="s">
        <v>51</v>
      </c>
      <c r="C1" s="121" t="s">
        <v>52</v>
      </c>
      <c r="D1" s="121" t="s">
        <v>53</v>
      </c>
      <c r="E1" s="121" t="s">
        <v>54</v>
      </c>
      <c r="F1" s="121" t="s">
        <v>55</v>
      </c>
      <c r="G1" s="121" t="s">
        <v>56</v>
      </c>
      <c r="H1" s="121" t="s">
        <v>57</v>
      </c>
      <c r="I1" s="121" t="s">
        <v>58</v>
      </c>
      <c r="J1" s="121" t="s">
        <v>6</v>
      </c>
      <c r="K1" s="121" t="s">
        <v>26</v>
      </c>
    </row>
    <row r="2" spans="1:11" x14ac:dyDescent="0.5">
      <c r="A2" s="121">
        <v>2020</v>
      </c>
      <c r="B2" s="47">
        <f>EV!O6</f>
        <v>36418</v>
      </c>
      <c r="C2" s="47">
        <f>B2*'INPUT TABLE'!B$13</f>
        <v>9104500</v>
      </c>
      <c r="D2" s="54">
        <f>C2/(1+('INPUT TABLE'!B$2)/100)^(A2-'INPUT TABLE'!$B$1)</f>
        <v>9104500</v>
      </c>
      <c r="E2" s="3">
        <f>'Gas Tax'!J48</f>
        <v>23867965871.108543</v>
      </c>
      <c r="F2" s="3">
        <f>'Gas Tax'!K48</f>
        <v>8098749241</v>
      </c>
      <c r="G2" s="104">
        <f>'Gas Tax'!S48</f>
        <v>0</v>
      </c>
      <c r="H2" s="104">
        <f>'Gas Tax'!U48</f>
        <v>639334302.24217093</v>
      </c>
      <c r="I2" s="105">
        <f>'Gas Tax'!W48</f>
        <v>6393343022.4217091</v>
      </c>
      <c r="J2" s="54">
        <f>'Vehicle Miles Trav.'!S4</f>
        <v>2942267269.5349002</v>
      </c>
      <c r="K2" s="104">
        <f>'Carbon Tax'!H3</f>
        <v>135378819.0077202</v>
      </c>
    </row>
    <row r="3" spans="1:11" x14ac:dyDescent="0.5">
      <c r="A3" s="121">
        <v>2021</v>
      </c>
      <c r="B3" s="47">
        <f>EV!O7</f>
        <v>49380.808850560003</v>
      </c>
      <c r="C3" s="47">
        <f>B3*'INPUT TABLE'!B$13</f>
        <v>12345202.212640001</v>
      </c>
      <c r="D3" s="54">
        <f>C3/(1+('INPUT TABLE'!B$2)/100)^(A3-'INPUT TABLE'!$B$1)</f>
        <v>12044099.719648782</v>
      </c>
      <c r="E3" s="3">
        <f>'Gas Tax'!J49</f>
        <v>23858139681.801525</v>
      </c>
      <c r="F3" s="3">
        <f>'Gas Tax'!K49</f>
        <v>8298749241</v>
      </c>
      <c r="G3" s="104">
        <f>'Gas Tax'!S49</f>
        <v>0</v>
      </c>
      <c r="H3" s="104">
        <f>'Gas Tax'!U49</f>
        <v>627451491.17661512</v>
      </c>
      <c r="I3" s="105">
        <f>'Gas Tax'!W49</f>
        <v>6274514911.7661524</v>
      </c>
      <c r="J3" s="54">
        <f>'Vehicle Miles Trav.'!S5</f>
        <v>2929041238.5706344</v>
      </c>
      <c r="K3" s="104">
        <f>'Carbon Tax'!H4</f>
        <v>134703030.61041996</v>
      </c>
    </row>
    <row r="4" spans="1:11" x14ac:dyDescent="0.5">
      <c r="A4" s="121">
        <v>2022</v>
      </c>
      <c r="B4" s="47">
        <f>EV!O8</f>
        <v>62862.283838848001</v>
      </c>
      <c r="C4" s="47">
        <f>B4*'INPUT TABLE'!B$13</f>
        <v>15715570.959712001</v>
      </c>
      <c r="D4" s="54">
        <f>C4/(1+('INPUT TABLE'!B$2)/100)^(A4-'INPUT TABLE'!$B$1)</f>
        <v>14958306.683842476</v>
      </c>
      <c r="E4" s="3">
        <f>'Gas Tax'!J50</f>
        <v>24245840622.380165</v>
      </c>
      <c r="F4" s="3">
        <f>'Gas Tax'!K50</f>
        <v>8498749241</v>
      </c>
      <c r="G4" s="104">
        <f>'Gas Tax'!S50</f>
        <v>0</v>
      </c>
      <c r="H4" s="104">
        <f>'Gas Tax'!U50</f>
        <v>623335440.58784378</v>
      </c>
      <c r="I4" s="105">
        <f>'Gas Tax'!W50</f>
        <v>6233354405.878438</v>
      </c>
      <c r="J4" s="54">
        <f>'Vehicle Miles Trav.'!S6</f>
        <v>2914710072.1331592</v>
      </c>
      <c r="K4" s="104">
        <f>'Carbon Tax'!H5</f>
        <v>134014506.18355808</v>
      </c>
    </row>
    <row r="5" spans="1:11" x14ac:dyDescent="0.5">
      <c r="A5" s="121">
        <v>2023</v>
      </c>
      <c r="B5" s="47">
        <f>EV!O9</f>
        <v>77551.843516480003</v>
      </c>
      <c r="C5" s="47">
        <f>B5*'INPUT TABLE'!B$13</f>
        <v>19387960.87912</v>
      </c>
      <c r="D5" s="54">
        <f>C5/(1+('INPUT TABLE'!B$2)/100)^(A5-'INPUT TABLE'!$B$1)</f>
        <v>18003649.051285967</v>
      </c>
      <c r="E5" s="3">
        <f>'Gas Tax'!J51</f>
        <v>24232829843.098602</v>
      </c>
      <c r="F5" s="3">
        <f>'Gas Tax'!K51</f>
        <v>8698749241</v>
      </c>
      <c r="G5" s="104">
        <f>'Gas Tax'!S51</f>
        <v>0</v>
      </c>
      <c r="H5" s="104">
        <f>'Gas Tax'!U51</f>
        <v>1253790042.4641943</v>
      </c>
      <c r="I5" s="105">
        <f>'Gas Tax'!W51</f>
        <v>6116048987.6302176</v>
      </c>
      <c r="J5" s="54">
        <f>'Vehicle Miles Trav.'!S7</f>
        <v>2899335547.2241211</v>
      </c>
      <c r="K5" s="104">
        <f>'Carbon Tax'!H6</f>
        <v>133280414.66355649</v>
      </c>
    </row>
    <row r="6" spans="1:11" x14ac:dyDescent="0.5">
      <c r="A6" s="121">
        <v>2024</v>
      </c>
      <c r="B6" s="47">
        <f>EV!O10</f>
        <v>92664.530993152002</v>
      </c>
      <c r="C6" s="47">
        <f>B6*'INPUT TABLE'!B$13</f>
        <v>23166132.748288002</v>
      </c>
      <c r="D6" s="54">
        <f>C6/(1+('INPUT TABLE'!B$2)/100)^(A6-'INPUT TABLE'!$B$1)</f>
        <v>20987372.900828235</v>
      </c>
      <c r="E6" s="3">
        <f>'Gas Tax'!J52</f>
        <v>24619305837.388237</v>
      </c>
      <c r="F6" s="3">
        <f>'Gas Tax'!K52</f>
        <v>8898749241</v>
      </c>
      <c r="G6" s="104">
        <f>'Gas Tax'!S52</f>
        <v>0</v>
      </c>
      <c r="H6" s="104">
        <f>'Gas Tax'!U52</f>
        <v>1244993848.0386803</v>
      </c>
      <c r="I6" s="105">
        <f>'Gas Tax'!W52</f>
        <v>6073140722.1399059</v>
      </c>
      <c r="J6" s="54">
        <f>'Vehicle Miles Trav.'!S8</f>
        <v>2882977084.7602987</v>
      </c>
      <c r="K6" s="104">
        <f>'Carbon Tax'!H7</f>
        <v>132507591.910843</v>
      </c>
    </row>
    <row r="7" spans="1:11" x14ac:dyDescent="0.5">
      <c r="A7" s="121">
        <v>2025</v>
      </c>
      <c r="B7" s="47">
        <f>EV!O11</f>
        <v>108858.02691980801</v>
      </c>
      <c r="C7" s="47">
        <f>B7*'INPUT TABLE'!B$13</f>
        <v>27214506.729952</v>
      </c>
      <c r="D7" s="54">
        <f>C7/(1+('INPUT TABLE'!B$2)/100)^(A7-'INPUT TABLE'!$B$1)</f>
        <v>24053658.458446138</v>
      </c>
      <c r="E7" s="3">
        <f>'Gas Tax'!J53</f>
        <v>24604969763.604595</v>
      </c>
      <c r="F7" s="3">
        <f>'Gas Tax'!K53</f>
        <v>9098749241</v>
      </c>
      <c r="G7" s="104">
        <f>'Gas Tax'!S53</f>
        <v>0</v>
      </c>
      <c r="H7" s="104">
        <f>'Gas Tax'!U53</f>
        <v>1221356238.5748515</v>
      </c>
      <c r="I7" s="105">
        <f>'Gas Tax'!W53</f>
        <v>5957835310.1212282</v>
      </c>
      <c r="J7" s="54">
        <f>'Vehicle Miles Trav.'!S9</f>
        <v>2865691827.7544236</v>
      </c>
      <c r="K7" s="104">
        <f>'Carbon Tax'!H8</f>
        <v>131702385.92423543</v>
      </c>
    </row>
    <row r="8" spans="1:11" x14ac:dyDescent="0.5">
      <c r="A8" s="121">
        <v>2026</v>
      </c>
      <c r="B8" s="47">
        <f>EV!O12</f>
        <v>126321.270407488</v>
      </c>
      <c r="C8" s="47">
        <f>B8*'INPUT TABLE'!B$13</f>
        <v>31580317.601872001</v>
      </c>
      <c r="D8" s="54">
        <f>C8/(1+('INPUT TABLE'!B$2)/100)^(A8-'INPUT TABLE'!$B$1)</f>
        <v>27231608.894131586</v>
      </c>
      <c r="E8" s="3">
        <f>'Gas Tax'!J54</f>
        <v>24988639394.06004</v>
      </c>
      <c r="F8" s="3">
        <f>'Gas Tax'!K54</f>
        <v>9298749241</v>
      </c>
      <c r="G8" s="104">
        <f>'Gas Tax'!S54</f>
        <v>0</v>
      </c>
      <c r="H8" s="104">
        <f>'Gas Tax'!U54</f>
        <v>1848608382.8179305</v>
      </c>
      <c r="I8" s="105">
        <f>'Gas Tax'!W54</f>
        <v>5913181552.3964195</v>
      </c>
      <c r="J8" s="54">
        <f>'Vehicle Miles Trav.'!S10</f>
        <v>2847534717.0838976</v>
      </c>
      <c r="K8" s="104">
        <f>'Carbon Tax'!H9</f>
        <v>130876549.97968081</v>
      </c>
    </row>
    <row r="9" spans="1:11" x14ac:dyDescent="0.5">
      <c r="A9" s="121">
        <v>2027</v>
      </c>
      <c r="B9" s="47">
        <f>EV!O13</f>
        <v>145034.18756339201</v>
      </c>
      <c r="C9" s="47">
        <f>B9*'INPUT TABLE'!B$13</f>
        <v>36258546.890848003</v>
      </c>
      <c r="D9" s="54">
        <f>C9/(1+('INPUT TABLE'!B$2)/100)^(A9-'INPUT TABLE'!$B$1)</f>
        <v>30503054.973912422</v>
      </c>
      <c r="E9" s="3">
        <f>'Gas Tax'!J55</f>
        <v>24971149909.544598</v>
      </c>
      <c r="F9" s="3">
        <f>'Gas Tax'!K55</f>
        <v>9498749241</v>
      </c>
      <c r="G9" s="104">
        <f>'Gas Tax'!S55</f>
        <v>0</v>
      </c>
      <c r="H9" s="104">
        <f>'Gas Tax'!U55</f>
        <v>1813120446.4568453</v>
      </c>
      <c r="I9" s="105">
        <f>'Gas Tax'!W55</f>
        <v>5799665562.4369316</v>
      </c>
      <c r="J9" s="54">
        <f>'Vehicle Miles Trav.'!S11</f>
        <v>2828558564.9185634</v>
      </c>
      <c r="K9" s="104">
        <f>'Carbon Tax'!H10</f>
        <v>130025371.13002492</v>
      </c>
    </row>
    <row r="10" spans="1:11" x14ac:dyDescent="0.5">
      <c r="A10" s="121">
        <v>2028</v>
      </c>
      <c r="B10" s="47">
        <f>EV!O14</f>
        <v>165101.210910208</v>
      </c>
      <c r="C10" s="47">
        <f>B10*'INPUT TABLE'!B$13</f>
        <v>41275302.727551997</v>
      </c>
      <c r="D10" s="54">
        <f>C10/(1+('INPUT TABLE'!B$2)/100)^(A10-'INPUT TABLE'!$B$1)</f>
        <v>33876563.172910556</v>
      </c>
      <c r="E10" s="3">
        <f>'Gas Tax'!J56</f>
        <v>25352728200.828339</v>
      </c>
      <c r="F10" s="3">
        <f>'Gas Tax'!K56</f>
        <v>9698749241</v>
      </c>
      <c r="G10" s="104">
        <f>'Gas Tax'!S56</f>
        <v>0</v>
      </c>
      <c r="H10" s="104">
        <f>'Gas Tax'!U56</f>
        <v>1798742954.0173738</v>
      </c>
      <c r="I10" s="105">
        <f>'Gas Tax'!W56</f>
        <v>5753675982.4626112</v>
      </c>
      <c r="J10" s="54">
        <f>'Vehicle Miles Trav.'!S12</f>
        <v>2808814125.8766527</v>
      </c>
      <c r="K10" s="104">
        <f>'Carbon Tax'!H11</f>
        <v>129145959.75753865</v>
      </c>
    </row>
    <row r="11" spans="1:11" x14ac:dyDescent="0.5">
      <c r="A11" s="121">
        <v>2029</v>
      </c>
      <c r="B11" s="47">
        <f>EV!O15</f>
        <v>187528.82844217599</v>
      </c>
      <c r="C11" s="47">
        <f>B11*'INPUT TABLE'!B$13</f>
        <v>46882207.110543996</v>
      </c>
      <c r="D11" s="54">
        <f>C11/(1+('INPUT TABLE'!B$2)/100)^(A11-'INPUT TABLE'!$B$1)</f>
        <v>37539912.895734772</v>
      </c>
      <c r="E11" s="3">
        <f>'Gas Tax'!J57</f>
        <v>25333035200.851112</v>
      </c>
      <c r="F11" s="3">
        <f>'Gas Tax'!K57</f>
        <v>9898749241</v>
      </c>
      <c r="G11" s="104">
        <f>'Gas Tax'!S57</f>
        <v>0</v>
      </c>
      <c r="H11" s="104">
        <f>'Gas Tax'!U57</f>
        <v>2386323125.9593234</v>
      </c>
      <c r="I11" s="105">
        <f>'Gas Tax'!W57</f>
        <v>5642217807.6634827</v>
      </c>
      <c r="J11" s="54">
        <f>'Vehicle Miles Trav.'!S13</f>
        <v>2788350165.9760375</v>
      </c>
      <c r="K11" s="104">
        <f>'Carbon Tax'!H12</f>
        <v>128239276.69172141</v>
      </c>
    </row>
    <row r="12" spans="1:11" x14ac:dyDescent="0.5">
      <c r="A12" s="121">
        <v>2030</v>
      </c>
      <c r="B12" s="47">
        <f>EV!O16</f>
        <v>212881.54330912</v>
      </c>
      <c r="C12" s="47">
        <f>B12*'INPUT TABLE'!B$13</f>
        <v>53220385.82728</v>
      </c>
      <c r="D12" s="54">
        <f>C12/(1+('INPUT TABLE'!B$2)/100)^(A12-'INPUT TABLE'!$B$1)</f>
        <v>41575680.347497672</v>
      </c>
      <c r="E12" s="3">
        <f>'Gas Tax'!J58</f>
        <v>25711781065.616104</v>
      </c>
      <c r="F12" s="3">
        <f>'Gas Tax'!K58</f>
        <v>10098749241</v>
      </c>
      <c r="G12" s="104">
        <f>'Gas Tax'!S58</f>
        <v>1398756452.0239606</v>
      </c>
      <c r="H12" s="104">
        <f>'Gas Tax'!U58</f>
        <v>2366363712.1671853</v>
      </c>
      <c r="I12" s="105">
        <f>'Gas Tax'!W58</f>
        <v>5595025808.0958424</v>
      </c>
      <c r="J12" s="54">
        <f>'Vehicle Miles Trav.'!S14</f>
        <v>2767213529.4460192</v>
      </c>
      <c r="K12" s="104">
        <f>'Carbon Tax'!H13</f>
        <v>127308397.70983329</v>
      </c>
    </row>
    <row r="13" spans="1:11" x14ac:dyDescent="0.5">
      <c r="A13" s="121">
        <v>2031</v>
      </c>
      <c r="B13" s="47">
        <f>EV!O17</f>
        <v>241655.28477088001</v>
      </c>
      <c r="C13" s="47">
        <f>B13*'INPUT TABLE'!B$13</f>
        <v>60413821.192720003</v>
      </c>
      <c r="D13" s="54">
        <f>C13/(1+('INPUT TABLE'!B$2)/100)^(A13-'INPUT TABLE'!$B$1)</f>
        <v>46044078.593069978</v>
      </c>
      <c r="E13" s="3">
        <f>'Gas Tax'!J59</f>
        <v>25688719414.552509</v>
      </c>
      <c r="F13" s="3">
        <f>'Gas Tax'!K59</f>
        <v>10298749241</v>
      </c>
      <c r="G13" s="104">
        <f>'Gas Tax'!S59</f>
        <v>1371383072.9693813</v>
      </c>
      <c r="H13" s="104">
        <f>'Gas Tax'!U59</f>
        <v>2320054455.9843631</v>
      </c>
      <c r="I13" s="105">
        <f>'Gas Tax'!W59</f>
        <v>5485532291.8775253</v>
      </c>
      <c r="J13" s="54">
        <f>'Vehicle Miles Trav.'!S15</f>
        <v>2745449203.4629884</v>
      </c>
      <c r="K13" s="104">
        <f>'Carbon Tax'!H14</f>
        <v>126355138.39067949</v>
      </c>
    </row>
    <row r="14" spans="1:11" x14ac:dyDescent="0.5">
      <c r="A14" s="121">
        <v>2032</v>
      </c>
      <c r="B14" s="47">
        <f>EV!O18</f>
        <v>274460.51339180802</v>
      </c>
      <c r="C14" s="47">
        <f>B14*'INPUT TABLE'!B$13</f>
        <v>68615128.347952008</v>
      </c>
      <c r="D14" s="54">
        <f>C14/(1+('INPUT TABLE'!B$2)/100)^(A14-'INPUT TABLE'!$B$1)</f>
        <v>51019182.486258887</v>
      </c>
      <c r="E14" s="3">
        <f>'Gas Tax'!J60</f>
        <v>26063619966.735374</v>
      </c>
      <c r="F14" s="3">
        <f>'Gas Tax'!K60</f>
        <v>10498749241</v>
      </c>
      <c r="G14" s="104">
        <f>'Gas Tax'!S60</f>
        <v>1359308239.7805505</v>
      </c>
      <c r="H14" s="104">
        <f>'Gas Tax'!U60</f>
        <v>2299626706.0017433</v>
      </c>
      <c r="I14" s="105">
        <f>'Gas Tax'!W60</f>
        <v>5437232959.1222019</v>
      </c>
      <c r="J14" s="54">
        <f>'Vehicle Miles Trav.'!S16</f>
        <v>2723100380.8714876</v>
      </c>
      <c r="K14" s="104">
        <f>'Carbon Tax'!H15</f>
        <v>125380786.07547857</v>
      </c>
    </row>
    <row r="15" spans="1:11" x14ac:dyDescent="0.5">
      <c r="A15" s="121">
        <v>2033</v>
      </c>
      <c r="B15" s="47">
        <f>EV!O19</f>
        <v>311500.01407820801</v>
      </c>
      <c r="C15" s="47">
        <f>B15*'INPUT TABLE'!B$13</f>
        <v>77875003.519552007</v>
      </c>
      <c r="D15" s="54">
        <f>C15/(1+('INPUT TABLE'!B$2)/100)^(A15-'INPUT TABLE'!$B$1)</f>
        <v>56492114.307206832</v>
      </c>
      <c r="E15" s="3">
        <f>'Gas Tax'!J61</f>
        <v>26036384451.927517</v>
      </c>
      <c r="F15" s="3">
        <f>'Gas Tax'!K61</f>
        <v>10698749241</v>
      </c>
      <c r="G15" s="104">
        <f>'Gas Tax'!S61</f>
        <v>1332420724.1610954</v>
      </c>
      <c r="H15" s="104">
        <f>'Gas Tax'!U61</f>
        <v>2254139415.3585849</v>
      </c>
      <c r="I15" s="105">
        <f>'Gas Tax'!W61</f>
        <v>5329682896.6443815</v>
      </c>
      <c r="J15" s="54">
        <f>'Vehicle Miles Trav.'!S17</f>
        <v>2700208520.9504452</v>
      </c>
      <c r="K15" s="104">
        <f>'Carbon Tax'!H16</f>
        <v>124386838.39008772</v>
      </c>
    </row>
    <row r="16" spans="1:11" x14ac:dyDescent="0.5">
      <c r="A16" s="121">
        <v>2034</v>
      </c>
      <c r="B16" s="47">
        <f>EV!O20</f>
        <v>353472.98120281601</v>
      </c>
      <c r="C16" s="47">
        <f>B16*'INPUT TABLE'!B$13</f>
        <v>88368245.300704002</v>
      </c>
      <c r="D16" s="54">
        <f>C16/(1+('INPUT TABLE'!B$2)/100)^(A16-'INPUT TABLE'!$B$1)</f>
        <v>62540610.440895557</v>
      </c>
      <c r="E16" s="3">
        <f>'Gas Tax'!J62</f>
        <v>26406713395.68166</v>
      </c>
      <c r="F16" s="3">
        <f>'Gas Tax'!K62</f>
        <v>10898749241</v>
      </c>
      <c r="G16" s="104">
        <f>'Gas Tax'!S62</f>
        <v>1320104522.9193347</v>
      </c>
      <c r="H16" s="104">
        <f>'Gas Tax'!U62</f>
        <v>2233303327.9553208</v>
      </c>
      <c r="I16" s="105">
        <f>'Gas Tax'!W62</f>
        <v>5280418091.6773386</v>
      </c>
      <c r="J16" s="54">
        <f>'Vehicle Miles Trav.'!S18</f>
        <v>2676813408.2826176</v>
      </c>
      <c r="K16" s="104">
        <f>'Carbon Tax'!H17</f>
        <v>123374708.75118662</v>
      </c>
    </row>
    <row r="17" spans="1:11" x14ac:dyDescent="0.5">
      <c r="A17" s="121">
        <v>2035</v>
      </c>
      <c r="B17" s="47">
        <f>EV!O21</f>
        <v>400804.53176051204</v>
      </c>
      <c r="C17" s="47">
        <f>B17*'INPUT TABLE'!B$13</f>
        <v>100201132.94012801</v>
      </c>
      <c r="D17" s="54">
        <f>C17/(1+('INPUT TABLE'!B$2)/100)^(A17-'INPUT TABLE'!$B$1)</f>
        <v>69185431.051402733</v>
      </c>
      <c r="E17" s="3">
        <f>'Gas Tax'!J63</f>
        <v>26374527698.384186</v>
      </c>
      <c r="F17" s="3">
        <f>'Gas Tax'!K63</f>
        <v>11098749241</v>
      </c>
      <c r="G17" s="104">
        <f>'Gas Tax'!S63</f>
        <v>1293700351.4266715</v>
      </c>
      <c r="H17" s="104">
        <f>'Gas Tax'!U63</f>
        <v>2188633740.7804642</v>
      </c>
      <c r="I17" s="105">
        <f>'Gas Tax'!W63</f>
        <v>5174801405.706686</v>
      </c>
      <c r="J17" s="54">
        <f>'Vehicle Miles Trav.'!S19</f>
        <v>2652953209.7836242</v>
      </c>
      <c r="K17" s="104">
        <f>'Carbon Tax'!H18</f>
        <v>122345055.23551713</v>
      </c>
    </row>
    <row r="18" spans="1:11" x14ac:dyDescent="0.5">
      <c r="A18" s="121">
        <v>2036</v>
      </c>
      <c r="B18" s="47">
        <f>EV!O22</f>
        <v>453367.37288032006</v>
      </c>
      <c r="C18" s="47">
        <f>B18*'INPUT TABLE'!B$13</f>
        <v>113341843.22008002</v>
      </c>
      <c r="D18" s="54">
        <f>C18/(1+('INPUT TABLE'!B$2)/100)^(A18-'INPUT TABLE'!$B$1)</f>
        <v>76349891.602058128</v>
      </c>
      <c r="E18" s="3">
        <f>'Gas Tax'!J64</f>
        <v>26739921882.136806</v>
      </c>
      <c r="F18" s="3">
        <f>'Gas Tax'!K64</f>
        <v>11298749241</v>
      </c>
      <c r="G18" s="104">
        <f>'Gas Tax'!S64</f>
        <v>1281189865.2903273</v>
      </c>
      <c r="H18" s="104">
        <f>'Gas Tax'!U64</f>
        <v>2167468969.4782271</v>
      </c>
      <c r="I18" s="105">
        <f>'Gas Tax'!W64</f>
        <v>5124759461.1613092</v>
      </c>
      <c r="J18" s="54">
        <f>'Vehicle Miles Trav.'!S20</f>
        <v>2628664529.9453306</v>
      </c>
      <c r="K18" s="104">
        <f>'Carbon Tax'!H19</f>
        <v>121298894.51289514</v>
      </c>
    </row>
    <row r="19" spans="1:11" x14ac:dyDescent="0.5">
      <c r="A19" s="121">
        <v>2037</v>
      </c>
      <c r="B19" s="47">
        <f>EV!O23</f>
        <v>510976.13747353607</v>
      </c>
      <c r="C19" s="47">
        <f>B19*'INPUT TABLE'!B$13</f>
        <v>127744034.36838402</v>
      </c>
      <c r="D19" s="54">
        <f>C19/(1+('INPUT TABLE'!B$2)/100)^(A19-'INPUT TABLE'!$B$1)</f>
        <v>83952747.957667887</v>
      </c>
      <c r="E19" s="3">
        <f>'Gas Tax'!J65</f>
        <v>26702941979.138832</v>
      </c>
      <c r="F19" s="3">
        <f>'Gas Tax'!K65</f>
        <v>11498749241</v>
      </c>
      <c r="G19" s="104">
        <f>'Gas Tax'!S65</f>
        <v>1255298132.0882409</v>
      </c>
      <c r="H19" s="104">
        <f>'Gas Tax'!U65</f>
        <v>2123666306.1869326</v>
      </c>
      <c r="I19" s="105">
        <f>'Gas Tax'!W65</f>
        <v>5021192528.3529634</v>
      </c>
      <c r="J19" s="54">
        <f>'Vehicle Miles Trav.'!S21</f>
        <v>2603982464.3467488</v>
      </c>
      <c r="K19" s="104">
        <f>'Carbon Tax'!H20</f>
        <v>120237670.56832696</v>
      </c>
    </row>
    <row r="20" spans="1:11" x14ac:dyDescent="0.5">
      <c r="A20" s="121">
        <v>2038</v>
      </c>
      <c r="B20" s="47">
        <f>EV!O24</f>
        <v>573777.51027961611</v>
      </c>
      <c r="C20" s="47">
        <f>B20*'INPUT TABLE'!B$13</f>
        <v>143444377.56990403</v>
      </c>
      <c r="D20" s="54">
        <f>C20/(1+('INPUT TABLE'!B$2)/100)^(A20-'INPUT TABLE'!$B$1)</f>
        <v>91971644.784469664</v>
      </c>
      <c r="E20" s="3">
        <f>'Gas Tax'!J66</f>
        <v>27063502903.284702</v>
      </c>
      <c r="F20" s="3">
        <f>'Gas Tax'!K66</f>
        <v>11698749241</v>
      </c>
      <c r="G20" s="104">
        <f>'Gas Tax'!S66</f>
        <v>1242651732.2098849</v>
      </c>
      <c r="H20" s="104">
        <f>'Gas Tax'!U66</f>
        <v>2102271601.1127253</v>
      </c>
      <c r="I20" s="105">
        <f>'Gas Tax'!W66</f>
        <v>4970606928.8395395</v>
      </c>
      <c r="J20" s="54">
        <f>'Vehicle Miles Trav.'!S22</f>
        <v>2578940651.4841208</v>
      </c>
      <c r="K20" s="104">
        <f>'Carbon Tax'!H21</f>
        <v>119162726.19827037</v>
      </c>
    </row>
    <row r="21" spans="1:11" x14ac:dyDescent="0.5">
      <c r="A21" s="121">
        <v>2039</v>
      </c>
      <c r="B21" s="47">
        <f>EV!O25</f>
        <v>641874.09514528012</v>
      </c>
      <c r="C21" s="47">
        <f>B21*'INPUT TABLE'!B$13</f>
        <v>160468523.78632003</v>
      </c>
      <c r="D21" s="54">
        <f>C21/(1+('INPUT TABLE'!B$2)/100)^(A21-'INPUT TABLE'!$B$1)</f>
        <v>100377509.24299821</v>
      </c>
      <c r="E21" s="3">
        <f>'Gas Tax'!J67</f>
        <v>27021622452.591091</v>
      </c>
      <c r="F21" s="3">
        <f>'Gas Tax'!K67</f>
        <v>11898749241</v>
      </c>
      <c r="G21" s="104">
        <f>'Gas Tax'!S67</f>
        <v>1217288561.4055283</v>
      </c>
      <c r="H21" s="104">
        <f>'Gas Tax'!U67</f>
        <v>2059363139.86482</v>
      </c>
      <c r="I21" s="105">
        <f>'Gas Tax'!W67</f>
        <v>4869154245.6221132</v>
      </c>
      <c r="J21" s="54">
        <f>'Vehicle Miles Trav.'!S23</f>
        <v>2553571322.9703264</v>
      </c>
      <c r="K21" s="104">
        <f>'Carbon Tax'!H22</f>
        <v>118074844.47918338</v>
      </c>
    </row>
    <row r="22" spans="1:11" x14ac:dyDescent="0.5">
      <c r="A22" s="121">
        <v>2040</v>
      </c>
      <c r="B22" s="47">
        <f>EV!O26</f>
        <v>714881.47739507211</v>
      </c>
      <c r="C22" s="47">
        <f>B22*'INPUT TABLE'!B$13</f>
        <v>178720369.34876803</v>
      </c>
      <c r="D22" s="54">
        <f>C22/(1+('INPUT TABLE'!B$2)/100)^(A22-'INPUT TABLE'!$B$1)</f>
        <v>109067848.31055106</v>
      </c>
      <c r="E22" s="3">
        <f>'Gas Tax'!J68</f>
        <v>27377441000.359764</v>
      </c>
      <c r="F22" s="3">
        <f>'Gas Tax'!K68</f>
        <v>12098749241</v>
      </c>
      <c r="G22" s="104">
        <f>'Gas Tax'!S68</f>
        <v>1204558591.9534593</v>
      </c>
      <c r="H22" s="104">
        <f>'Gas Tax'!U68</f>
        <v>2037827054.9196637</v>
      </c>
      <c r="I22" s="105">
        <f>'Gas Tax'!W68</f>
        <v>4818234367.8138371</v>
      </c>
      <c r="J22" s="54">
        <f>'Vehicle Miles Trav.'!S24</f>
        <v>2527905352.1523361</v>
      </c>
      <c r="K22" s="104">
        <f>'Carbon Tax'!H23</f>
        <v>116975250.53434359</v>
      </c>
    </row>
    <row r="23" spans="1:11" x14ac:dyDescent="0.5">
      <c r="A23" s="121">
        <v>2041</v>
      </c>
      <c r="B23" s="47">
        <f>EV!O27</f>
        <v>792501.6374738561</v>
      </c>
      <c r="C23" s="47">
        <f>B23*'INPUT TABLE'!B$13</f>
        <v>198125409.36846402</v>
      </c>
      <c r="D23" s="54">
        <f>C23/(1+('INPUT TABLE'!B$2)/100)^(A23-'INPUT TABLE'!$B$1)</f>
        <v>117961151.58983834</v>
      </c>
      <c r="E23" s="3">
        <f>'Gas Tax'!J69</f>
        <v>27331046429.989639</v>
      </c>
      <c r="F23" s="3">
        <f>'Gas Tax'!K69</f>
        <v>12298749241</v>
      </c>
      <c r="G23" s="104">
        <f>'Gas Tax'!S69</f>
        <v>1179751842.4115925</v>
      </c>
      <c r="H23" s="104">
        <f>'Gas Tax'!U69</f>
        <v>1995859926.2978415</v>
      </c>
      <c r="I23" s="105">
        <f>'Gas Tax'!W69</f>
        <v>4719007369.6463699</v>
      </c>
      <c r="J23" s="54">
        <f>'Vehicle Miles Trav.'!S25</f>
        <v>2501972301.194016</v>
      </c>
      <c r="K23" s="104">
        <f>'Carbon Tax'!H24</f>
        <v>115865210.69309999</v>
      </c>
    </row>
    <row r="24" spans="1:11" x14ac:dyDescent="0.5">
      <c r="A24" s="121">
        <v>2042</v>
      </c>
      <c r="B24" s="47">
        <f>EV!O28</f>
        <v>873649.41131910414</v>
      </c>
      <c r="C24" s="47">
        <f>B24*'INPUT TABLE'!B$13</f>
        <v>218412352.82977605</v>
      </c>
      <c r="D24" s="54">
        <f>C24/(1+('INPUT TABLE'!B$2)/100)^(A24-'INPUT TABLE'!$B$1)</f>
        <v>126868019.03004685</v>
      </c>
      <c r="E24" s="3">
        <f>'Gas Tax'!J70</f>
        <v>27682845706.327141</v>
      </c>
      <c r="F24" s="3">
        <f>'Gas Tax'!K70</f>
        <v>12498749241</v>
      </c>
      <c r="G24" s="104">
        <f>'Gas Tax'!S70</f>
        <v>1167003442.430789</v>
      </c>
      <c r="H24" s="104">
        <f>'Gas Tax'!U70</f>
        <v>1974292661.2753174</v>
      </c>
      <c r="I24" s="105">
        <f>'Gas Tax'!W70</f>
        <v>4668013769.723156</v>
      </c>
      <c r="J24" s="54">
        <f>'Vehicle Miles Trav.'!S26</f>
        <v>2475800466.6702166</v>
      </c>
      <c r="K24" s="104">
        <f>'Carbon Tax'!H25</f>
        <v>114745961.0446464</v>
      </c>
    </row>
    <row r="25" spans="1:11" x14ac:dyDescent="0.5">
      <c r="A25" s="121">
        <v>2043</v>
      </c>
      <c r="B25" s="47">
        <f>EV!O29</f>
        <v>958895.03632441617</v>
      </c>
      <c r="C25" s="47">
        <f>B25*'INPUT TABLE'!B$13</f>
        <v>239723759.08110404</v>
      </c>
      <c r="D25" s="54">
        <f>C25/(1+('INPUT TABLE'!B$2)/100)^(A25-'INPUT TABLE'!$B$1)</f>
        <v>135850792.16386387</v>
      </c>
      <c r="E25" s="3">
        <f>'Gas Tax'!J71</f>
        <v>27632711707.401199</v>
      </c>
      <c r="F25" s="3">
        <f>'Gas Tax'!K71</f>
        <v>12698749241</v>
      </c>
      <c r="G25" s="104">
        <f>'Gas Tax'!S71</f>
        <v>1142786376.2791557</v>
      </c>
      <c r="H25" s="104">
        <f>'Gas Tax'!U71</f>
        <v>1933323136.8999648</v>
      </c>
      <c r="I25" s="105">
        <f>'Gas Tax'!W71</f>
        <v>4571145505.1166229</v>
      </c>
      <c r="J25" s="54">
        <f>'Vehicle Miles Trav.'!S27</f>
        <v>2449416923.7167664</v>
      </c>
      <c r="K25" s="104">
        <f>'Carbon Tax'!H26</f>
        <v>113617881.42878436</v>
      </c>
    </row>
    <row r="26" spans="1:11" x14ac:dyDescent="0.5">
      <c r="A26" s="121">
        <v>2044</v>
      </c>
      <c r="B26" s="47">
        <f>EV!O30</f>
        <v>1047620.5257266562</v>
      </c>
      <c r="C26" s="47">
        <f>B26*'INPUT TABLE'!B$13</f>
        <v>261905131.43166405</v>
      </c>
      <c r="D26" s="54">
        <f>C26/(1+('INPUT TABLE'!B$2)/100)^(A26-'INPUT TABLE'!$B$1)</f>
        <v>144800892.30328429</v>
      </c>
      <c r="E26" s="3">
        <f>'Gas Tax'!J72</f>
        <v>27980833179.589958</v>
      </c>
      <c r="F26" s="3">
        <f>'Gas Tax'!K72</f>
        <v>12898749241</v>
      </c>
      <c r="G26" s="104">
        <f>'Gas Tax'!S72</f>
        <v>1130065680.486975</v>
      </c>
      <c r="H26" s="104">
        <f>'Gas Tax'!U72</f>
        <v>1911802740.7848456</v>
      </c>
      <c r="I26" s="105">
        <f>'Gas Tax'!W72</f>
        <v>4520262721.9478998</v>
      </c>
      <c r="J26" s="54">
        <f>'Vehicle Miles Trav.'!S28</f>
        <v>2422847568.7796836</v>
      </c>
      <c r="K26" s="104">
        <f>'Carbon Tax'!H27</f>
        <v>112482279.30119923</v>
      </c>
    </row>
    <row r="27" spans="1:11" x14ac:dyDescent="0.5">
      <c r="A27" s="121">
        <v>2045</v>
      </c>
      <c r="B27" s="47">
        <f>EV!O31</f>
        <v>1140045.5342861442</v>
      </c>
      <c r="C27" s="47">
        <f>B27*'INPUT TABLE'!B$13</f>
        <v>285011383.57153606</v>
      </c>
      <c r="D27" s="54">
        <f>C27/(1+('INPUT TABLE'!B$2)/100)^(A27-'INPUT TABLE'!$B$1)</f>
        <v>153732458.18440565</v>
      </c>
      <c r="E27" s="3">
        <f>'Gas Tax'!J73</f>
        <v>27926996763.9963</v>
      </c>
      <c r="F27" s="3">
        <f>'Gas Tax'!K73</f>
        <v>13098749241</v>
      </c>
      <c r="G27" s="104">
        <f>'Gas Tax'!S73</f>
        <v>1106445066.0115697</v>
      </c>
      <c r="H27" s="104">
        <f>'Gas Tax'!U73</f>
        <v>1871842270.9883981</v>
      </c>
      <c r="I27" s="105">
        <f>'Gas Tax'!W73</f>
        <v>4425780264.046279</v>
      </c>
      <c r="J27" s="54">
        <f>'Vehicle Miles Trav.'!S29</f>
        <v>2396117161.0056725</v>
      </c>
      <c r="K27" s="104">
        <f>'Carbon Tax'!H28</f>
        <v>111340678.22037753</v>
      </c>
    </row>
    <row r="28" spans="1:11" x14ac:dyDescent="0.5">
      <c r="A28" s="121">
        <v>2046</v>
      </c>
      <c r="B28" s="47">
        <f>EV!O32</f>
        <v>1236957.2993455362</v>
      </c>
      <c r="C28" s="47">
        <f>B28*'INPUT TABLE'!B$13</f>
        <v>309239324.83638406</v>
      </c>
      <c r="D28" s="54">
        <f>C28/(1+('INPUT TABLE'!B$2)/100)^(A28-'INPUT TABLE'!$B$1)</f>
        <v>162732469.95550686</v>
      </c>
      <c r="E28" s="3">
        <f>'Gas Tax'!J74</f>
        <v>28270929939.263763</v>
      </c>
      <c r="F28" s="3">
        <f>'Gas Tax'!K74</f>
        <v>13298749241</v>
      </c>
      <c r="G28" s="104">
        <f>'Gas Tax'!S74</f>
        <v>1093770427.1346309</v>
      </c>
      <c r="H28" s="104">
        <f>'Gas Tax'!U74</f>
        <v>1850399792.2353508</v>
      </c>
      <c r="I28" s="105">
        <f>'Gas Tax'!W74</f>
        <v>4375081708.5385237</v>
      </c>
      <c r="J28" s="54">
        <f>'Vehicle Miles Trav.'!S30</f>
        <v>2369249362.3147607</v>
      </c>
      <c r="K28" s="104">
        <f>'Carbon Tax'!H29</f>
        <v>110193636.20397669</v>
      </c>
    </row>
    <row r="29" spans="1:11" x14ac:dyDescent="0.5">
      <c r="A29" s="121">
        <v>2047</v>
      </c>
      <c r="B29" s="47">
        <f>EV!O33</f>
        <v>1337837.1774344321</v>
      </c>
      <c r="C29" s="47">
        <f>B29*'INPUT TABLE'!B$13</f>
        <v>334459294.35860801</v>
      </c>
      <c r="D29" s="54">
        <f>C29/(1+('INPUT TABLE'!B$2)/100)^(A29-'INPUT TABLE'!$B$1)</f>
        <v>171711310.82058755</v>
      </c>
      <c r="E29" s="3">
        <f>'Gas Tax'!J75</f>
        <v>28212892431.414352</v>
      </c>
      <c r="F29" s="3">
        <f>'Gas Tax'!K75</f>
        <v>13498749241</v>
      </c>
      <c r="G29" s="104">
        <f>'Gas Tax'!S75</f>
        <v>1070737274.8878396</v>
      </c>
      <c r="H29" s="104">
        <f>'Gas Tax'!U75</f>
        <v>1811433169.0074387</v>
      </c>
      <c r="I29" s="105">
        <f>'Gas Tax'!W75</f>
        <v>4282949099.5513582</v>
      </c>
      <c r="J29" s="54">
        <f>'Vehicle Miles Trav.'!S31</f>
        <v>2342266776.1947284</v>
      </c>
      <c r="K29" s="104">
        <f>'Carbon Tax'!H30</f>
        <v>109041734.77203347</v>
      </c>
    </row>
    <row r="30" spans="1:11" x14ac:dyDescent="0.5">
      <c r="A30" s="121">
        <v>2048</v>
      </c>
      <c r="B30" s="47">
        <f>EV!O34</f>
        <v>1442898.468343168</v>
      </c>
      <c r="C30" s="47">
        <f>B30*'INPUT TABLE'!B$13</f>
        <v>360724617.08579201</v>
      </c>
      <c r="D30" s="54">
        <f>C30/(1+('INPUT TABLE'!B$2)/100)^(A30-'INPUT TABLE'!$B$1)</f>
        <v>180678946.70247608</v>
      </c>
      <c r="E30" s="3">
        <f>'Gas Tax'!J76</f>
        <v>28552781087.986935</v>
      </c>
      <c r="F30" s="3">
        <f>'Gas Tax'!K76</f>
        <v>13698749241</v>
      </c>
      <c r="G30" s="104">
        <f>'Gas Tax'!S76</f>
        <v>1058142643.283128</v>
      </c>
      <c r="H30" s="104">
        <f>'Gas Tax'!U76</f>
        <v>1790126043.5572729</v>
      </c>
      <c r="I30" s="105">
        <f>'Gas Tax'!W76</f>
        <v>4232570573.1325121</v>
      </c>
      <c r="J30" s="54">
        <f>'Vehicle Miles Trav.'!S32</f>
        <v>2315190985.2558551</v>
      </c>
      <c r="K30" s="104">
        <f>'Carbon Tax'!H31</f>
        <v>107885832.79797556</v>
      </c>
    </row>
    <row r="31" spans="1:11" x14ac:dyDescent="0.5">
      <c r="A31" s="121">
        <v>2049</v>
      </c>
      <c r="B31" s="47">
        <f>EV!O35</f>
        <v>1552300.4919506561</v>
      </c>
      <c r="C31" s="47">
        <f>B31*'INPUT TABLE'!B$13</f>
        <v>388075122.98766398</v>
      </c>
      <c r="D31" s="54">
        <f>C31/(1+('INPUT TABLE'!B$2)/100)^(A31-'INPUT TABLE'!$B$1)</f>
        <v>189637275.58970124</v>
      </c>
      <c r="E31" s="3">
        <f>'Gas Tax'!J77</f>
        <v>28490620707.680813</v>
      </c>
      <c r="F31" s="3">
        <f>'Gas Tax'!K77</f>
        <v>13898749241</v>
      </c>
      <c r="G31" s="104">
        <f>'Gas Tax'!S77</f>
        <v>1035702130.1887616</v>
      </c>
      <c r="H31" s="104">
        <f>'Gas Tax'!U77</f>
        <v>1752162025.0234647</v>
      </c>
      <c r="I31" s="105">
        <f>'Gas Tax'!W77</f>
        <v>4142808520.7550464</v>
      </c>
      <c r="J31" s="54">
        <f>'Vehicle Miles Trav.'!S33</f>
        <v>2288042587.5833659</v>
      </c>
      <c r="K31" s="104">
        <f>'Carbon Tax'!H32</f>
        <v>106726262.60320176</v>
      </c>
    </row>
    <row r="32" spans="1:11" x14ac:dyDescent="0.5">
      <c r="A32" s="121">
        <v>2050</v>
      </c>
      <c r="B32" s="47">
        <f>EV!O36</f>
        <v>1665721.0627242881</v>
      </c>
      <c r="C32" s="47">
        <f>B32*'INPUT TABLE'!B$13</f>
        <v>416430265.681072</v>
      </c>
      <c r="D32" s="54">
        <f>C32/(1+('INPUT TABLE'!B$2)/100)^(A32-'INPUT TABLE'!$B$1)</f>
        <v>198530083.05141935</v>
      </c>
      <c r="E32" s="3">
        <f>'Gas Tax'!J78</f>
        <v>28826543696.849674</v>
      </c>
      <c r="F32" s="3">
        <f>'Gas Tax'!K78</f>
        <v>14098749241</v>
      </c>
      <c r="G32" s="104">
        <f>'Gas Tax'!S78</f>
        <v>1023215970.8685108</v>
      </c>
      <c r="H32" s="104">
        <f>'Gas Tax'!U78</f>
        <v>1731038408.9164391</v>
      </c>
      <c r="I32" s="105">
        <f>'Gas Tax'!W78</f>
        <v>4092863883.4740434</v>
      </c>
      <c r="J32" s="54">
        <f>'Vehicle Miles Trav.'!S34</f>
        <v>2260841231.9238987</v>
      </c>
      <c r="K32" s="104">
        <f>'Carbon Tax'!H33</f>
        <v>105563775.49371795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9F7D-138D-4501-B2BC-DFC48571C203}">
  <dimension ref="A1"/>
  <sheetViews>
    <sheetView showGridLines="0" zoomScale="85" zoomScaleNormal="85" workbookViewId="0">
      <selection activeCell="A24" sqref="A24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BCD4-6A9D-42C5-A45D-9BAE34AF0F4A}">
  <dimension ref="A1"/>
  <sheetViews>
    <sheetView showGridLines="0" zoomScale="85" zoomScaleNormal="85" workbookViewId="0">
      <selection activeCell="F31" sqref="F31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E1F5-0985-4DC6-AE9D-A9EF41EB3ACA}">
  <dimension ref="A1"/>
  <sheetViews>
    <sheetView showGridLines="0" workbookViewId="0">
      <selection activeCell="S20" sqref="S20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752E-28DE-4446-9436-05EB0C62C167}">
  <dimension ref="A1:O32"/>
  <sheetViews>
    <sheetView showGridLines="0" zoomScale="77" zoomScaleNormal="77" workbookViewId="0">
      <selection activeCell="D2" sqref="D2"/>
    </sheetView>
  </sheetViews>
  <sheetFormatPr defaultRowHeight="14.35" x14ac:dyDescent="0.5"/>
  <cols>
    <col min="1" max="1" width="5.5859375" bestFit="1" customWidth="1"/>
    <col min="2" max="2" width="14.5859375" bestFit="1" customWidth="1"/>
    <col min="3" max="3" width="16" bestFit="1" customWidth="1"/>
    <col min="4" max="4" width="13.29296875" bestFit="1" customWidth="1"/>
    <col min="5" max="5" width="16.29296875" bestFit="1" customWidth="1"/>
    <col min="6" max="6" width="28.5859375" bestFit="1" customWidth="1"/>
    <col min="7" max="7" width="13.703125" bestFit="1" customWidth="1"/>
    <col min="8" max="8" width="15.5859375" bestFit="1" customWidth="1"/>
    <col min="9" max="9" width="15" bestFit="1" customWidth="1"/>
    <col min="10" max="10" width="20.41015625" bestFit="1" customWidth="1"/>
    <col min="11" max="11" width="14.5859375" bestFit="1" customWidth="1"/>
    <col min="12" max="12" width="33.87890625" customWidth="1"/>
    <col min="13" max="13" width="42.1171875" customWidth="1"/>
    <col min="14" max="14" width="18.87890625" hidden="1" customWidth="1"/>
    <col min="15" max="15" width="0" hidden="1" customWidth="1"/>
  </cols>
  <sheetData>
    <row r="1" spans="1:15" x14ac:dyDescent="0.5">
      <c r="A1" s="3" t="s">
        <v>33</v>
      </c>
      <c r="B1" s="3" t="s">
        <v>34</v>
      </c>
      <c r="C1" s="3" t="s">
        <v>59</v>
      </c>
      <c r="D1" s="3" t="s">
        <v>51</v>
      </c>
      <c r="E1" s="3" t="s">
        <v>60</v>
      </c>
      <c r="F1" s="3" t="s">
        <v>61</v>
      </c>
      <c r="G1" s="3" t="s">
        <v>62</v>
      </c>
      <c r="H1" s="94" t="s">
        <v>63</v>
      </c>
      <c r="I1" s="94" t="s">
        <v>64</v>
      </c>
      <c r="J1" s="94" t="s">
        <v>65</v>
      </c>
      <c r="K1" s="94" t="s">
        <v>66</v>
      </c>
      <c r="L1" s="3" t="str">
        <f>EV!D50</f>
        <v>Estimated Thousands of EV Vehicle Sales</v>
      </c>
      <c r="M1" s="3" t="str">
        <f>EV!G50</f>
        <v>Estimated Thousands of Conventional Vehicle Sales</v>
      </c>
      <c r="N1" s="3" t="str">
        <f>EV!H50</f>
        <v>Low oil Price-Gasoline</v>
      </c>
      <c r="O1" s="3" t="str">
        <f>EV!I50</f>
        <v>High Oil Price-Gasoline</v>
      </c>
    </row>
    <row r="2" spans="1:15" x14ac:dyDescent="0.5">
      <c r="A2" s="3">
        <f>2020</f>
        <v>2020</v>
      </c>
      <c r="B2" s="3">
        <f>Population!C3</f>
        <v>29877388.356262188</v>
      </c>
      <c r="C2" s="80">
        <f>Employment!C3</f>
        <v>13275220</v>
      </c>
      <c r="D2" s="80">
        <f>EV!N6</f>
        <v>36418</v>
      </c>
      <c r="E2" s="80">
        <f>'Hybrid Vehicle Projection'!E12</f>
        <v>16742.458176</v>
      </c>
      <c r="F2" s="47">
        <f>EV!P6</f>
        <v>23772268</v>
      </c>
      <c r="G2" s="47">
        <f>'Registered Vehicles'!D9</f>
        <v>8389333.7699999996</v>
      </c>
      <c r="H2" s="47">
        <f>'Registered Vehicles'!E9</f>
        <v>14637985.019999981</v>
      </c>
      <c r="I2" s="47">
        <f>'Registered Vehicles'!F9</f>
        <v>75120.679999999935</v>
      </c>
      <c r="J2" s="47">
        <f>'Registered Vehicles'!G9</f>
        <v>452735.87000000104</v>
      </c>
      <c r="K2" s="47">
        <f>'Registered Vehicles'!H9</f>
        <v>23555175.340000033</v>
      </c>
      <c r="L2" s="3">
        <f>EV!D51</f>
        <v>12.96280885056</v>
      </c>
      <c r="M2" s="3">
        <f>EV!G51</f>
        <v>881.42990763724799</v>
      </c>
      <c r="N2" s="3">
        <f>EV!H51</f>
        <v>882.48993715199992</v>
      </c>
      <c r="O2" s="3">
        <f>EV!I51</f>
        <v>879.94178927999997</v>
      </c>
    </row>
    <row r="3" spans="1:15" x14ac:dyDescent="0.5">
      <c r="A3" s="3">
        <f>A2+1</f>
        <v>2021</v>
      </c>
      <c r="B3" s="3">
        <f>Population!C4</f>
        <v>30439465.449139562</v>
      </c>
      <c r="C3" s="80">
        <f>Employment!C4</f>
        <v>13447881</v>
      </c>
      <c r="D3" s="80">
        <f>EV!O7</f>
        <v>49380.808850560003</v>
      </c>
      <c r="E3" s="80">
        <f>'Hybrid Vehicle Projection'!E13</f>
        <v>20087.787047999998</v>
      </c>
      <c r="F3" s="47">
        <f>EV!P7</f>
        <v>24653697.90763725</v>
      </c>
      <c r="G3" s="47">
        <f>'Registered Vehicles'!D10</f>
        <v>8396005.4699999988</v>
      </c>
      <c r="H3" s="47">
        <f>'Registered Vehicles'!E10</f>
        <v>15071227.590000033</v>
      </c>
      <c r="I3" s="47">
        <f>'Registered Vehicles'!F10</f>
        <v>74344.739999999758</v>
      </c>
      <c r="J3" s="47">
        <f>'Registered Vehicles'!G10</f>
        <v>461681.9299999997</v>
      </c>
      <c r="K3" s="47">
        <f>'Registered Vehicles'!H10</f>
        <v>24003259.730000019</v>
      </c>
      <c r="L3" s="3">
        <f>EV!D52</f>
        <v>13.481474988287999</v>
      </c>
      <c r="M3" s="3">
        <f>EV!G52</f>
        <v>977.76651512313595</v>
      </c>
      <c r="N3" s="3">
        <f>EV!H52</f>
        <v>1002.2078844719999</v>
      </c>
      <c r="O3" s="3">
        <f>EV!I52</f>
        <v>943.45459276799988</v>
      </c>
    </row>
    <row r="4" spans="1:15" x14ac:dyDescent="0.5">
      <c r="A4" s="3">
        <f t="shared" ref="A4:A32" si="0">A3+1</f>
        <v>2022</v>
      </c>
      <c r="B4" s="3">
        <f>Population!C5</f>
        <v>31012116.781457487</v>
      </c>
      <c r="C4" s="80">
        <f>Employment!C5</f>
        <v>13620542</v>
      </c>
      <c r="D4" s="80">
        <f>EV!O8</f>
        <v>62862.283838848001</v>
      </c>
      <c r="E4" s="80">
        <f>'Hybrid Vehicle Projection'!E14</f>
        <v>21619.103279999999</v>
      </c>
      <c r="F4" s="47">
        <f>EV!P8</f>
        <v>25631464.422760386</v>
      </c>
      <c r="G4" s="47">
        <f>'Registered Vehicles'!D11</f>
        <v>8402677.1699999999</v>
      </c>
      <c r="H4" s="47">
        <f>'Registered Vehicles'!E11</f>
        <v>15504470.159999967</v>
      </c>
      <c r="I4" s="47">
        <f>'Registered Vehicles'!F11</f>
        <v>73568.799999999814</v>
      </c>
      <c r="J4" s="47">
        <f>'Registered Vehicles'!G11</f>
        <v>470627.99000000209</v>
      </c>
      <c r="K4" s="47">
        <f>'Registered Vehicles'!H11</f>
        <v>24451344.120000005</v>
      </c>
      <c r="L4" s="3">
        <f>EV!D53</f>
        <v>14.689559677631998</v>
      </c>
      <c r="M4" s="3">
        <f>EV!G53</f>
        <v>1041.435095326656</v>
      </c>
      <c r="N4" s="3">
        <f>EV!H53</f>
        <v>1069.2431690159999</v>
      </c>
      <c r="O4" s="3">
        <f>EV!I53</f>
        <v>1002.3968380319999</v>
      </c>
    </row>
    <row r="5" spans="1:15" x14ac:dyDescent="0.5">
      <c r="A5" s="3">
        <f t="shared" si="0"/>
        <v>2023</v>
      </c>
      <c r="B5" s="3">
        <f>Population!C6</f>
        <v>31595541.28418342</v>
      </c>
      <c r="C5" s="80">
        <f>Employment!C6</f>
        <v>13793203</v>
      </c>
      <c r="D5" s="80">
        <f>EV!O9</f>
        <v>77551.843516480003</v>
      </c>
      <c r="E5" s="80">
        <f>'Hybrid Vehicle Projection'!E15</f>
        <v>22285.097328</v>
      </c>
      <c r="F5" s="47">
        <f>EV!P9</f>
        <v>26672899.518087041</v>
      </c>
      <c r="G5" s="47">
        <f>'Registered Vehicles'!D12</f>
        <v>8409348.8699999992</v>
      </c>
      <c r="H5" s="47">
        <f>'Registered Vehicles'!E12</f>
        <v>15937712.730000019</v>
      </c>
      <c r="I5" s="47">
        <f>'Registered Vehicles'!F12</f>
        <v>72792.85999999987</v>
      </c>
      <c r="J5" s="47">
        <f>'Registered Vehicles'!G12</f>
        <v>479574.05000000075</v>
      </c>
      <c r="K5" s="47">
        <f>'Registered Vehicles'!H12</f>
        <v>24899428.50999999</v>
      </c>
      <c r="L5" s="3">
        <f>EV!D54</f>
        <v>15.112687476672001</v>
      </c>
      <c r="M5" s="3">
        <f>EV!G54</f>
        <v>1039.464028788864</v>
      </c>
      <c r="N5" s="3">
        <f>EV!H54</f>
        <v>1044.1300754399999</v>
      </c>
      <c r="O5" s="3">
        <f>EV!I54</f>
        <v>1032.913617144</v>
      </c>
    </row>
    <row r="6" spans="1:15" x14ac:dyDescent="0.5">
      <c r="A6" s="3">
        <f t="shared" si="0"/>
        <v>2024</v>
      </c>
      <c r="B6" s="3">
        <f>Population!C7</f>
        <v>32189941.630731069</v>
      </c>
      <c r="C6" s="80">
        <f>Employment!C7</f>
        <v>13965864</v>
      </c>
      <c r="D6" s="80">
        <f>EV!O10</f>
        <v>92664.530993152002</v>
      </c>
      <c r="E6" s="80">
        <f>'Hybrid Vehicle Projection'!E16</f>
        <v>23341.918343999998</v>
      </c>
      <c r="F6" s="47">
        <f>EV!P10</f>
        <v>27712363.546875905</v>
      </c>
      <c r="G6" s="47">
        <f>'Registered Vehicles'!D13</f>
        <v>8416020.5699999984</v>
      </c>
      <c r="H6" s="47">
        <f>'Registered Vehicles'!E13</f>
        <v>16370955.300000072</v>
      </c>
      <c r="I6" s="47">
        <f>'Registered Vehicles'!F13</f>
        <v>72016.919999999925</v>
      </c>
      <c r="J6" s="47">
        <f>'Registered Vehicles'!G13</f>
        <v>488520.1099999994</v>
      </c>
      <c r="K6" s="47">
        <f>'Registered Vehicles'!H13</f>
        <v>25347512.899999976</v>
      </c>
      <c r="L6" s="3">
        <f>EV!D55</f>
        <v>16.193495926655999</v>
      </c>
      <c r="M6" s="3">
        <f>EV!G55</f>
        <v>1045.205418842304</v>
      </c>
      <c r="N6" s="3">
        <f>EV!H55</f>
        <v>1055.2343844719999</v>
      </c>
      <c r="O6" s="3">
        <f>EV!I55</f>
        <v>1031.126294016</v>
      </c>
    </row>
    <row r="7" spans="1:15" x14ac:dyDescent="0.5">
      <c r="A7" s="3">
        <f t="shared" si="0"/>
        <v>2025</v>
      </c>
      <c r="B7" s="3">
        <f>Population!C8</f>
        <v>32795524.307367574</v>
      </c>
      <c r="C7" s="80">
        <f>Employment!C8</f>
        <v>14138525</v>
      </c>
      <c r="D7" s="80">
        <f>EV!O11</f>
        <v>108858.02691980801</v>
      </c>
      <c r="E7" s="80">
        <f>'Hybrid Vehicle Projection'!E17</f>
        <v>24484.807416</v>
      </c>
      <c r="F7" s="47">
        <f>EV!P11</f>
        <v>28757568.96571821</v>
      </c>
      <c r="G7" s="47">
        <f>'Registered Vehicles'!D14</f>
        <v>8422692.2699999996</v>
      </c>
      <c r="H7" s="47">
        <f>'Registered Vehicles'!E14</f>
        <v>16804197.870000005</v>
      </c>
      <c r="I7" s="47">
        <f>'Registered Vehicles'!F14</f>
        <v>71240.979999999981</v>
      </c>
      <c r="J7" s="47">
        <f>'Registered Vehicles'!G14</f>
        <v>497466.17000000179</v>
      </c>
      <c r="K7" s="47">
        <f>'Registered Vehicles'!H14</f>
        <v>25795597.289999962</v>
      </c>
      <c r="L7" s="3">
        <f>EV!D56</f>
        <v>17.46324348768</v>
      </c>
      <c r="M7" s="3">
        <f>EV!G56</f>
        <v>1074.4714083976319</v>
      </c>
      <c r="N7" s="3">
        <f>EV!H56</f>
        <v>1096.1137649039999</v>
      </c>
      <c r="O7" s="3">
        <f>EV!I56</f>
        <v>1044.0888694559999</v>
      </c>
    </row>
    <row r="8" spans="1:15" x14ac:dyDescent="0.5">
      <c r="A8" s="3">
        <f t="shared" si="0"/>
        <v>2026</v>
      </c>
      <c r="B8" s="3">
        <f>Population!C9</f>
        <v>33412499.684943303</v>
      </c>
      <c r="C8" s="80">
        <f>Employment!C9</f>
        <v>14311186</v>
      </c>
      <c r="D8" s="80">
        <f>EV!O12</f>
        <v>126321.270407488</v>
      </c>
      <c r="E8" s="80">
        <f>'Hybrid Vehicle Projection'!E18</f>
        <v>29073.284855999995</v>
      </c>
      <c r="F8" s="47">
        <f>EV!P12</f>
        <v>29832040.374115843</v>
      </c>
      <c r="G8" s="47">
        <f>'Registered Vehicles'!D15</f>
        <v>8429363.9699999988</v>
      </c>
      <c r="H8" s="47">
        <f>'Registered Vehicles'!E15</f>
        <v>17237440.440000057</v>
      </c>
      <c r="I8" s="47">
        <f>'Registered Vehicles'!F15</f>
        <v>70465.039999999804</v>
      </c>
      <c r="J8" s="47">
        <f>'Registered Vehicles'!G15</f>
        <v>506412.23000000045</v>
      </c>
      <c r="K8" s="47">
        <f>'Registered Vehicles'!H15</f>
        <v>26243681.679999948</v>
      </c>
      <c r="L8" s="3">
        <f>EV!D57</f>
        <v>18.712917155904002</v>
      </c>
      <c r="M8" s="3">
        <f>EV!G57</f>
        <v>1071.4566521867519</v>
      </c>
      <c r="N8" s="3">
        <f>EV!H57</f>
        <v>1095.911982672</v>
      </c>
      <c r="O8" s="3">
        <f>EV!I57</f>
        <v>1037.1251305439998</v>
      </c>
    </row>
    <row r="9" spans="1:15" x14ac:dyDescent="0.5">
      <c r="A9" s="3">
        <f t="shared" si="0"/>
        <v>2027</v>
      </c>
      <c r="B9" s="3">
        <f>Population!C10</f>
        <v>34041082.09197095</v>
      </c>
      <c r="C9" s="80">
        <f>Employment!C10</f>
        <v>14483847</v>
      </c>
      <c r="D9" s="80">
        <f>EV!O13</f>
        <v>145034.18756339201</v>
      </c>
      <c r="E9" s="80">
        <f>'Hybrid Vehicle Projection'!E19</f>
        <v>31081.702823999996</v>
      </c>
      <c r="F9" s="47">
        <f>EV!P13</f>
        <v>30903497.026302595</v>
      </c>
      <c r="G9" s="47">
        <f>'Registered Vehicles'!D16</f>
        <v>8436035.6699999999</v>
      </c>
      <c r="H9" s="47">
        <f>'Registered Vehicles'!E16</f>
        <v>17670683.00999999</v>
      </c>
      <c r="I9" s="47">
        <f>'Registered Vehicles'!F16</f>
        <v>69689.09999999986</v>
      </c>
      <c r="J9" s="47">
        <f>'Registered Vehicles'!G16</f>
        <v>515358.28999999911</v>
      </c>
      <c r="K9" s="47">
        <f>'Registered Vehicles'!H16</f>
        <v>26691766.069999933</v>
      </c>
      <c r="L9" s="3">
        <f>EV!D58</f>
        <v>20.067023346816001</v>
      </c>
      <c r="M9" s="3">
        <f>EV!G58</f>
        <v>1050.4226092517758</v>
      </c>
      <c r="N9" s="3">
        <f>EV!H58</f>
        <v>1076.7368089199999</v>
      </c>
      <c r="O9" s="3">
        <f>EV!I58</f>
        <v>1013.481521256</v>
      </c>
    </row>
    <row r="10" spans="1:15" x14ac:dyDescent="0.5">
      <c r="A10" s="3">
        <f t="shared" si="0"/>
        <v>2028</v>
      </c>
      <c r="B10" s="3">
        <f>Population!C11</f>
        <v>34681489.889081903</v>
      </c>
      <c r="C10" s="80">
        <f>Employment!C11</f>
        <v>14656508</v>
      </c>
      <c r="D10" s="80">
        <f>EV!O14</f>
        <v>165101.210910208</v>
      </c>
      <c r="E10" s="80">
        <f>'Hybrid Vehicle Projection'!E20</f>
        <v>32247.784007999995</v>
      </c>
      <c r="F10" s="47">
        <f>EV!P14</f>
        <v>31953919.63555437</v>
      </c>
      <c r="G10" s="47">
        <f>'Registered Vehicles'!D17</f>
        <v>8442707.3699999992</v>
      </c>
      <c r="H10" s="47">
        <f>'Registered Vehicles'!E17</f>
        <v>18103925.580000043</v>
      </c>
      <c r="I10" s="47">
        <f>'Registered Vehicles'!F17</f>
        <v>68913.159999999916</v>
      </c>
      <c r="J10" s="47">
        <f>'Registered Vehicles'!G17</f>
        <v>524304.35000000149</v>
      </c>
      <c r="K10" s="47">
        <f>'Registered Vehicles'!H17</f>
        <v>27139850.460000038</v>
      </c>
      <c r="L10" s="3">
        <f>EV!D59</f>
        <v>22.427617531967996</v>
      </c>
      <c r="M10" s="3">
        <f>EV!G59</f>
        <v>1050.9430085854078</v>
      </c>
      <c r="N10" s="3">
        <f>EV!H59</f>
        <v>1079.2095966959998</v>
      </c>
      <c r="O10" s="3">
        <f>EV!I59</f>
        <v>1011.2610675839999</v>
      </c>
    </row>
    <row r="11" spans="1:15" x14ac:dyDescent="0.5">
      <c r="A11" s="3">
        <f t="shared" si="0"/>
        <v>2029</v>
      </c>
      <c r="B11" s="3">
        <f>Population!C12</f>
        <v>35333945.544879727</v>
      </c>
      <c r="C11" s="80">
        <f>Employment!C12</f>
        <v>14829169</v>
      </c>
      <c r="D11" s="80">
        <f>EV!O15</f>
        <v>187528.82844217599</v>
      </c>
      <c r="E11" s="80">
        <f>'Hybrid Vehicle Projection'!E21</f>
        <v>33176.561207999999</v>
      </c>
      <c r="F11" s="47">
        <f>EV!P15</f>
        <v>33004862.644139778</v>
      </c>
      <c r="G11" s="47">
        <f>'Registered Vehicles'!D18</f>
        <v>8449379.0699999984</v>
      </c>
      <c r="H11" s="47">
        <f>'Registered Vehicles'!E18</f>
        <v>18537168.149999976</v>
      </c>
      <c r="I11" s="47">
        <f>'Registered Vehicles'!F18</f>
        <v>68137.219999999972</v>
      </c>
      <c r="J11" s="47">
        <f>'Registered Vehicles'!G18</f>
        <v>533250.41000000015</v>
      </c>
      <c r="K11" s="47">
        <f>'Registered Vehicles'!H18</f>
        <v>27587934.850000024</v>
      </c>
      <c r="L11" s="3">
        <f>EV!D60</f>
        <v>25.352714866943998</v>
      </c>
      <c r="M11" s="3">
        <f>EV!G60</f>
        <v>1052.062920759744</v>
      </c>
      <c r="N11" s="3">
        <f>EV!H60</f>
        <v>1087.897277496</v>
      </c>
      <c r="O11" s="3">
        <f>EV!I60</f>
        <v>1001.7569968799999</v>
      </c>
    </row>
    <row r="12" spans="1:15" x14ac:dyDescent="0.5">
      <c r="A12" s="3">
        <f t="shared" si="0"/>
        <v>2030</v>
      </c>
      <c r="B12" s="3">
        <f>Population!C13</f>
        <v>35998675.713224269</v>
      </c>
      <c r="C12" s="80">
        <f>Employment!C13</f>
        <v>15001830</v>
      </c>
      <c r="D12" s="80">
        <f>EV!O16</f>
        <v>212881.54330912</v>
      </c>
      <c r="E12" s="80">
        <f>'Hybrid Vehicle Projection'!E22</f>
        <v>34283.230439999999</v>
      </c>
      <c r="F12" s="47">
        <f>EV!P16</f>
        <v>34056925.564899519</v>
      </c>
      <c r="G12" s="47">
        <f>'Registered Vehicles'!D19</f>
        <v>8456050.7699999996</v>
      </c>
      <c r="H12" s="47">
        <f>'Registered Vehicles'!E19</f>
        <v>18970410.720000029</v>
      </c>
      <c r="I12" s="47">
        <f>'Registered Vehicles'!F19</f>
        <v>67361.279999999795</v>
      </c>
      <c r="J12" s="47">
        <f>'Registered Vehicles'!G19</f>
        <v>542196.47000000253</v>
      </c>
      <c r="K12" s="47">
        <f>'Registered Vehicles'!H19</f>
        <v>28036019.24000001</v>
      </c>
      <c r="L12" s="3">
        <f>EV!D61</f>
        <v>28.77374146176</v>
      </c>
      <c r="M12" s="3">
        <f>EV!G61</f>
        <v>1047.9450701064959</v>
      </c>
      <c r="N12" s="3">
        <f>EV!H61</f>
        <v>1090.3272452639999</v>
      </c>
      <c r="O12" s="3">
        <f>EV!I61</f>
        <v>988.44701651999992</v>
      </c>
    </row>
    <row r="13" spans="1:15" x14ac:dyDescent="0.5">
      <c r="A13" s="3">
        <f t="shared" si="0"/>
        <v>2031</v>
      </c>
      <c r="B13" s="3">
        <f>Population!C14</f>
        <v>36675911.311967328</v>
      </c>
      <c r="C13" s="80">
        <f>Employment!C14</f>
        <v>15174491</v>
      </c>
      <c r="D13" s="80">
        <f>EV!O17</f>
        <v>241655.28477088001</v>
      </c>
      <c r="E13" s="80">
        <f>'Hybrid Vehicle Projection'!E23</f>
        <v>35520.439343999999</v>
      </c>
      <c r="F13" s="47">
        <f>EV!P17</f>
        <v>35104870.635006018</v>
      </c>
      <c r="G13" s="47">
        <f>'Registered Vehicles'!D20</f>
        <v>8462722.4699999988</v>
      </c>
      <c r="H13" s="47">
        <f>'Registered Vehicles'!E20</f>
        <v>19403653.289999962</v>
      </c>
      <c r="I13" s="47">
        <f>'Registered Vehicles'!F20</f>
        <v>66585.339999999851</v>
      </c>
      <c r="J13" s="47">
        <f>'Registered Vehicles'!G20</f>
        <v>551142.53000000119</v>
      </c>
      <c r="K13" s="47">
        <f>'Registered Vehicles'!H20</f>
        <v>28484103.629999995</v>
      </c>
      <c r="L13" s="3">
        <f>EV!D62</f>
        <v>32.805228620927998</v>
      </c>
      <c r="M13" s="3">
        <f>EV!G62</f>
        <v>1049.101042887168</v>
      </c>
      <c r="N13" s="3">
        <f>EV!H62</f>
        <v>1095.1202311679999</v>
      </c>
      <c r="O13" s="3">
        <f>EV!I62</f>
        <v>984.49718241599999</v>
      </c>
    </row>
    <row r="14" spans="1:15" x14ac:dyDescent="0.5">
      <c r="A14" s="3">
        <f t="shared" si="0"/>
        <v>2032</v>
      </c>
      <c r="B14" s="3">
        <f>Population!C15</f>
        <v>37365887.603169441</v>
      </c>
      <c r="C14" s="80">
        <f>Employment!C15</f>
        <v>15347152</v>
      </c>
      <c r="D14" s="80">
        <f>EV!O18</f>
        <v>274460.51339180802</v>
      </c>
      <c r="E14" s="80">
        <f>'Hybrid Vehicle Projection'!E24</f>
        <v>36690.551063999999</v>
      </c>
      <c r="F14" s="47">
        <f>EV!P18</f>
        <v>36153971.677893184</v>
      </c>
      <c r="G14" s="47">
        <f>'Registered Vehicles'!D21</f>
        <v>8469394.1699999999</v>
      </c>
      <c r="H14" s="47">
        <f>'Registered Vehicles'!E21</f>
        <v>19836895.860000014</v>
      </c>
      <c r="I14" s="47">
        <f>'Registered Vehicles'!F21</f>
        <v>65809.399999999907</v>
      </c>
      <c r="J14" s="47">
        <f>'Registered Vehicles'!G21</f>
        <v>560088.58999999985</v>
      </c>
      <c r="K14" s="47">
        <f>'Registered Vehicles'!H21</f>
        <v>28932188.019999981</v>
      </c>
      <c r="L14" s="3">
        <f>EV!D63</f>
        <v>37.039500686400004</v>
      </c>
      <c r="M14" s="3">
        <f>EV!G63</f>
        <v>1040.6390028762239</v>
      </c>
      <c r="N14" s="3">
        <f>EV!H63</f>
        <v>1092.740815272</v>
      </c>
      <c r="O14" s="3">
        <f>EV!I63</f>
        <v>967.49607393600002</v>
      </c>
    </row>
    <row r="15" spans="1:15" x14ac:dyDescent="0.5">
      <c r="A15" s="3">
        <f t="shared" si="0"/>
        <v>2033</v>
      </c>
      <c r="B15" s="3">
        <f>Population!C16</f>
        <v>38068844.274828129</v>
      </c>
      <c r="C15" s="80">
        <f>Employment!C16</f>
        <v>15519813</v>
      </c>
      <c r="D15" s="80">
        <f>EV!O19</f>
        <v>311500.01407820801</v>
      </c>
      <c r="E15" s="80">
        <f>'Hybrid Vehicle Projection'!E25</f>
        <v>37906.323167999995</v>
      </c>
      <c r="F15" s="47">
        <f>EV!P19</f>
        <v>37194610.680769406</v>
      </c>
      <c r="G15" s="47">
        <f>'Registered Vehicles'!D22</f>
        <v>8476065.8699999992</v>
      </c>
      <c r="H15" s="47">
        <f>'Registered Vehicles'!E22</f>
        <v>20270138.430000067</v>
      </c>
      <c r="I15" s="47">
        <f>'Registered Vehicles'!F22</f>
        <v>65033.459999999963</v>
      </c>
      <c r="J15" s="47">
        <f>'Registered Vehicles'!G22</f>
        <v>569034.65000000224</v>
      </c>
      <c r="K15" s="47">
        <f>'Registered Vehicles'!H22</f>
        <v>29380272.409999967</v>
      </c>
      <c r="L15" s="3">
        <f>EV!D64</f>
        <v>41.972967124607997</v>
      </c>
      <c r="M15" s="3">
        <f>EV!G64</f>
        <v>1037.4643953820798</v>
      </c>
      <c r="N15" s="3">
        <f>EV!H64</f>
        <v>1094.7928766159998</v>
      </c>
      <c r="O15" s="3">
        <f>EV!I64</f>
        <v>956.98402749599995</v>
      </c>
    </row>
    <row r="16" spans="1:15" x14ac:dyDescent="0.5">
      <c r="A16" s="3">
        <f t="shared" si="0"/>
        <v>2034</v>
      </c>
      <c r="B16" s="3">
        <f>Population!C17</f>
        <v>38785025.524141386</v>
      </c>
      <c r="C16" s="80">
        <f>Employment!C17</f>
        <v>15692474</v>
      </c>
      <c r="D16" s="80">
        <f>EV!O20</f>
        <v>353472.98120281601</v>
      </c>
      <c r="E16" s="80">
        <f>'Hybrid Vehicle Projection'!E26</f>
        <v>39156.701087999994</v>
      </c>
      <c r="F16" s="47">
        <f>EV!P20</f>
        <v>38232075.076151483</v>
      </c>
      <c r="G16" s="47">
        <f>'Registered Vehicles'!D23</f>
        <v>8482737.5699999984</v>
      </c>
      <c r="H16" s="47">
        <f>'Registered Vehicles'!E23</f>
        <v>20703381</v>
      </c>
      <c r="I16" s="47">
        <f>'Registered Vehicles'!F23</f>
        <v>64257.519999999786</v>
      </c>
      <c r="J16" s="47">
        <f>'Registered Vehicles'!G23</f>
        <v>577980.71000000089</v>
      </c>
      <c r="K16" s="47">
        <f>'Registered Vehicles'!H23</f>
        <v>29828356.799999952</v>
      </c>
      <c r="L16" s="3">
        <f>EV!D65</f>
        <v>47.331550557695998</v>
      </c>
      <c r="M16" s="3">
        <f>EV!G65</f>
        <v>1038.442541955648</v>
      </c>
      <c r="N16" s="3">
        <f>EV!H65</f>
        <v>1099.688665896</v>
      </c>
      <c r="O16" s="3">
        <f>EV!I65</f>
        <v>952.46240642399994</v>
      </c>
    </row>
    <row r="17" spans="1:15" x14ac:dyDescent="0.5">
      <c r="A17" s="3">
        <f t="shared" si="0"/>
        <v>2035</v>
      </c>
      <c r="B17" s="3">
        <f>Population!C18</f>
        <v>39514680.142337449</v>
      </c>
      <c r="C17" s="80">
        <f>Employment!C18</f>
        <v>15865135</v>
      </c>
      <c r="D17" s="80">
        <f>EV!O21</f>
        <v>400804.53176051204</v>
      </c>
      <c r="E17" s="80">
        <f>'Hybrid Vehicle Projection'!E27</f>
        <v>40106.803727999999</v>
      </c>
      <c r="F17" s="47">
        <f>EV!P21</f>
        <v>39270517.618107133</v>
      </c>
      <c r="G17" s="47">
        <f>'Registered Vehicles'!D24</f>
        <v>8489409.2699999996</v>
      </c>
      <c r="H17" s="47">
        <f>'Registered Vehicles'!E24</f>
        <v>21136623.570000052</v>
      </c>
      <c r="I17" s="47">
        <f>'Registered Vehicles'!F24</f>
        <v>63481.579999999842</v>
      </c>
      <c r="J17" s="47">
        <f>'Registered Vehicles'!G24</f>
        <v>586926.76999999955</v>
      </c>
      <c r="K17" s="47">
        <f>'Registered Vehicles'!H24</f>
        <v>30276441.189999938</v>
      </c>
      <c r="L17" s="3">
        <f>EV!D66</f>
        <v>52.562841119807999</v>
      </c>
      <c r="M17" s="3">
        <f>EV!G66</f>
        <v>1028.3276070908159</v>
      </c>
      <c r="N17" s="3">
        <f>EV!H66</f>
        <v>1096.190399376</v>
      </c>
      <c r="O17" s="3">
        <f>EV!I66</f>
        <v>933.05868715199995</v>
      </c>
    </row>
    <row r="18" spans="1:15" x14ac:dyDescent="0.5">
      <c r="A18" s="3">
        <f t="shared" si="0"/>
        <v>2036</v>
      </c>
      <c r="B18" s="3">
        <f>Population!C19</f>
        <v>40258061.601103328</v>
      </c>
      <c r="C18" s="80">
        <f>Employment!C19</f>
        <v>16037796</v>
      </c>
      <c r="D18" s="80">
        <f>EV!O22</f>
        <v>453367.37288032006</v>
      </c>
      <c r="E18" s="80">
        <f>'Hybrid Vehicle Projection'!E28</f>
        <v>40925.789711999998</v>
      </c>
      <c r="F18" s="47">
        <f>EV!P22</f>
        <v>40298845.225197949</v>
      </c>
      <c r="G18" s="47">
        <f>'Registered Vehicles'!D25</f>
        <v>8496080.9699999988</v>
      </c>
      <c r="H18" s="47">
        <f>'Registered Vehicles'!E25</f>
        <v>21569866.139999986</v>
      </c>
      <c r="I18" s="47">
        <f>'Registered Vehicles'!F25</f>
        <v>62705.639999999898</v>
      </c>
      <c r="J18" s="47">
        <f>'Registered Vehicles'!G25</f>
        <v>595872.83000000194</v>
      </c>
      <c r="K18" s="47">
        <f>'Registered Vehicles'!H25</f>
        <v>30724525.580000043</v>
      </c>
      <c r="L18" s="3">
        <f>EV!D67</f>
        <v>57.608764593215994</v>
      </c>
      <c r="M18" s="3">
        <f>EV!G67</f>
        <v>1014.9591608209919</v>
      </c>
      <c r="N18" s="3">
        <f>EV!H67</f>
        <v>1087.823871072</v>
      </c>
      <c r="O18" s="3">
        <f>EV!I67</f>
        <v>912.66831758399985</v>
      </c>
    </row>
    <row r="19" spans="1:15" x14ac:dyDescent="0.5">
      <c r="A19" s="3">
        <f t="shared" si="0"/>
        <v>2037</v>
      </c>
      <c r="B19" s="3">
        <f>Population!C20</f>
        <v>41015428.140635006</v>
      </c>
      <c r="C19" s="80">
        <f>Employment!C20</f>
        <v>16210457</v>
      </c>
      <c r="D19" s="80">
        <f>EV!O23</f>
        <v>510976.13747353607</v>
      </c>
      <c r="E19" s="80">
        <f>'Hybrid Vehicle Projection'!E29</f>
        <v>41839.703831999999</v>
      </c>
      <c r="F19" s="47">
        <f>EV!P23</f>
        <v>41313804.386018939</v>
      </c>
      <c r="G19" s="47">
        <f>'Registered Vehicles'!D26</f>
        <v>8502752.6699999999</v>
      </c>
      <c r="H19" s="47">
        <f>'Registered Vehicles'!E26</f>
        <v>22003108.710000038</v>
      </c>
      <c r="I19" s="47">
        <f>'Registered Vehicles'!F26</f>
        <v>61929.699999999953</v>
      </c>
      <c r="J19" s="47">
        <f>'Registered Vehicles'!G26</f>
        <v>604818.8900000006</v>
      </c>
      <c r="K19" s="47">
        <f>'Registered Vehicles'!H26</f>
        <v>31172609.970000029</v>
      </c>
      <c r="L19" s="3">
        <f>EV!D68</f>
        <v>62.801372806079996</v>
      </c>
      <c r="M19" s="3">
        <f>EV!G68</f>
        <v>1005.1463412708479</v>
      </c>
      <c r="N19" s="3">
        <f>EV!H68</f>
        <v>1080.6786564239999</v>
      </c>
      <c r="O19" s="3">
        <f>EV!I68</f>
        <v>899.11059115199998</v>
      </c>
    </row>
    <row r="20" spans="1:15" x14ac:dyDescent="0.5">
      <c r="A20" s="3">
        <f t="shared" si="0"/>
        <v>2038</v>
      </c>
      <c r="B20" s="3">
        <f>Population!C21</f>
        <v>41787042.859348431</v>
      </c>
      <c r="C20" s="80">
        <f>Employment!C21</f>
        <v>16383118</v>
      </c>
      <c r="D20" s="80">
        <f>EV!O24</f>
        <v>573777.51027961611</v>
      </c>
      <c r="E20" s="80">
        <f>'Hybrid Vehicle Projection'!E30</f>
        <v>42830.324807999998</v>
      </c>
      <c r="F20" s="47">
        <f>EV!P24</f>
        <v>42318950.727289788</v>
      </c>
      <c r="G20" s="47">
        <f>'Registered Vehicles'!D27</f>
        <v>8509424.3699999992</v>
      </c>
      <c r="H20" s="47">
        <f>'Registered Vehicles'!E27</f>
        <v>22436351.279999971</v>
      </c>
      <c r="I20" s="47">
        <f>'Registered Vehicles'!F27</f>
        <v>61153.759999999776</v>
      </c>
      <c r="J20" s="47">
        <f>'Registered Vehicles'!G27</f>
        <v>613764.94999999925</v>
      </c>
      <c r="K20" s="47">
        <f>'Registered Vehicles'!H27</f>
        <v>31620694.360000014</v>
      </c>
      <c r="L20" s="3">
        <f>EV!D69</f>
        <v>68.096584865663999</v>
      </c>
      <c r="M20" s="3">
        <f>EV!G69</f>
        <v>1000.5137131877759</v>
      </c>
      <c r="N20" s="3">
        <f>EV!H69</f>
        <v>1079.241456792</v>
      </c>
      <c r="O20" s="3">
        <f>EV!I69</f>
        <v>889.9920731279999</v>
      </c>
    </row>
    <row r="21" spans="1:15" x14ac:dyDescent="0.5">
      <c r="A21" s="3">
        <f t="shared" si="0"/>
        <v>2039</v>
      </c>
      <c r="B21" s="3">
        <f>Population!C22</f>
        <v>42573173.805275336</v>
      </c>
      <c r="C21" s="80">
        <f>Employment!C22</f>
        <v>16555779</v>
      </c>
      <c r="D21" s="80">
        <f>EV!O25</f>
        <v>641874.09514528012</v>
      </c>
      <c r="E21" s="80">
        <f>'Hybrid Vehicle Projection'!E31</f>
        <v>43633.377959999991</v>
      </c>
      <c r="F21" s="47">
        <f>EV!P25</f>
        <v>43319464.440477565</v>
      </c>
      <c r="G21" s="47">
        <f>'Registered Vehicles'!D28</f>
        <v>8516096.0699999984</v>
      </c>
      <c r="H21" s="47">
        <f>'Registered Vehicles'!E28</f>
        <v>22869593.850000024</v>
      </c>
      <c r="I21" s="47">
        <f>'Registered Vehicles'!F28</f>
        <v>60377.819999999832</v>
      </c>
      <c r="J21" s="47">
        <f>'Registered Vehicles'!G28</f>
        <v>622711.01000000164</v>
      </c>
      <c r="K21" s="47">
        <f>'Registered Vehicles'!H28</f>
        <v>32068778.75</v>
      </c>
      <c r="L21" s="3">
        <f>EV!D70</f>
        <v>73.007382249792002</v>
      </c>
      <c r="M21" s="3">
        <f>EV!G70</f>
        <v>992.25636797395202</v>
      </c>
      <c r="N21" s="3">
        <f>EV!H70</f>
        <v>1073.467681608</v>
      </c>
      <c r="O21" s="3">
        <f>EV!I70</f>
        <v>878.24817768000003</v>
      </c>
    </row>
    <row r="22" spans="1:15" x14ac:dyDescent="0.5">
      <c r="A22" s="3">
        <f t="shared" si="0"/>
        <v>2040</v>
      </c>
      <c r="B22" s="3">
        <f>Population!C23</f>
        <v>43374094.069178417</v>
      </c>
      <c r="C22" s="80">
        <f>Employment!C23</f>
        <v>16728440</v>
      </c>
      <c r="D22" s="80">
        <f>EV!O26</f>
        <v>714881.47739507211</v>
      </c>
      <c r="E22" s="80">
        <f>'Hybrid Vehicle Projection'!E32</f>
        <v>44493.142584000001</v>
      </c>
      <c r="F22" s="47">
        <f>EV!P26</f>
        <v>44311720.808451518</v>
      </c>
      <c r="G22" s="47">
        <f>'Registered Vehicles'!D29</f>
        <v>8522767.7699999996</v>
      </c>
      <c r="H22" s="47">
        <f>'Registered Vehicles'!E29</f>
        <v>23302836.420000076</v>
      </c>
      <c r="I22" s="47">
        <f>'Registered Vehicles'!F29</f>
        <v>59601.879999999888</v>
      </c>
      <c r="J22" s="47">
        <f>'Registered Vehicles'!G29</f>
        <v>631657.0700000003</v>
      </c>
      <c r="K22" s="47">
        <f>'Registered Vehicles'!H29</f>
        <v>32516863.139999986</v>
      </c>
      <c r="L22" s="3">
        <f>EV!D71</f>
        <v>77.620160078783996</v>
      </c>
      <c r="M22" s="3">
        <f>EV!G71</f>
        <v>980.52294380140802</v>
      </c>
      <c r="N22" s="3">
        <f>EV!H71</f>
        <v>1066.2051359760001</v>
      </c>
      <c r="O22" s="3">
        <f>EV!I71</f>
        <v>860.23832786399998</v>
      </c>
    </row>
    <row r="23" spans="1:15" x14ac:dyDescent="0.5">
      <c r="A23" s="3">
        <f t="shared" si="0"/>
        <v>2041</v>
      </c>
      <c r="B23" s="3">
        <f>Population!C24</f>
        <v>44190081.879420996</v>
      </c>
      <c r="C23" s="80">
        <f>Employment!C24</f>
        <v>16901101</v>
      </c>
      <c r="D23" s="80">
        <f>EV!O27</f>
        <v>792501.6374738561</v>
      </c>
      <c r="E23" s="80">
        <f>'Hybrid Vehicle Projection'!E33</f>
        <v>45462.225839999992</v>
      </c>
      <c r="F23" s="47">
        <f>EV!P27</f>
        <v>45292243.752252929</v>
      </c>
      <c r="G23" s="47">
        <f>'Registered Vehicles'!D30</f>
        <v>8529439.4699999988</v>
      </c>
      <c r="H23" s="47">
        <f>'Registered Vehicles'!E30</f>
        <v>23736078.99000001</v>
      </c>
      <c r="I23" s="47">
        <f>'Registered Vehicles'!F30</f>
        <v>58825.939999999944</v>
      </c>
      <c r="J23" s="47">
        <f>'Registered Vehicles'!G30</f>
        <v>640603.12999999896</v>
      </c>
      <c r="K23" s="47">
        <f>'Registered Vehicles'!H30</f>
        <v>32964947.529999971</v>
      </c>
      <c r="L23" s="3">
        <f>EV!D72</f>
        <v>81.147773845247997</v>
      </c>
      <c r="M23" s="3">
        <f>EV!G72</f>
        <v>976.87030982111992</v>
      </c>
      <c r="N23" s="3">
        <f>EV!H72</f>
        <v>1067.827379736</v>
      </c>
      <c r="O23" s="3">
        <f>EV!I72</f>
        <v>849.18057705599983</v>
      </c>
    </row>
    <row r="24" spans="1:15" x14ac:dyDescent="0.5">
      <c r="A24" s="3">
        <f t="shared" si="0"/>
        <v>2042</v>
      </c>
      <c r="B24" s="3">
        <f>Population!C25</f>
        <v>45021420.698618747</v>
      </c>
      <c r="C24" s="80">
        <f>Employment!C25</f>
        <v>17073762</v>
      </c>
      <c r="D24" s="80">
        <f>EV!O28</f>
        <v>873649.41131910414</v>
      </c>
      <c r="E24" s="80">
        <f>'Hybrid Vehicle Projection'!E34</f>
        <v>46558.009631999994</v>
      </c>
      <c r="F24" s="47">
        <f>EV!P28</f>
        <v>46269114.06207405</v>
      </c>
      <c r="G24" s="47">
        <f>'Registered Vehicles'!D31</f>
        <v>8536111.1699999999</v>
      </c>
      <c r="H24" s="47">
        <f>'Registered Vehicles'!E31</f>
        <v>24169321.560000062</v>
      </c>
      <c r="I24" s="47">
        <f>'Registered Vehicles'!F31</f>
        <v>58049.999999999767</v>
      </c>
      <c r="J24" s="47">
        <f>'Registered Vehicles'!G31</f>
        <v>649549.19000000134</v>
      </c>
      <c r="K24" s="47">
        <f>'Registered Vehicles'!H31</f>
        <v>33413031.919999957</v>
      </c>
      <c r="L24" s="3">
        <f>EV!D73</f>
        <v>85.245625005312007</v>
      </c>
      <c r="M24" s="3">
        <f>EV!G73</f>
        <v>975.26947082841593</v>
      </c>
      <c r="N24" s="3">
        <f>EV!H73</f>
        <v>1064.1157766880001</v>
      </c>
      <c r="O24" s="3">
        <f>EV!I73</f>
        <v>850.54292606399986</v>
      </c>
    </row>
    <row r="25" spans="1:15" x14ac:dyDescent="0.5">
      <c r="A25" s="3">
        <f t="shared" si="0"/>
        <v>2043</v>
      </c>
      <c r="B25" s="3">
        <f>Population!C26</f>
        <v>45868399.322109602</v>
      </c>
      <c r="C25" s="80">
        <f>Employment!C26</f>
        <v>17246423</v>
      </c>
      <c r="D25" s="80">
        <f>EV!O29</f>
        <v>958895.03632441617</v>
      </c>
      <c r="E25" s="80">
        <f>'Hybrid Vehicle Projection'!E35</f>
        <v>47316.599519999996</v>
      </c>
      <c r="F25" s="47">
        <f>EV!P29</f>
        <v>47244383.532902464</v>
      </c>
      <c r="G25" s="47">
        <f>'Registered Vehicles'!D32</f>
        <v>8542782.8699999992</v>
      </c>
      <c r="H25" s="47">
        <f>'Registered Vehicles'!E32</f>
        <v>24602564.129999995</v>
      </c>
      <c r="I25" s="47">
        <f>'Registered Vehicles'!F32</f>
        <v>57274.059999999823</v>
      </c>
      <c r="J25" s="47">
        <f>'Registered Vehicles'!G32</f>
        <v>658495.25</v>
      </c>
      <c r="K25" s="47">
        <f>'Registered Vehicles'!H32</f>
        <v>33861116.309999943</v>
      </c>
      <c r="L25" s="3">
        <f>EV!D74</f>
        <v>88.725489402239987</v>
      </c>
      <c r="M25" s="3">
        <f>EV!G74</f>
        <v>966.54031588953603</v>
      </c>
      <c r="N25" s="3">
        <f>EV!H74</f>
        <v>1056.465383664</v>
      </c>
      <c r="O25" s="3">
        <f>EV!I74</f>
        <v>840.29935535999994</v>
      </c>
    </row>
    <row r="26" spans="1:15" x14ac:dyDescent="0.5">
      <c r="A26" s="3">
        <f t="shared" si="0"/>
        <v>2044</v>
      </c>
      <c r="B26" s="3">
        <f>Population!C27</f>
        <v>46731311.978279434</v>
      </c>
      <c r="C26" s="80">
        <f>Employment!C27</f>
        <v>17419084</v>
      </c>
      <c r="D26" s="80">
        <f>EV!O30</f>
        <v>1047620.5257266562</v>
      </c>
      <c r="E26" s="80">
        <f>'Hybrid Vehicle Projection'!E36</f>
        <v>48281.554103999995</v>
      </c>
      <c r="F26" s="47">
        <f>EV!P30</f>
        <v>48210923.848792002</v>
      </c>
      <c r="G26" s="47">
        <f>'Registered Vehicles'!D33</f>
        <v>8549454.5699999984</v>
      </c>
      <c r="H26" s="47">
        <f>'Registered Vehicles'!E33</f>
        <v>25035806.700000048</v>
      </c>
      <c r="I26" s="47">
        <f>'Registered Vehicles'!F33</f>
        <v>56498.119999999879</v>
      </c>
      <c r="J26" s="47">
        <f>'Registered Vehicles'!G33</f>
        <v>667441.31000000238</v>
      </c>
      <c r="K26" s="47">
        <f>'Registered Vehicles'!H33</f>
        <v>34309200.700000048</v>
      </c>
      <c r="L26" s="3">
        <f>EV!D75</f>
        <v>92.425008559487992</v>
      </c>
      <c r="M26" s="3">
        <f>EV!G75</f>
        <v>961.8280427279999</v>
      </c>
      <c r="N26" s="3">
        <f>EV!H75</f>
        <v>1055.3979347279999</v>
      </c>
      <c r="O26" s="3">
        <f>EV!I75</f>
        <v>830.47030972799985</v>
      </c>
    </row>
    <row r="27" spans="1:15" x14ac:dyDescent="0.5">
      <c r="A27" s="3">
        <f t="shared" si="0"/>
        <v>2045</v>
      </c>
      <c r="B27" s="3">
        <f>Population!C28</f>
        <v>47610458.430770203</v>
      </c>
      <c r="C27" s="80">
        <f>Employment!C28</f>
        <v>17591745</v>
      </c>
      <c r="D27" s="80">
        <f>EV!O31</f>
        <v>1140045.5342861442</v>
      </c>
      <c r="E27" s="80">
        <f>'Hybrid Vehicle Projection'!E37</f>
        <v>49629.554376</v>
      </c>
      <c r="F27" s="47">
        <f>EV!P31</f>
        <v>49172751.891520001</v>
      </c>
      <c r="G27" s="47">
        <f>'Registered Vehicles'!D34</f>
        <v>8556126.2699999996</v>
      </c>
      <c r="H27" s="47">
        <f>'Registered Vehicles'!E34</f>
        <v>25469049.269999981</v>
      </c>
      <c r="I27" s="47">
        <f>'Registered Vehicles'!F34</f>
        <v>55722.179999999935</v>
      </c>
      <c r="J27" s="47">
        <f>'Registered Vehicles'!G34</f>
        <v>676387.37000000104</v>
      </c>
      <c r="K27" s="47">
        <f>'Registered Vehicles'!H34</f>
        <v>34757285.090000033</v>
      </c>
      <c r="L27" s="3">
        <f>EV!D76</f>
        <v>96.911765059391982</v>
      </c>
      <c r="M27" s="3">
        <f>EV!G76</f>
        <v>961.69899704505588</v>
      </c>
      <c r="N27" s="3">
        <f>EV!H76</f>
        <v>1058.0806611599999</v>
      </c>
      <c r="O27" s="3">
        <f>EV!I76</f>
        <v>826.39396857599991</v>
      </c>
    </row>
    <row r="28" spans="1:15" x14ac:dyDescent="0.5">
      <c r="A28" s="3">
        <f t="shared" si="0"/>
        <v>2046</v>
      </c>
      <c r="B28" s="3">
        <f>Population!C29</f>
        <v>48506144.082615919</v>
      </c>
      <c r="C28" s="80">
        <f>Employment!C29</f>
        <v>17764406</v>
      </c>
      <c r="D28" s="80">
        <f>EV!O32</f>
        <v>1236957.2993455362</v>
      </c>
      <c r="E28" s="80">
        <f>'Hybrid Vehicle Projection'!E38</f>
        <v>50814.759551999996</v>
      </c>
      <c r="F28" s="47">
        <f>EV!P32</f>
        <v>50134450.888565056</v>
      </c>
      <c r="G28" s="47">
        <f>'Registered Vehicles'!D35</f>
        <v>8562797.9699999988</v>
      </c>
      <c r="H28" s="47">
        <f>'Registered Vehicles'!E35</f>
        <v>25902291.840000033</v>
      </c>
      <c r="I28" s="47">
        <f>'Registered Vehicles'!F35</f>
        <v>54946.239999999758</v>
      </c>
      <c r="J28" s="47">
        <f>'Registered Vehicles'!G35</f>
        <v>685333.4299999997</v>
      </c>
      <c r="K28" s="47">
        <f>'Registered Vehicles'!H35</f>
        <v>35205369.480000019</v>
      </c>
      <c r="L28" s="3">
        <f>EV!D77</f>
        <v>100.87987808889599</v>
      </c>
      <c r="M28" s="3">
        <f>EV!G77</f>
        <v>955.72210588147198</v>
      </c>
      <c r="N28" s="3">
        <f>EV!H77</f>
        <v>1055.327331792</v>
      </c>
      <c r="O28" s="3">
        <f>EV!I77</f>
        <v>815.89169258399988</v>
      </c>
    </row>
    <row r="29" spans="1:15" x14ac:dyDescent="0.5">
      <c r="A29" s="3">
        <f t="shared" si="0"/>
        <v>2047</v>
      </c>
      <c r="B29" s="3">
        <f>Population!C30</f>
        <v>49418680.082334377</v>
      </c>
      <c r="C29" s="80">
        <f>Employment!C30</f>
        <v>17937067</v>
      </c>
      <c r="D29" s="80">
        <f>EV!O33</f>
        <v>1337837.1774344321</v>
      </c>
      <c r="E29" s="80">
        <f>'Hybrid Vehicle Projection'!E39</f>
        <v>51857.028599999998</v>
      </c>
      <c r="F29" s="47">
        <f>EV!P33</f>
        <v>51090172.994446531</v>
      </c>
      <c r="G29" s="47">
        <f>'Registered Vehicles'!D36</f>
        <v>8569469.6699999999</v>
      </c>
      <c r="H29" s="47">
        <f>'Registered Vehicles'!E36</f>
        <v>26335534.409999967</v>
      </c>
      <c r="I29" s="47">
        <f>'Registered Vehicles'!F36</f>
        <v>54170.299999999814</v>
      </c>
      <c r="J29" s="47">
        <f>'Registered Vehicles'!G36</f>
        <v>694279.49000000209</v>
      </c>
      <c r="K29" s="47">
        <f>'Registered Vehicles'!H36</f>
        <v>35653453.870000005</v>
      </c>
      <c r="L29" s="3">
        <f>EV!D78</f>
        <v>105.061290908736</v>
      </c>
      <c r="M29" s="3">
        <f>EV!G78</f>
        <v>949.38653295532799</v>
      </c>
      <c r="N29" s="3">
        <f>EV!H78</f>
        <v>1050.4846438320001</v>
      </c>
      <c r="O29" s="3">
        <f>EV!I78</f>
        <v>807.46033883999985</v>
      </c>
    </row>
    <row r="30" spans="1:15" x14ac:dyDescent="0.5">
      <c r="A30" s="3">
        <f t="shared" si="0"/>
        <v>2048</v>
      </c>
      <c r="B30" s="3">
        <f>Population!C31</f>
        <v>50348383.432014659</v>
      </c>
      <c r="C30" s="80">
        <f>Employment!C31</f>
        <v>18109728</v>
      </c>
      <c r="D30" s="80">
        <f>EV!O34</f>
        <v>1442898.468343168</v>
      </c>
      <c r="E30" s="80">
        <f>'Hybrid Vehicle Projection'!E40</f>
        <v>52946.647223999993</v>
      </c>
      <c r="F30" s="47">
        <f>EV!P34</f>
        <v>52039559.527401857</v>
      </c>
      <c r="G30" s="47">
        <f>'Registered Vehicles'!D37</f>
        <v>8576141.3699999992</v>
      </c>
      <c r="H30" s="47">
        <f>'Registered Vehicles'!E37</f>
        <v>26768776.980000019</v>
      </c>
      <c r="I30" s="47">
        <f>'Registered Vehicles'!F37</f>
        <v>53394.35999999987</v>
      </c>
      <c r="J30" s="47">
        <f>'Registered Vehicles'!G37</f>
        <v>703225.55000000075</v>
      </c>
      <c r="K30" s="47">
        <f>'Registered Vehicles'!H37</f>
        <v>36101538.25999999</v>
      </c>
      <c r="L30" s="3">
        <f>EV!D79</f>
        <v>109.40202360748799</v>
      </c>
      <c r="M30" s="3">
        <f>EV!G79</f>
        <v>941.58823998143987</v>
      </c>
      <c r="N30" s="3">
        <f>EV!H79</f>
        <v>1045.6437390239998</v>
      </c>
      <c r="O30" s="3">
        <f>EV!I79</f>
        <v>795.51032786400003</v>
      </c>
    </row>
    <row r="31" spans="1:15" x14ac:dyDescent="0.5">
      <c r="A31" s="3">
        <f t="shared" si="0"/>
        <v>2049</v>
      </c>
      <c r="B31" s="3">
        <f>Population!C32</f>
        <v>51295577.097441256</v>
      </c>
      <c r="C31" s="80">
        <f>Employment!C32</f>
        <v>18282389</v>
      </c>
      <c r="D31" s="80">
        <f>EV!O35</f>
        <v>1552300.4919506561</v>
      </c>
      <c r="E31" s="80">
        <f>'Hybrid Vehicle Projection'!E41</f>
        <v>53753.866632000005</v>
      </c>
      <c r="F31" s="47">
        <f>EV!P35</f>
        <v>52981147.7673833</v>
      </c>
      <c r="G31" s="47">
        <f>'Registered Vehicles'!D38</f>
        <v>8582813.0699999984</v>
      </c>
      <c r="H31" s="47">
        <f>'Registered Vehicles'!E38</f>
        <v>27202019.550000072</v>
      </c>
      <c r="I31" s="47">
        <f>'Registered Vehicles'!F38</f>
        <v>52618.419999999925</v>
      </c>
      <c r="J31" s="47">
        <f>'Registered Vehicles'!G38</f>
        <v>712171.6099999994</v>
      </c>
      <c r="K31" s="47">
        <f>'Registered Vehicles'!H38</f>
        <v>36549622.649999976</v>
      </c>
      <c r="L31" s="3">
        <f>EV!D80</f>
        <v>113.42057077363198</v>
      </c>
      <c r="M31" s="3">
        <f>EV!G80</f>
        <v>934.33205340633594</v>
      </c>
      <c r="N31" s="3">
        <f>EV!H80</f>
        <v>1041.4941619680001</v>
      </c>
      <c r="O31" s="3">
        <f>EV!I80</f>
        <v>783.89293946399982</v>
      </c>
    </row>
    <row r="32" spans="1:15" x14ac:dyDescent="0.5">
      <c r="A32" s="3">
        <f t="shared" si="0"/>
        <v>2050</v>
      </c>
      <c r="B32" s="3">
        <f>Population!C33</f>
        <v>52260590.120286845</v>
      </c>
      <c r="C32" s="80">
        <f>Employment!C33</f>
        <v>18455050</v>
      </c>
      <c r="D32" s="80">
        <f>EV!O36</f>
        <v>1665721.0627242881</v>
      </c>
      <c r="E32" s="80">
        <f>'Hybrid Vehicle Projection'!E42</f>
        <v>54562.572695999996</v>
      </c>
      <c r="F32" s="47">
        <f>EV!P36</f>
        <v>53915479.820789635</v>
      </c>
      <c r="G32" s="47">
        <f>'Registered Vehicles'!D39</f>
        <v>8589484.7699999996</v>
      </c>
      <c r="H32" s="47">
        <f>'Registered Vehicles'!E39</f>
        <v>27635262.120000005</v>
      </c>
      <c r="I32" s="47">
        <f>'Registered Vehicles'!F39</f>
        <v>51842.479999999981</v>
      </c>
      <c r="J32" s="47">
        <f>'Registered Vehicles'!G39</f>
        <v>721117.67000000179</v>
      </c>
      <c r="K32" s="47">
        <f>'Registered Vehicles'!H39</f>
        <v>36997707.039999962</v>
      </c>
      <c r="L32" s="3">
        <f>EV!D81</f>
        <v>117.100388403648</v>
      </c>
      <c r="M32" s="3">
        <f>EV!G81</f>
        <v>923.65342605907199</v>
      </c>
      <c r="N32" s="3">
        <f>EV!H81</f>
        <v>1036.2316816079999</v>
      </c>
      <c r="O32" s="3">
        <f>EV!I81</f>
        <v>765.61087499999996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932C-374C-4906-90FF-D7C76A7A61E0}">
  <dimension ref="A1:BJ316"/>
  <sheetViews>
    <sheetView zoomScale="80" zoomScaleNormal="80" workbookViewId="0">
      <selection activeCell="BF169" sqref="BF169"/>
    </sheetView>
  </sheetViews>
  <sheetFormatPr defaultRowHeight="14.35" x14ac:dyDescent="0.5"/>
  <cols>
    <col min="3" max="3" width="25" bestFit="1" customWidth="1"/>
    <col min="4" max="4" width="16" customWidth="1"/>
    <col min="5" max="5" width="12.703125" customWidth="1"/>
    <col min="7" max="7" width="14.703125" customWidth="1"/>
    <col min="8" max="8" width="17.5859375" customWidth="1"/>
    <col min="9" max="9" width="17.87890625" customWidth="1"/>
    <col min="12" max="12" width="59.29296875" customWidth="1"/>
    <col min="13" max="13" width="32" customWidth="1"/>
    <col min="14" max="14" width="15.29296875" bestFit="1" customWidth="1"/>
    <col min="15" max="15" width="16.29296875" bestFit="1" customWidth="1"/>
    <col min="16" max="16" width="15.703125" bestFit="1" customWidth="1"/>
    <col min="17" max="17" width="25.41015625" bestFit="1" customWidth="1"/>
    <col min="18" max="18" width="12.703125" bestFit="1" customWidth="1"/>
    <col min="19" max="19" width="12.703125" customWidth="1"/>
    <col min="20" max="20" width="12.703125" bestFit="1" customWidth="1"/>
    <col min="23" max="23" width="33.41015625" bestFit="1" customWidth="1"/>
    <col min="24" max="24" width="14.87890625" bestFit="1" customWidth="1"/>
    <col min="35" max="35" width="40" customWidth="1"/>
    <col min="36" max="36" width="14.5859375" bestFit="1" customWidth="1"/>
    <col min="37" max="37" width="15.5859375" bestFit="1" customWidth="1"/>
    <col min="38" max="38" width="16.703125" bestFit="1" customWidth="1"/>
    <col min="39" max="39" width="16.703125" customWidth="1"/>
    <col min="40" max="40" width="50" bestFit="1" customWidth="1"/>
    <col min="41" max="41" width="24.5859375" bestFit="1" customWidth="1"/>
    <col min="42" max="42" width="27.1171875" bestFit="1" customWidth="1"/>
    <col min="43" max="43" width="28" bestFit="1" customWidth="1"/>
    <col min="47" max="47" width="17.5859375" bestFit="1" customWidth="1"/>
  </cols>
  <sheetData>
    <row r="1" spans="1:62" x14ac:dyDescent="0.5">
      <c r="A1" s="70"/>
      <c r="B1" s="71"/>
      <c r="C1" s="71"/>
      <c r="D1" s="71"/>
      <c r="E1" s="71"/>
      <c r="F1" s="71"/>
      <c r="G1" s="71"/>
      <c r="H1" s="71"/>
      <c r="I1" s="71"/>
      <c r="J1" s="72"/>
      <c r="L1" t="s">
        <v>69</v>
      </c>
      <c r="T1" s="43" t="s">
        <v>103</v>
      </c>
    </row>
    <row r="2" spans="1:62" x14ac:dyDescent="0.5">
      <c r="A2" s="73"/>
      <c r="B2" s="69" t="s">
        <v>39</v>
      </c>
      <c r="C2" s="69"/>
      <c r="D2" s="69" t="s">
        <v>67</v>
      </c>
      <c r="E2" s="69"/>
      <c r="F2" s="69">
        <v>48</v>
      </c>
      <c r="G2" s="69"/>
      <c r="H2" s="69"/>
      <c r="I2" s="69"/>
      <c r="J2" s="74"/>
      <c r="L2" s="45" t="s">
        <v>71</v>
      </c>
      <c r="T2" s="25" t="s">
        <v>104</v>
      </c>
    </row>
    <row r="3" spans="1:62" x14ac:dyDescent="0.5">
      <c r="A3" s="73"/>
      <c r="B3" s="69"/>
      <c r="C3" s="69"/>
      <c r="D3" s="69" t="s">
        <v>68</v>
      </c>
      <c r="E3" s="69"/>
      <c r="F3" s="69">
        <v>173</v>
      </c>
      <c r="G3" s="69"/>
      <c r="H3" s="69"/>
      <c r="I3" s="69"/>
      <c r="J3" s="74"/>
      <c r="T3" t="s">
        <v>105</v>
      </c>
    </row>
    <row r="4" spans="1:62" x14ac:dyDescent="0.5">
      <c r="A4" s="73"/>
      <c r="B4" s="69"/>
      <c r="C4" s="69"/>
      <c r="D4" s="69" t="s">
        <v>70</v>
      </c>
      <c r="E4" s="69"/>
      <c r="F4" s="69">
        <f>'INPUT TABLE'!B4</f>
        <v>100</v>
      </c>
      <c r="G4" s="69"/>
      <c r="H4" s="69"/>
      <c r="I4" s="69"/>
      <c r="J4" s="74"/>
      <c r="L4" s="48" t="s">
        <v>74</v>
      </c>
      <c r="T4" t="s">
        <v>106</v>
      </c>
    </row>
    <row r="5" spans="1:62" x14ac:dyDescent="0.5">
      <c r="A5" s="73"/>
      <c r="B5" s="69"/>
      <c r="C5" s="69"/>
      <c r="D5" s="69"/>
      <c r="E5" s="69"/>
      <c r="F5" s="69"/>
      <c r="G5" s="69"/>
      <c r="H5" s="69"/>
      <c r="I5" s="69"/>
      <c r="J5" s="74"/>
      <c r="L5" s="83" t="s">
        <v>33</v>
      </c>
      <c r="M5" s="84" t="s">
        <v>83</v>
      </c>
      <c r="N5" s="7" t="s">
        <v>769</v>
      </c>
      <c r="O5" s="7" t="s">
        <v>51</v>
      </c>
      <c r="P5" s="7" t="s">
        <v>768</v>
      </c>
      <c r="T5" t="s">
        <v>107</v>
      </c>
    </row>
    <row r="6" spans="1:62" x14ac:dyDescent="0.5">
      <c r="A6" s="73"/>
      <c r="B6" s="69" t="s">
        <v>42</v>
      </c>
      <c r="C6" s="69"/>
      <c r="D6" s="69"/>
      <c r="E6" s="69"/>
      <c r="F6" s="69"/>
      <c r="G6" s="69"/>
      <c r="H6" s="69"/>
      <c r="I6" s="69"/>
      <c r="J6" s="74"/>
      <c r="L6" s="10">
        <v>2020</v>
      </c>
      <c r="M6" s="4">
        <v>31129.295999999995</v>
      </c>
      <c r="N6" s="47">
        <f>Q52</f>
        <v>36418</v>
      </c>
      <c r="O6" s="47">
        <v>36418</v>
      </c>
      <c r="P6" s="47">
        <f>EV!$Q$68</f>
        <v>23772268</v>
      </c>
      <c r="T6" t="s">
        <v>108</v>
      </c>
    </row>
    <row r="7" spans="1:62" x14ac:dyDescent="0.5">
      <c r="A7" s="73"/>
      <c r="B7" s="69"/>
      <c r="C7" s="69"/>
      <c r="D7" s="69"/>
      <c r="E7" s="69"/>
      <c r="F7" s="69"/>
      <c r="G7" s="69"/>
      <c r="H7" s="69"/>
      <c r="I7" s="69"/>
      <c r="J7" s="74"/>
      <c r="L7" s="10">
        <v>2021</v>
      </c>
      <c r="M7" s="4">
        <v>45572.687999999995</v>
      </c>
      <c r="N7" s="47">
        <f t="shared" ref="N7:N16" si="0">N6+M6</f>
        <v>67547.296000000002</v>
      </c>
      <c r="O7" s="47">
        <f>EV!D51*1000+O6</f>
        <v>49380.808850560003</v>
      </c>
      <c r="P7" s="47">
        <f>P6+EV!$G51*1000</f>
        <v>24653697.90763725</v>
      </c>
      <c r="T7" t="s">
        <v>109</v>
      </c>
      <c r="U7" t="s">
        <v>110</v>
      </c>
      <c r="W7" t="s">
        <v>111</v>
      </c>
      <c r="X7">
        <v>2019</v>
      </c>
      <c r="Y7">
        <v>2020</v>
      </c>
      <c r="Z7">
        <v>2021</v>
      </c>
      <c r="AA7">
        <v>2022</v>
      </c>
      <c r="AB7">
        <v>2023</v>
      </c>
      <c r="AC7">
        <v>2024</v>
      </c>
      <c r="AD7">
        <v>2025</v>
      </c>
      <c r="AE7">
        <v>2026</v>
      </c>
      <c r="AF7">
        <v>2027</v>
      </c>
      <c r="AG7">
        <v>2028</v>
      </c>
      <c r="AH7">
        <v>2029</v>
      </c>
      <c r="AI7">
        <v>2030</v>
      </c>
      <c r="AK7">
        <v>2031</v>
      </c>
      <c r="AM7">
        <v>2032</v>
      </c>
      <c r="AO7">
        <v>2033</v>
      </c>
      <c r="AQ7">
        <v>2034</v>
      </c>
      <c r="AR7">
        <v>2035</v>
      </c>
      <c r="AS7">
        <v>2036</v>
      </c>
      <c r="AV7">
        <v>2037</v>
      </c>
      <c r="AW7">
        <v>2038</v>
      </c>
      <c r="AX7">
        <v>2039</v>
      </c>
      <c r="AY7">
        <v>2040</v>
      </c>
      <c r="AZ7">
        <v>2041</v>
      </c>
      <c r="BA7">
        <v>2042</v>
      </c>
      <c r="BB7">
        <v>2043</v>
      </c>
      <c r="BC7">
        <v>2044</v>
      </c>
      <c r="BD7">
        <v>2045</v>
      </c>
      <c r="BE7">
        <v>2046</v>
      </c>
      <c r="BF7">
        <v>2047</v>
      </c>
      <c r="BG7">
        <v>2048</v>
      </c>
      <c r="BH7">
        <v>2049</v>
      </c>
      <c r="BI7">
        <v>2050</v>
      </c>
      <c r="BJ7" t="s">
        <v>112</v>
      </c>
    </row>
    <row r="8" spans="1:62" x14ac:dyDescent="0.5">
      <c r="A8" s="73"/>
      <c r="B8" s="69"/>
      <c r="C8" s="69"/>
      <c r="D8" s="69"/>
      <c r="E8" s="69"/>
      <c r="F8" s="69"/>
      <c r="G8" s="69"/>
      <c r="H8" s="69"/>
      <c r="I8" s="69"/>
      <c r="J8" s="74"/>
      <c r="L8" s="10">
        <v>2022</v>
      </c>
      <c r="M8" s="4">
        <v>45139.079999999994</v>
      </c>
      <c r="N8" s="47">
        <f t="shared" si="0"/>
        <v>113119.984</v>
      </c>
      <c r="O8" s="47">
        <f>EV!D52*1000+O7</f>
        <v>62862.283838848001</v>
      </c>
      <c r="P8" s="47">
        <f>P7+EV!$G52*1000</f>
        <v>25631464.422760386</v>
      </c>
      <c r="T8" t="s">
        <v>113</v>
      </c>
    </row>
    <row r="9" spans="1:62" ht="28.7" x14ac:dyDescent="0.5">
      <c r="A9" s="73"/>
      <c r="B9" s="83" t="s">
        <v>33</v>
      </c>
      <c r="C9" s="84" t="s">
        <v>81</v>
      </c>
      <c r="D9" s="7" t="s">
        <v>82</v>
      </c>
      <c r="E9" s="87"/>
      <c r="F9" s="69"/>
      <c r="G9" s="69"/>
      <c r="H9" s="69"/>
      <c r="I9" s="69"/>
      <c r="J9" s="74"/>
      <c r="L9" s="10">
        <v>2023</v>
      </c>
      <c r="M9" s="4">
        <v>46279.824000000001</v>
      </c>
      <c r="N9" s="47">
        <f t="shared" si="0"/>
        <v>158259.06399999998</v>
      </c>
      <c r="O9" s="47">
        <f>EV!D53*1000+O8</f>
        <v>77551.843516480003</v>
      </c>
      <c r="P9" s="47">
        <f>P8+EV!$G53*1000</f>
        <v>26672899.518087041</v>
      </c>
      <c r="T9" t="s">
        <v>114</v>
      </c>
    </row>
    <row r="10" spans="1:62" x14ac:dyDescent="0.5">
      <c r="A10" s="73"/>
      <c r="B10" s="10">
        <f>'INPUT TABLE'!B$1</f>
        <v>2020</v>
      </c>
      <c r="C10" s="82">
        <f t="shared" ref="C10:C40" si="1">D51</f>
        <v>12.96280885056</v>
      </c>
      <c r="D10" s="85">
        <f>N6*(('INPUT TABLE'!B$10/100)+1)</f>
        <v>40059.800000000003</v>
      </c>
      <c r="E10" s="88"/>
      <c r="F10" s="69"/>
      <c r="G10" s="69"/>
      <c r="H10" s="69"/>
      <c r="I10" s="69"/>
      <c r="J10" s="74"/>
      <c r="L10" s="10">
        <v>2024</v>
      </c>
      <c r="M10" s="4">
        <v>49423.655999999995</v>
      </c>
      <c r="N10" s="47">
        <f t="shared" si="0"/>
        <v>204538.88799999998</v>
      </c>
      <c r="O10" s="47">
        <f>EV!D54*1000+O9</f>
        <v>92664.530993152002</v>
      </c>
      <c r="P10" s="47">
        <f>P9+EV!$G54*1000</f>
        <v>27712363.546875905</v>
      </c>
      <c r="Q10" s="27"/>
      <c r="R10" s="27"/>
      <c r="S10" s="27"/>
      <c r="T10" t="s">
        <v>115</v>
      </c>
      <c r="U10" t="s">
        <v>116</v>
      </c>
      <c r="W10" t="s">
        <v>117</v>
      </c>
      <c r="Y10">
        <v>524.99713099999997</v>
      </c>
      <c r="Z10">
        <v>558.87066700000003</v>
      </c>
      <c r="AA10">
        <v>611.24322500000005</v>
      </c>
      <c r="AB10">
        <v>605.22808799999996</v>
      </c>
      <c r="AC10">
        <v>604.628601</v>
      </c>
      <c r="AD10">
        <v>612.51385500000004</v>
      </c>
      <c r="AE10">
        <v>604.62188700000002</v>
      </c>
      <c r="AF10">
        <v>593.58294699999999</v>
      </c>
      <c r="AG10">
        <v>599.57592799999998</v>
      </c>
      <c r="AH10">
        <v>603.20812999999998</v>
      </c>
      <c r="AI10">
        <v>608.46820100000002</v>
      </c>
      <c r="AK10">
        <v>612.21246299999996</v>
      </c>
      <c r="AM10">
        <v>613.88122599999997</v>
      </c>
      <c r="AO10">
        <v>615.36883499999999</v>
      </c>
      <c r="AQ10">
        <v>616.71246299999996</v>
      </c>
      <c r="AR10">
        <v>611.80828899999995</v>
      </c>
      <c r="AS10">
        <v>604.97955300000001</v>
      </c>
      <c r="AV10">
        <v>600.18292199999996</v>
      </c>
      <c r="AW10">
        <v>597.42443800000001</v>
      </c>
      <c r="AX10">
        <v>589.68255599999998</v>
      </c>
      <c r="AY10">
        <v>585.21636999999998</v>
      </c>
      <c r="AZ10">
        <v>583.81976299999997</v>
      </c>
      <c r="BA10">
        <v>582.71691899999996</v>
      </c>
      <c r="BB10">
        <v>576.30957000000001</v>
      </c>
      <c r="BC10">
        <v>571.48968500000001</v>
      </c>
      <c r="BD10">
        <v>569.08575399999995</v>
      </c>
      <c r="BE10">
        <v>566.72351100000003</v>
      </c>
      <c r="BF10">
        <v>561.41784700000005</v>
      </c>
      <c r="BG10">
        <v>555.79620399999999</v>
      </c>
      <c r="BH10">
        <v>545.57611099999997</v>
      </c>
      <c r="BI10">
        <v>535.39184599999999</v>
      </c>
      <c r="BJ10">
        <v>1E-3</v>
      </c>
    </row>
    <row r="11" spans="1:62" x14ac:dyDescent="0.5">
      <c r="A11" s="73"/>
      <c r="B11" s="10">
        <f>B10+1</f>
        <v>2021</v>
      </c>
      <c r="C11" s="82">
        <f t="shared" si="1"/>
        <v>13.481474988287999</v>
      </c>
      <c r="D11" s="85">
        <f>N7*(('INPUT TABLE'!B$10/100)+1)</f>
        <v>74302.025600000008</v>
      </c>
      <c r="E11" s="88"/>
      <c r="F11" s="69"/>
      <c r="G11" s="69"/>
      <c r="H11" s="69"/>
      <c r="I11" s="69"/>
      <c r="J11" s="74"/>
      <c r="L11" s="10">
        <v>2025</v>
      </c>
      <c r="M11" s="4">
        <v>53067.216</v>
      </c>
      <c r="N11" s="47">
        <f t="shared" si="0"/>
        <v>253962.54399999997</v>
      </c>
      <c r="O11" s="47">
        <f>EV!D55*1000+O10</f>
        <v>108858.02691980801</v>
      </c>
      <c r="P11" s="47">
        <f>P10+EV!$G55*1000</f>
        <v>28757568.96571821</v>
      </c>
      <c r="T11" t="s">
        <v>118</v>
      </c>
      <c r="U11" t="s">
        <v>119</v>
      </c>
      <c r="W11" t="s">
        <v>117</v>
      </c>
      <c r="Y11">
        <v>9.7109999999999991E-3</v>
      </c>
      <c r="Z11">
        <v>9.5219999999999992E-3</v>
      </c>
      <c r="AA11">
        <v>1.0498E-2</v>
      </c>
      <c r="AB11">
        <v>1.0012999999999999E-2</v>
      </c>
      <c r="AC11">
        <v>9.6780000000000008E-3</v>
      </c>
      <c r="AD11">
        <v>9.7400000000000004E-3</v>
      </c>
      <c r="AE11">
        <v>9.6690000000000005E-3</v>
      </c>
      <c r="AF11">
        <v>9.3900000000000008E-3</v>
      </c>
      <c r="AG11">
        <v>9.4579999999999994E-3</v>
      </c>
      <c r="AH11">
        <v>9.6460000000000001E-3</v>
      </c>
      <c r="AI11">
        <v>9.8160000000000001E-3</v>
      </c>
      <c r="AK11">
        <v>9.92E-3</v>
      </c>
      <c r="AM11">
        <v>9.9740000000000002E-3</v>
      </c>
      <c r="AO11">
        <v>1.0093E-2</v>
      </c>
      <c r="AQ11">
        <v>1.0200000000000001E-2</v>
      </c>
      <c r="AR11">
        <v>1.0194999999999999E-2</v>
      </c>
      <c r="AS11">
        <v>1.0175E-2</v>
      </c>
      <c r="AV11">
        <v>1.0089000000000001E-2</v>
      </c>
      <c r="AW11">
        <v>1.0078999999999999E-2</v>
      </c>
      <c r="AX11">
        <v>1.0004000000000001E-2</v>
      </c>
      <c r="AY11">
        <v>9.8580000000000004E-3</v>
      </c>
      <c r="AZ11">
        <v>9.8630000000000002E-3</v>
      </c>
      <c r="BA11">
        <v>9.8569999999999994E-3</v>
      </c>
      <c r="BB11">
        <v>9.6900000000000007E-3</v>
      </c>
      <c r="BC11">
        <v>9.6450000000000008E-3</v>
      </c>
      <c r="BD11">
        <v>9.4959999999999992E-3</v>
      </c>
      <c r="BE11">
        <v>9.4109999999999992E-3</v>
      </c>
      <c r="BF11">
        <v>9.2639999999999997E-3</v>
      </c>
      <c r="BG11">
        <v>9.2350000000000002E-3</v>
      </c>
      <c r="BH11">
        <v>8.9589999999999999E-3</v>
      </c>
      <c r="BI11">
        <v>8.7770000000000001E-3</v>
      </c>
      <c r="BJ11">
        <v>-3.0000000000000001E-3</v>
      </c>
    </row>
    <row r="12" spans="1:62" x14ac:dyDescent="0.5">
      <c r="A12" s="73"/>
      <c r="B12" s="10">
        <f t="shared" ref="B12:B40" si="2">B11+1</f>
        <v>2022</v>
      </c>
      <c r="C12" s="82">
        <f t="shared" si="1"/>
        <v>14.689559677631998</v>
      </c>
      <c r="D12" s="85">
        <f>N8*(('INPUT TABLE'!B$10/100)+1)</f>
        <v>124431.98240000001</v>
      </c>
      <c r="E12" s="88"/>
      <c r="F12" s="69"/>
      <c r="G12" s="69"/>
      <c r="H12" s="69"/>
      <c r="I12" s="69"/>
      <c r="J12" s="74"/>
      <c r="L12" s="10">
        <v>2026</v>
      </c>
      <c r="M12" s="4">
        <v>57154.823999999993</v>
      </c>
      <c r="N12" s="47">
        <f t="shared" si="0"/>
        <v>307029.75999999995</v>
      </c>
      <c r="O12" s="47">
        <f>EV!D56*1000+O11</f>
        <v>126321.270407488</v>
      </c>
      <c r="P12" s="47">
        <f>P11+EV!$G56*1000</f>
        <v>29832040.374115843</v>
      </c>
      <c r="T12" t="s">
        <v>120</v>
      </c>
      <c r="U12" t="s">
        <v>121</v>
      </c>
      <c r="W12" t="s">
        <v>117</v>
      </c>
      <c r="Y12">
        <v>525.00683600000002</v>
      </c>
      <c r="Z12">
        <v>558.88018799999998</v>
      </c>
      <c r="AA12">
        <v>611.25372300000004</v>
      </c>
      <c r="AB12">
        <v>605.23809800000004</v>
      </c>
      <c r="AC12">
        <v>604.63830600000006</v>
      </c>
      <c r="AD12">
        <v>612.52362100000005</v>
      </c>
      <c r="AE12">
        <v>604.631531</v>
      </c>
      <c r="AF12">
        <v>593.59234600000002</v>
      </c>
      <c r="AG12">
        <v>599.58538799999997</v>
      </c>
      <c r="AH12">
        <v>603.21777299999997</v>
      </c>
      <c r="AI12">
        <v>608.478027</v>
      </c>
      <c r="AK12">
        <v>612.22241199999996</v>
      </c>
      <c r="AM12">
        <v>613.89117399999998</v>
      </c>
      <c r="AO12">
        <v>615.37890600000003</v>
      </c>
      <c r="AQ12">
        <v>616.72265600000003</v>
      </c>
      <c r="AR12">
        <v>611.81848100000002</v>
      </c>
      <c r="AS12">
        <v>604.98974599999997</v>
      </c>
      <c r="AV12">
        <v>600.192993</v>
      </c>
      <c r="AW12">
        <v>597.43450900000005</v>
      </c>
      <c r="AX12">
        <v>589.69256600000006</v>
      </c>
      <c r="AY12">
        <v>585.22625700000003</v>
      </c>
      <c r="AZ12">
        <v>583.82965100000001</v>
      </c>
      <c r="BA12">
        <v>582.72680700000001</v>
      </c>
      <c r="BB12">
        <v>576.31927499999995</v>
      </c>
      <c r="BC12">
        <v>571.49932899999999</v>
      </c>
      <c r="BD12">
        <v>569.09527600000001</v>
      </c>
      <c r="BE12">
        <v>566.73290999999995</v>
      </c>
      <c r="BF12">
        <v>561.42712400000005</v>
      </c>
      <c r="BG12">
        <v>555.80542000000003</v>
      </c>
      <c r="BH12">
        <v>545.58508300000005</v>
      </c>
      <c r="BI12">
        <v>535.40063499999997</v>
      </c>
      <c r="BJ12">
        <v>1E-3</v>
      </c>
    </row>
    <row r="13" spans="1:62" x14ac:dyDescent="0.5">
      <c r="A13" s="73"/>
      <c r="B13" s="10">
        <f t="shared" si="2"/>
        <v>2023</v>
      </c>
      <c r="C13" s="82">
        <f t="shared" si="1"/>
        <v>15.112687476672001</v>
      </c>
      <c r="D13" s="85">
        <f>N9*(('INPUT TABLE'!B$10/100)+1)</f>
        <v>174084.97039999999</v>
      </c>
      <c r="E13" s="88"/>
      <c r="F13" s="69"/>
      <c r="G13" s="69"/>
      <c r="H13" s="69"/>
      <c r="I13" s="69"/>
      <c r="J13" s="74"/>
      <c r="L13" s="10">
        <v>2027</v>
      </c>
      <c r="M13" s="4">
        <v>60022.34399999999</v>
      </c>
      <c r="N13" s="47">
        <f t="shared" si="0"/>
        <v>364184.58399999992</v>
      </c>
      <c r="O13" s="47">
        <f>EV!D57*1000+O12</f>
        <v>145034.18756339201</v>
      </c>
      <c r="P13" s="47">
        <f>P12+EV!$G57*1000</f>
        <v>30903497.026302595</v>
      </c>
      <c r="T13" t="s">
        <v>122</v>
      </c>
    </row>
    <row r="14" spans="1:62" x14ac:dyDescent="0.5">
      <c r="A14" s="73"/>
      <c r="B14" s="10">
        <f t="shared" si="2"/>
        <v>2024</v>
      </c>
      <c r="C14" s="82">
        <f t="shared" si="1"/>
        <v>16.193495926655999</v>
      </c>
      <c r="D14" s="85">
        <f>N10*(('INPUT TABLE'!B$10/100)+1)</f>
        <v>224992.77679999999</v>
      </c>
      <c r="E14" s="88"/>
      <c r="F14" s="69"/>
      <c r="G14" s="69"/>
      <c r="H14" s="69"/>
      <c r="I14" s="69"/>
      <c r="J14" s="74"/>
      <c r="L14" s="10">
        <v>2028</v>
      </c>
      <c r="M14" s="4">
        <v>62804.95199999999</v>
      </c>
      <c r="N14" s="47">
        <f t="shared" si="0"/>
        <v>424206.9279999999</v>
      </c>
      <c r="O14" s="47">
        <f>EV!D58*1000+O13</f>
        <v>165101.210910208</v>
      </c>
      <c r="P14" s="47">
        <f>P13+EV!$G58*1000</f>
        <v>31953919.63555437</v>
      </c>
      <c r="T14" t="s">
        <v>123</v>
      </c>
      <c r="U14" t="s">
        <v>124</v>
      </c>
      <c r="W14" t="s">
        <v>117</v>
      </c>
      <c r="Y14">
        <v>9.8049269999999993</v>
      </c>
      <c r="Z14">
        <v>10.450805000000001</v>
      </c>
      <c r="AA14">
        <v>11.457767</v>
      </c>
      <c r="AB14">
        <v>11.468961999999999</v>
      </c>
      <c r="AC14">
        <v>11.546670000000001</v>
      </c>
      <c r="AD14">
        <v>11.759157999999999</v>
      </c>
      <c r="AE14">
        <v>11.692943</v>
      </c>
      <c r="AF14">
        <v>11.530188000000001</v>
      </c>
      <c r="AG14">
        <v>11.701528</v>
      </c>
      <c r="AH14">
        <v>11.830911</v>
      </c>
      <c r="AI14">
        <v>12.019792000000001</v>
      </c>
      <c r="AK14">
        <v>12.155355</v>
      </c>
      <c r="AM14">
        <v>12.248659</v>
      </c>
      <c r="AO14">
        <v>12.347481999999999</v>
      </c>
      <c r="AQ14">
        <v>12.436912</v>
      </c>
      <c r="AR14">
        <v>12.407076999999999</v>
      </c>
      <c r="AS14">
        <v>12.335095000000001</v>
      </c>
      <c r="AV14">
        <v>12.303509</v>
      </c>
      <c r="AW14">
        <v>12.313116000000001</v>
      </c>
      <c r="AX14">
        <v>12.224100999999999</v>
      </c>
      <c r="AY14">
        <v>12.193883</v>
      </c>
      <c r="AZ14">
        <v>12.229832</v>
      </c>
      <c r="BA14">
        <v>12.266972000000001</v>
      </c>
      <c r="BB14">
        <v>12.193935</v>
      </c>
      <c r="BC14">
        <v>12.154118</v>
      </c>
      <c r="BD14">
        <v>12.167439</v>
      </c>
      <c r="BE14">
        <v>12.177628</v>
      </c>
      <c r="BF14">
        <v>12.137675</v>
      </c>
      <c r="BG14">
        <v>12.085032999999999</v>
      </c>
      <c r="BH14">
        <v>11.935778000000001</v>
      </c>
      <c r="BI14">
        <v>11.779823</v>
      </c>
      <c r="BJ14">
        <v>6.0000000000000001E-3</v>
      </c>
    </row>
    <row r="15" spans="1:62" x14ac:dyDescent="0.5">
      <c r="A15" s="73"/>
      <c r="B15" s="10">
        <f t="shared" si="2"/>
        <v>2025</v>
      </c>
      <c r="C15" s="82">
        <f t="shared" si="1"/>
        <v>17.46324348768</v>
      </c>
      <c r="D15" s="85">
        <f>N11*(('INPUT TABLE'!B$10/100)+1)</f>
        <v>279358.79839999997</v>
      </c>
      <c r="E15" s="88"/>
      <c r="F15" s="69"/>
      <c r="G15" s="69"/>
      <c r="H15" s="69"/>
      <c r="I15" s="69"/>
      <c r="J15" s="74"/>
      <c r="L15" s="10">
        <v>2029</v>
      </c>
      <c r="M15" s="82">
        <f>M14+3347.8</f>
        <v>66152.751999999993</v>
      </c>
      <c r="N15" s="47">
        <f t="shared" si="0"/>
        <v>487011.87999999989</v>
      </c>
      <c r="O15" s="47">
        <f>EV!D59*1000+O14</f>
        <v>187528.82844217599</v>
      </c>
      <c r="P15" s="47">
        <f>P14+EV!$G59*1000</f>
        <v>33004862.644139778</v>
      </c>
      <c r="T15" t="s">
        <v>125</v>
      </c>
      <c r="U15" t="s">
        <v>126</v>
      </c>
      <c r="W15" t="s">
        <v>117</v>
      </c>
      <c r="Y15">
        <v>0.23224500000000001</v>
      </c>
      <c r="Z15">
        <v>0.24315800000000001</v>
      </c>
      <c r="AA15">
        <v>0.25275999999999998</v>
      </c>
      <c r="AB15">
        <v>0.24435100000000001</v>
      </c>
      <c r="AC15">
        <v>0.24655299999999999</v>
      </c>
      <c r="AD15">
        <v>0.25841199999999998</v>
      </c>
      <c r="AE15">
        <v>0.26933200000000002</v>
      </c>
      <c r="AF15">
        <v>0.28041700000000003</v>
      </c>
      <c r="AG15">
        <v>0.30311100000000002</v>
      </c>
      <c r="AH15">
        <v>0.32610800000000001</v>
      </c>
      <c r="AI15">
        <v>0.35397000000000001</v>
      </c>
      <c r="AK15">
        <v>0.37893199999999999</v>
      </c>
      <c r="AM15">
        <v>0.40339700000000001</v>
      </c>
      <c r="AO15">
        <v>0.425568</v>
      </c>
      <c r="AQ15">
        <v>0.44597300000000001</v>
      </c>
      <c r="AR15">
        <v>0.459953</v>
      </c>
      <c r="AS15">
        <v>0.47028500000000001</v>
      </c>
      <c r="AV15">
        <v>0.48027999999999998</v>
      </c>
      <c r="AW15">
        <v>0.49030099999999999</v>
      </c>
      <c r="AX15">
        <v>0.49460399999999999</v>
      </c>
      <c r="AY15">
        <v>0.50084600000000001</v>
      </c>
      <c r="AZ15">
        <v>0.50741800000000004</v>
      </c>
      <c r="BA15">
        <v>0.51391900000000001</v>
      </c>
      <c r="BB15">
        <v>0.51543099999999997</v>
      </c>
      <c r="BC15">
        <v>0.51777899999999999</v>
      </c>
      <c r="BD15">
        <v>0.52197300000000002</v>
      </c>
      <c r="BE15">
        <v>0.526505</v>
      </c>
      <c r="BF15">
        <v>0.52832299999999999</v>
      </c>
      <c r="BG15">
        <v>0.529671</v>
      </c>
      <c r="BH15">
        <v>0.52645399999999998</v>
      </c>
      <c r="BI15">
        <v>0.52290499999999995</v>
      </c>
      <c r="BJ15">
        <v>2.7E-2</v>
      </c>
    </row>
    <row r="16" spans="1:62" x14ac:dyDescent="0.5">
      <c r="A16" s="73"/>
      <c r="B16" s="10">
        <f t="shared" si="2"/>
        <v>2026</v>
      </c>
      <c r="C16" s="82">
        <f t="shared" si="1"/>
        <v>18.712917155904002</v>
      </c>
      <c r="D16" s="85">
        <f>N12*(('INPUT TABLE'!B$10/100)+1)</f>
        <v>337732.73599999998</v>
      </c>
      <c r="E16" s="88"/>
      <c r="F16" s="69"/>
      <c r="G16" s="69"/>
      <c r="H16" s="69"/>
      <c r="I16" s="69"/>
      <c r="J16" s="74"/>
      <c r="L16" s="10">
        <v>2030</v>
      </c>
      <c r="M16" s="82">
        <f t="shared" ref="M16:M36" si="3">M15+3347.8</f>
        <v>69500.551999999996</v>
      </c>
      <c r="N16" s="47">
        <f t="shared" si="0"/>
        <v>553164.63199999987</v>
      </c>
      <c r="O16" s="47">
        <f>EV!D60*1000+O15</f>
        <v>212881.54330912</v>
      </c>
      <c r="P16" s="47">
        <f>P15+EV!$G60*1000</f>
        <v>34056925.564899519</v>
      </c>
      <c r="T16" t="s">
        <v>127</v>
      </c>
      <c r="U16" t="s">
        <v>128</v>
      </c>
      <c r="W16" t="s">
        <v>117</v>
      </c>
      <c r="Y16">
        <v>5.2202000000000002</v>
      </c>
      <c r="Z16">
        <v>5.0131170000000003</v>
      </c>
      <c r="AA16">
        <v>5.1826619999999997</v>
      </c>
      <c r="AB16">
        <v>4.8183870000000004</v>
      </c>
      <c r="AC16">
        <v>4.617845</v>
      </c>
      <c r="AD16">
        <v>4.7008349999999997</v>
      </c>
      <c r="AE16">
        <v>4.6713630000000004</v>
      </c>
      <c r="AF16">
        <v>4.8582109999999998</v>
      </c>
      <c r="AG16">
        <v>5.3687329999999998</v>
      </c>
      <c r="AH16">
        <v>5.9762849999999998</v>
      </c>
      <c r="AI16">
        <v>6.7579739999999999</v>
      </c>
      <c r="AK16">
        <v>7.6122069999999997</v>
      </c>
      <c r="AM16">
        <v>8.5998839999999994</v>
      </c>
      <c r="AO16">
        <v>9.6201249999999998</v>
      </c>
      <c r="AQ16">
        <v>10.676151000000001</v>
      </c>
      <c r="AR16">
        <v>11.631636</v>
      </c>
      <c r="AS16">
        <v>12.573399</v>
      </c>
      <c r="AV16">
        <v>13.554282000000001</v>
      </c>
      <c r="AW16">
        <v>14.595862</v>
      </c>
      <c r="AX16">
        <v>15.424129000000001</v>
      </c>
      <c r="AY16">
        <v>16.438711000000001</v>
      </c>
      <c r="AZ16">
        <v>17.370954999999999</v>
      </c>
      <c r="BA16">
        <v>18.302094</v>
      </c>
      <c r="BB16">
        <v>19.090230999999999</v>
      </c>
      <c r="BC16">
        <v>19.898544000000001</v>
      </c>
      <c r="BD16">
        <v>20.737687999999999</v>
      </c>
      <c r="BE16">
        <v>21.796797000000002</v>
      </c>
      <c r="BF16">
        <v>22.658391999999999</v>
      </c>
      <c r="BG16">
        <v>23.568089000000001</v>
      </c>
      <c r="BH16">
        <v>24.207951000000001</v>
      </c>
      <c r="BI16">
        <v>24.893346999999999</v>
      </c>
      <c r="BJ16">
        <v>5.2999999999999999E-2</v>
      </c>
    </row>
    <row r="17" spans="1:62" x14ac:dyDescent="0.5">
      <c r="A17" s="73"/>
      <c r="B17" s="10">
        <f t="shared" si="2"/>
        <v>2027</v>
      </c>
      <c r="C17" s="82">
        <f t="shared" si="1"/>
        <v>20.067023346816001</v>
      </c>
      <c r="D17" s="85">
        <f>N13*(('INPUT TABLE'!B$10/100)+1)</f>
        <v>400603.04239999992</v>
      </c>
      <c r="E17" s="88"/>
      <c r="F17" s="69"/>
      <c r="G17" s="69"/>
      <c r="H17" s="69"/>
      <c r="I17" s="69"/>
      <c r="J17" s="74"/>
      <c r="L17" s="10">
        <v>2031</v>
      </c>
      <c r="M17" s="82">
        <f t="shared" si="3"/>
        <v>72848.351999999999</v>
      </c>
      <c r="N17" s="47">
        <f t="shared" ref="N17:N26" si="4">N16+M16</f>
        <v>622665.18399999989</v>
      </c>
      <c r="O17" s="47">
        <f>EV!D61*1000+O16</f>
        <v>241655.28477088001</v>
      </c>
      <c r="P17" s="47">
        <f>P16+EV!$G61*1000</f>
        <v>35104870.635006018</v>
      </c>
      <c r="T17" t="s">
        <v>129</v>
      </c>
      <c r="U17" t="s">
        <v>130</v>
      </c>
      <c r="W17" t="s">
        <v>117</v>
      </c>
      <c r="Y17">
        <v>7.8362579999999999</v>
      </c>
      <c r="Z17">
        <v>6.8500199999999998</v>
      </c>
      <c r="AA17">
        <v>7.843718</v>
      </c>
      <c r="AB17">
        <v>8.5724739999999997</v>
      </c>
      <c r="AC17">
        <v>9.2181099999999994</v>
      </c>
      <c r="AD17">
        <v>9.5739680000000007</v>
      </c>
      <c r="AE17">
        <v>10.299115</v>
      </c>
      <c r="AF17">
        <v>10.942366</v>
      </c>
      <c r="AG17">
        <v>12.222792999999999</v>
      </c>
      <c r="AH17">
        <v>13.919203</v>
      </c>
      <c r="AI17">
        <v>15.800262999999999</v>
      </c>
      <c r="AK17">
        <v>18.307220000000001</v>
      </c>
      <c r="AM17">
        <v>20.842538999999999</v>
      </c>
      <c r="AO17">
        <v>24.085739</v>
      </c>
      <c r="AQ17">
        <v>27.421344999999999</v>
      </c>
      <c r="AR17">
        <v>30.783384000000002</v>
      </c>
      <c r="AS17">
        <v>34.116371000000001</v>
      </c>
      <c r="AV17">
        <v>37.679302</v>
      </c>
      <c r="AW17">
        <v>41.435177000000003</v>
      </c>
      <c r="AX17">
        <v>44.946278</v>
      </c>
      <c r="AY17">
        <v>48.321948999999996</v>
      </c>
      <c r="AZ17">
        <v>51.485401000000003</v>
      </c>
      <c r="BA17">
        <v>54.410561000000001</v>
      </c>
      <c r="BB17">
        <v>56.837769000000002</v>
      </c>
      <c r="BC17">
        <v>59.430827999999998</v>
      </c>
      <c r="BD17">
        <v>62.179938999999997</v>
      </c>
      <c r="BE17">
        <v>64.886809999999997</v>
      </c>
      <c r="BF17">
        <v>67.982192999999995</v>
      </c>
      <c r="BG17">
        <v>70.716324</v>
      </c>
      <c r="BH17">
        <v>73.084457</v>
      </c>
      <c r="BI17">
        <v>75.200630000000004</v>
      </c>
      <c r="BJ17">
        <v>7.8E-2</v>
      </c>
    </row>
    <row r="18" spans="1:62" x14ac:dyDescent="0.5">
      <c r="A18" s="73"/>
      <c r="B18" s="10">
        <f t="shared" si="2"/>
        <v>2028</v>
      </c>
      <c r="C18" s="82">
        <f t="shared" si="1"/>
        <v>22.427617531967996</v>
      </c>
      <c r="D18" s="85">
        <f>N14*(('INPUT TABLE'!B$10/100)+1)</f>
        <v>466627.62079999992</v>
      </c>
      <c r="E18" s="88"/>
      <c r="F18" s="69"/>
      <c r="G18" s="69"/>
      <c r="H18" s="69"/>
      <c r="I18" s="69"/>
      <c r="J18" s="74"/>
      <c r="L18" s="10">
        <v>2032</v>
      </c>
      <c r="M18" s="82">
        <f t="shared" si="3"/>
        <v>76196.152000000002</v>
      </c>
      <c r="N18" s="47">
        <f t="shared" si="4"/>
        <v>695513.53599999985</v>
      </c>
      <c r="O18" s="47">
        <f>EV!D62*1000+O17</f>
        <v>274460.51339180802</v>
      </c>
      <c r="P18" s="47">
        <f>P17+EV!$G62*1000</f>
        <v>36153971.677893184</v>
      </c>
      <c r="T18" t="s">
        <v>131</v>
      </c>
      <c r="U18" t="s">
        <v>132</v>
      </c>
      <c r="W18" t="s">
        <v>117</v>
      </c>
      <c r="Y18">
        <v>2.542554</v>
      </c>
      <c r="Z18">
        <v>3.3980260000000002</v>
      </c>
      <c r="AA18">
        <v>4.1131320000000002</v>
      </c>
      <c r="AB18">
        <v>4.4052210000000001</v>
      </c>
      <c r="AC18">
        <v>4.911835</v>
      </c>
      <c r="AD18">
        <v>5.7227790000000001</v>
      </c>
      <c r="AE18">
        <v>6.4543749999999998</v>
      </c>
      <c r="AF18">
        <v>7.3629049999999996</v>
      </c>
      <c r="AG18">
        <v>8.8282290000000003</v>
      </c>
      <c r="AH18">
        <v>9.2633639999999993</v>
      </c>
      <c r="AI18">
        <v>9.6447339999999997</v>
      </c>
      <c r="AK18">
        <v>9.8490210000000005</v>
      </c>
      <c r="AM18">
        <v>10.19675</v>
      </c>
      <c r="AO18">
        <v>10.378534</v>
      </c>
      <c r="AQ18">
        <v>10.556086000000001</v>
      </c>
      <c r="AR18">
        <v>10.540937</v>
      </c>
      <c r="AS18">
        <v>10.48251</v>
      </c>
      <c r="AV18">
        <v>10.422598000000001</v>
      </c>
      <c r="AW18">
        <v>10.393395999999999</v>
      </c>
      <c r="AX18">
        <v>10.155315999999999</v>
      </c>
      <c r="AY18">
        <v>10.107885</v>
      </c>
      <c r="AZ18">
        <v>9.9225130000000004</v>
      </c>
      <c r="BA18">
        <v>9.7255540000000007</v>
      </c>
      <c r="BB18">
        <v>9.4471670000000003</v>
      </c>
      <c r="BC18">
        <v>9.1680139999999994</v>
      </c>
      <c r="BD18">
        <v>8.8922050000000006</v>
      </c>
      <c r="BE18">
        <v>8.7405019999999993</v>
      </c>
      <c r="BF18">
        <v>8.4334469999999992</v>
      </c>
      <c r="BG18">
        <v>8.1699599999999997</v>
      </c>
      <c r="BH18">
        <v>7.7951930000000003</v>
      </c>
      <c r="BI18">
        <v>7.4655709999999997</v>
      </c>
      <c r="BJ18">
        <v>3.6999999999999998E-2</v>
      </c>
    </row>
    <row r="19" spans="1:62" x14ac:dyDescent="0.5">
      <c r="A19" s="73"/>
      <c r="B19" s="10">
        <f t="shared" si="2"/>
        <v>2029</v>
      </c>
      <c r="C19" s="82">
        <f t="shared" si="1"/>
        <v>25.352714866943998</v>
      </c>
      <c r="D19" s="85">
        <f>N15*(('INPUT TABLE'!B$10/100)+1)</f>
        <v>535713.06799999997</v>
      </c>
      <c r="E19" s="88"/>
      <c r="F19" s="69"/>
      <c r="G19" s="69"/>
      <c r="H19" s="69"/>
      <c r="I19" s="69"/>
      <c r="J19" s="74"/>
      <c r="L19" s="10">
        <v>2033</v>
      </c>
      <c r="M19" s="82">
        <f t="shared" si="3"/>
        <v>79543.952000000005</v>
      </c>
      <c r="N19" s="47">
        <f t="shared" si="4"/>
        <v>771709.68799999985</v>
      </c>
      <c r="O19" s="47">
        <f>EV!D63*1000+O18</f>
        <v>311500.01407820801</v>
      </c>
      <c r="P19" s="47">
        <f>P18+EV!$G63*1000</f>
        <v>37194610.680769406</v>
      </c>
      <c r="T19" t="s">
        <v>133</v>
      </c>
      <c r="U19" t="s">
        <v>134</v>
      </c>
      <c r="W19" t="s">
        <v>117</v>
      </c>
      <c r="Y19">
        <v>0.66805599999999998</v>
      </c>
      <c r="Z19">
        <v>0.68692699999999995</v>
      </c>
      <c r="AA19">
        <v>0.63941700000000001</v>
      </c>
      <c r="AB19">
        <v>0.558585</v>
      </c>
      <c r="AC19">
        <v>0.52393900000000004</v>
      </c>
      <c r="AD19">
        <v>0.52186699999999997</v>
      </c>
      <c r="AE19">
        <v>0.53171100000000004</v>
      </c>
      <c r="AF19">
        <v>0.55157199999999995</v>
      </c>
      <c r="AG19">
        <v>0.60346900000000003</v>
      </c>
      <c r="AH19">
        <v>0.66433500000000001</v>
      </c>
      <c r="AI19">
        <v>0.74747399999999997</v>
      </c>
      <c r="AK19">
        <v>0.814415</v>
      </c>
      <c r="AM19">
        <v>0.87486399999999998</v>
      </c>
      <c r="AO19">
        <v>0.92632199999999998</v>
      </c>
      <c r="AQ19">
        <v>0.97411400000000004</v>
      </c>
      <c r="AR19">
        <v>1.005706</v>
      </c>
      <c r="AS19">
        <v>1.029765</v>
      </c>
      <c r="AV19">
        <v>1.0521769999999999</v>
      </c>
      <c r="AW19">
        <v>1.0746389999999999</v>
      </c>
      <c r="AX19">
        <v>1.0792360000000001</v>
      </c>
      <c r="AY19">
        <v>1.093216</v>
      </c>
      <c r="AZ19">
        <v>1.099375</v>
      </c>
      <c r="BA19">
        <v>1.103164</v>
      </c>
      <c r="BB19">
        <v>1.0965450000000001</v>
      </c>
      <c r="BC19">
        <v>1.0902080000000001</v>
      </c>
      <c r="BD19">
        <v>1.08548</v>
      </c>
      <c r="BE19">
        <v>1.087377</v>
      </c>
      <c r="BF19">
        <v>1.078894</v>
      </c>
      <c r="BG19">
        <v>1.0711360000000001</v>
      </c>
      <c r="BH19">
        <v>1.0521750000000001</v>
      </c>
      <c r="BI19">
        <v>1.0344679999999999</v>
      </c>
      <c r="BJ19">
        <v>1.4999999999999999E-2</v>
      </c>
    </row>
    <row r="20" spans="1:62" x14ac:dyDescent="0.5">
      <c r="A20" s="73"/>
      <c r="B20" s="10">
        <f t="shared" si="2"/>
        <v>2030</v>
      </c>
      <c r="C20" s="82">
        <f t="shared" si="1"/>
        <v>28.77374146176</v>
      </c>
      <c r="D20" s="85">
        <f>N16*(('INPUT TABLE'!B$10/100)+1)</f>
        <v>608481.09519999987</v>
      </c>
      <c r="E20" s="88"/>
      <c r="F20" s="69"/>
      <c r="G20" s="69"/>
      <c r="H20" s="69"/>
      <c r="I20" s="69"/>
      <c r="J20" s="74"/>
      <c r="L20" s="10">
        <v>2034</v>
      </c>
      <c r="M20" s="82">
        <f t="shared" si="3"/>
        <v>82891.752000000008</v>
      </c>
      <c r="N20" s="47">
        <f t="shared" si="4"/>
        <v>851253.6399999999</v>
      </c>
      <c r="O20" s="47">
        <f>EV!D64*1000+O19</f>
        <v>353472.98120281601</v>
      </c>
      <c r="P20" s="47">
        <f>P19+EV!$G64*1000</f>
        <v>38232075.076151483</v>
      </c>
      <c r="T20" t="s">
        <v>135</v>
      </c>
      <c r="U20" t="s">
        <v>136</v>
      </c>
      <c r="W20" t="s">
        <v>117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M20">
        <v>0</v>
      </c>
      <c r="AO20">
        <v>0</v>
      </c>
      <c r="AQ20">
        <v>0</v>
      </c>
      <c r="AR20">
        <v>0</v>
      </c>
      <c r="AS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137</v>
      </c>
    </row>
    <row r="21" spans="1:62" x14ac:dyDescent="0.5">
      <c r="A21" s="73"/>
      <c r="B21" s="10">
        <f t="shared" si="2"/>
        <v>2031</v>
      </c>
      <c r="C21" s="82">
        <f t="shared" si="1"/>
        <v>32.805228620927998</v>
      </c>
      <c r="D21" s="85">
        <f>N17*(('INPUT TABLE'!B$10/100)+1)</f>
        <v>684931.70239999995</v>
      </c>
      <c r="E21" s="88"/>
      <c r="F21" s="69"/>
      <c r="G21" s="69"/>
      <c r="H21" s="69"/>
      <c r="I21" s="69"/>
      <c r="J21" s="74"/>
      <c r="L21" s="10">
        <v>2035</v>
      </c>
      <c r="M21" s="82">
        <f t="shared" si="3"/>
        <v>86239.552000000011</v>
      </c>
      <c r="N21" s="47">
        <f t="shared" si="4"/>
        <v>934145.39199999988</v>
      </c>
      <c r="O21" s="47">
        <f>EV!D65*1000+O20</f>
        <v>400804.53176051204</v>
      </c>
      <c r="P21" s="47">
        <f>P20+EV!$G65*1000</f>
        <v>39270517.618107133</v>
      </c>
      <c r="T21" t="s">
        <v>138</v>
      </c>
      <c r="U21" t="s">
        <v>139</v>
      </c>
      <c r="W21" t="s">
        <v>117</v>
      </c>
      <c r="Y21">
        <v>14.174827000000001</v>
      </c>
      <c r="Z21">
        <v>15.851159000000001</v>
      </c>
      <c r="AA21">
        <v>18.666988</v>
      </c>
      <c r="AB21">
        <v>19.728702999999999</v>
      </c>
      <c r="AC21">
        <v>20.945119999999999</v>
      </c>
      <c r="AD21">
        <v>22.378885</v>
      </c>
      <c r="AE21">
        <v>23.601278000000001</v>
      </c>
      <c r="AF21">
        <v>24.807137000000001</v>
      </c>
      <c r="AG21">
        <v>27.052254000000001</v>
      </c>
      <c r="AH21">
        <v>28.855812</v>
      </c>
      <c r="AI21">
        <v>30.806749</v>
      </c>
      <c r="AK21">
        <v>32.662106000000001</v>
      </c>
      <c r="AM21">
        <v>34.444026999999998</v>
      </c>
      <c r="AO21">
        <v>36.236355000000003</v>
      </c>
      <c r="AQ21">
        <v>38.042267000000002</v>
      </c>
      <c r="AR21">
        <v>39.447819000000003</v>
      </c>
      <c r="AS21">
        <v>40.732982999999997</v>
      </c>
      <c r="AV21">
        <v>42.156157999999998</v>
      </c>
      <c r="AW21">
        <v>43.772815999999999</v>
      </c>
      <c r="AX21">
        <v>44.935859999999998</v>
      </c>
      <c r="AY21">
        <v>46.469433000000002</v>
      </c>
      <c r="AZ21">
        <v>48.391655</v>
      </c>
      <c r="BA21">
        <v>50.205359999999999</v>
      </c>
      <c r="BB21">
        <v>51.600104999999999</v>
      </c>
      <c r="BC21">
        <v>53.153602999999997</v>
      </c>
      <c r="BD21">
        <v>54.927174000000001</v>
      </c>
      <c r="BE21">
        <v>56.929198999999997</v>
      </c>
      <c r="BF21">
        <v>58.645083999999997</v>
      </c>
      <c r="BG21">
        <v>60.384875999999998</v>
      </c>
      <c r="BH21">
        <v>61.582073000000001</v>
      </c>
      <c r="BI21">
        <v>62.804870999999999</v>
      </c>
      <c r="BJ21">
        <v>5.0999999999999997E-2</v>
      </c>
    </row>
    <row r="22" spans="1:62" x14ac:dyDescent="0.5">
      <c r="A22" s="73"/>
      <c r="B22" s="10">
        <f t="shared" si="2"/>
        <v>2032</v>
      </c>
      <c r="C22" s="82">
        <f t="shared" si="1"/>
        <v>37.039500686400004</v>
      </c>
      <c r="D22" s="85">
        <f>N18*(('INPUT TABLE'!B$10/100)+1)</f>
        <v>765064.88959999988</v>
      </c>
      <c r="E22" s="88"/>
      <c r="F22" s="69"/>
      <c r="G22" s="69"/>
      <c r="H22" s="69"/>
      <c r="I22" s="69"/>
      <c r="J22" s="74"/>
      <c r="L22" s="10">
        <v>2036</v>
      </c>
      <c r="M22" s="82">
        <f t="shared" si="3"/>
        <v>89587.352000000014</v>
      </c>
      <c r="N22" s="47">
        <f t="shared" si="4"/>
        <v>1020384.9439999999</v>
      </c>
      <c r="O22" s="47">
        <f>EV!D66*1000+O21</f>
        <v>453367.37288032006</v>
      </c>
      <c r="P22" s="47">
        <f>P21+EV!$G66*1000</f>
        <v>40298845.225197949</v>
      </c>
      <c r="T22" t="s">
        <v>140</v>
      </c>
      <c r="U22" t="s">
        <v>141</v>
      </c>
      <c r="W22" t="s">
        <v>117</v>
      </c>
      <c r="Y22">
        <v>3.9898000000000003E-2</v>
      </c>
      <c r="Z22">
        <v>4.1510999999999999E-2</v>
      </c>
      <c r="AA22">
        <v>4.5989000000000002E-2</v>
      </c>
      <c r="AB22">
        <v>4.6734999999999999E-2</v>
      </c>
      <c r="AC22">
        <v>4.7414999999999999E-2</v>
      </c>
      <c r="AD22">
        <v>4.8517999999999999E-2</v>
      </c>
      <c r="AE22">
        <v>4.8530999999999998E-2</v>
      </c>
      <c r="AF22">
        <v>4.7978E-2</v>
      </c>
      <c r="AG22">
        <v>4.8869999999999997E-2</v>
      </c>
      <c r="AH22">
        <v>4.9612999999999997E-2</v>
      </c>
      <c r="AI22">
        <v>5.0715999999999997E-2</v>
      </c>
      <c r="AK22">
        <v>5.1499000000000003E-2</v>
      </c>
      <c r="AM22">
        <v>5.2075999999999997E-2</v>
      </c>
      <c r="AO22">
        <v>5.2725000000000001E-2</v>
      </c>
      <c r="AQ22">
        <v>5.3310999999999997E-2</v>
      </c>
      <c r="AR22">
        <v>5.3414999999999997E-2</v>
      </c>
      <c r="AS22">
        <v>5.3326999999999999E-2</v>
      </c>
      <c r="AV22">
        <v>5.3435000000000003E-2</v>
      </c>
      <c r="AW22">
        <v>5.3719000000000003E-2</v>
      </c>
      <c r="AX22">
        <v>5.3578000000000001E-2</v>
      </c>
      <c r="AY22">
        <v>5.3677999999999997E-2</v>
      </c>
      <c r="AZ22">
        <v>5.407E-2</v>
      </c>
      <c r="BA22">
        <v>5.4452E-2</v>
      </c>
      <c r="BB22">
        <v>5.4364000000000003E-2</v>
      </c>
      <c r="BC22">
        <v>5.4421999999999998E-2</v>
      </c>
      <c r="BD22">
        <v>5.4705999999999998E-2</v>
      </c>
      <c r="BE22">
        <v>5.5002000000000002E-2</v>
      </c>
      <c r="BF22">
        <v>5.5115999999999998E-2</v>
      </c>
      <c r="BG22">
        <v>5.5139000000000001E-2</v>
      </c>
      <c r="BH22">
        <v>5.4725000000000003E-2</v>
      </c>
      <c r="BI22">
        <v>5.4266000000000002E-2</v>
      </c>
      <c r="BJ22">
        <v>0.01</v>
      </c>
    </row>
    <row r="23" spans="1:62" x14ac:dyDescent="0.5">
      <c r="A23" s="73"/>
      <c r="B23" s="10">
        <f t="shared" si="2"/>
        <v>2033</v>
      </c>
      <c r="C23" s="82">
        <f t="shared" si="1"/>
        <v>41.972967124607997</v>
      </c>
      <c r="D23" s="85">
        <f>N19*(('INPUT TABLE'!B$10/100)+1)</f>
        <v>848880.65679999988</v>
      </c>
      <c r="E23" s="88"/>
      <c r="F23" s="69"/>
      <c r="G23" s="69"/>
      <c r="H23" s="69"/>
      <c r="I23" s="69"/>
      <c r="J23" s="74"/>
      <c r="L23" s="10">
        <v>2037</v>
      </c>
      <c r="M23" s="82">
        <f t="shared" si="3"/>
        <v>92935.152000000016</v>
      </c>
      <c r="N23" s="47">
        <f t="shared" si="4"/>
        <v>1109972.2959999999</v>
      </c>
      <c r="O23" s="47">
        <f>EV!D67*1000+O22</f>
        <v>510976.13747353607</v>
      </c>
      <c r="P23" s="47">
        <f>P22+EV!$G67*1000</f>
        <v>41313804.386018939</v>
      </c>
      <c r="T23" t="s">
        <v>142</v>
      </c>
      <c r="U23" t="s">
        <v>143</v>
      </c>
      <c r="W23" t="s">
        <v>117</v>
      </c>
      <c r="Y23">
        <v>0.26343499999999997</v>
      </c>
      <c r="Z23">
        <v>0.27863199999999999</v>
      </c>
      <c r="AA23">
        <v>0.30665399999999998</v>
      </c>
      <c r="AB23">
        <v>0.311475</v>
      </c>
      <c r="AC23">
        <v>0.316855</v>
      </c>
      <c r="AD23">
        <v>0.32533800000000002</v>
      </c>
      <c r="AE23">
        <v>0.32640000000000002</v>
      </c>
      <c r="AF23">
        <v>0.32358100000000001</v>
      </c>
      <c r="AG23">
        <v>0.330237</v>
      </c>
      <c r="AH23">
        <v>0.33577000000000001</v>
      </c>
      <c r="AI23">
        <v>0.343999</v>
      </c>
      <c r="AK23">
        <v>0.34976600000000002</v>
      </c>
      <c r="AM23">
        <v>0.354375</v>
      </c>
      <c r="AO23">
        <v>0.359398</v>
      </c>
      <c r="AQ23">
        <v>0.364064</v>
      </c>
      <c r="AR23">
        <v>0.36542599999999997</v>
      </c>
      <c r="AS23">
        <v>0.36543399999999998</v>
      </c>
      <c r="AV23">
        <v>0.366817</v>
      </c>
      <c r="AW23">
        <v>0.36934499999999998</v>
      </c>
      <c r="AX23">
        <v>0.36908000000000002</v>
      </c>
      <c r="AY23">
        <v>0.37032300000000001</v>
      </c>
      <c r="AZ23">
        <v>0.37352200000000002</v>
      </c>
      <c r="BA23">
        <v>0.37673299999999998</v>
      </c>
      <c r="BB23">
        <v>0.376612</v>
      </c>
      <c r="BC23">
        <v>0.37751499999999999</v>
      </c>
      <c r="BD23">
        <v>0.38007600000000002</v>
      </c>
      <c r="BE23">
        <v>0.38264300000000001</v>
      </c>
      <c r="BF23">
        <v>0.38395299999999999</v>
      </c>
      <c r="BG23">
        <v>0.384687</v>
      </c>
      <c r="BH23">
        <v>0.382409</v>
      </c>
      <c r="BI23">
        <v>0.37971700000000003</v>
      </c>
      <c r="BJ23">
        <v>1.2E-2</v>
      </c>
    </row>
    <row r="24" spans="1:62" x14ac:dyDescent="0.5">
      <c r="A24" s="73"/>
      <c r="B24" s="10">
        <f t="shared" si="2"/>
        <v>2034</v>
      </c>
      <c r="C24" s="82">
        <f t="shared" si="1"/>
        <v>47.331550557695998</v>
      </c>
      <c r="D24" s="85">
        <f>N20*(('INPUT TABLE'!B$10/100)+1)</f>
        <v>936379.00399999996</v>
      </c>
      <c r="E24" s="88"/>
      <c r="F24" s="69"/>
      <c r="G24" s="69"/>
      <c r="H24" s="69"/>
      <c r="I24" s="69"/>
      <c r="J24" s="74"/>
      <c r="L24" s="10">
        <v>2038</v>
      </c>
      <c r="M24" s="82">
        <f t="shared" si="3"/>
        <v>96282.952000000019</v>
      </c>
      <c r="N24" s="47">
        <f t="shared" si="4"/>
        <v>1202907.4479999999</v>
      </c>
      <c r="O24" s="47">
        <f>EV!D68*1000+O23</f>
        <v>573777.51027961611</v>
      </c>
      <c r="P24" s="47">
        <f>P23+EV!$G68*1000</f>
        <v>42318950.727289788</v>
      </c>
      <c r="T24" t="s">
        <v>144</v>
      </c>
      <c r="U24" t="s">
        <v>145</v>
      </c>
      <c r="W24" t="s">
        <v>117</v>
      </c>
      <c r="Y24">
        <v>6.5540000000000001E-2</v>
      </c>
      <c r="Z24">
        <v>5.6508000000000003E-2</v>
      </c>
      <c r="AA24">
        <v>6.6189999999999999E-2</v>
      </c>
      <c r="AB24">
        <v>6.9616999999999998E-2</v>
      </c>
      <c r="AC24">
        <v>7.0329000000000003E-2</v>
      </c>
      <c r="AD24">
        <v>7.1239999999999998E-2</v>
      </c>
      <c r="AE24">
        <v>7.1041000000000007E-2</v>
      </c>
      <c r="AF24">
        <v>6.9999000000000006E-2</v>
      </c>
      <c r="AG24">
        <v>7.1124000000000007E-2</v>
      </c>
      <c r="AH24">
        <v>7.3484999999999995E-2</v>
      </c>
      <c r="AI24">
        <v>7.5294E-2</v>
      </c>
      <c r="AK24">
        <v>7.8057000000000001E-2</v>
      </c>
      <c r="AM24">
        <v>7.8909000000000007E-2</v>
      </c>
      <c r="AO24">
        <v>8.1074999999999994E-2</v>
      </c>
      <c r="AQ24">
        <v>8.2562999999999998E-2</v>
      </c>
      <c r="AR24">
        <v>8.3625000000000005E-2</v>
      </c>
      <c r="AS24">
        <v>8.4068000000000004E-2</v>
      </c>
      <c r="AV24">
        <v>8.4934999999999997E-2</v>
      </c>
      <c r="AW24">
        <v>8.5905999999999996E-2</v>
      </c>
      <c r="AX24">
        <v>8.6794999999999997E-2</v>
      </c>
      <c r="AY24">
        <v>8.6814000000000002E-2</v>
      </c>
      <c r="AZ24">
        <v>8.8660000000000003E-2</v>
      </c>
      <c r="BA24">
        <v>9.0354000000000004E-2</v>
      </c>
      <c r="BB24">
        <v>9.1006000000000004E-2</v>
      </c>
      <c r="BC24">
        <v>9.1886999999999996E-2</v>
      </c>
      <c r="BD24">
        <v>9.3284000000000006E-2</v>
      </c>
      <c r="BE24">
        <v>9.3604000000000007E-2</v>
      </c>
      <c r="BF24">
        <v>9.4742999999999994E-2</v>
      </c>
      <c r="BG24">
        <v>9.5107999999999998E-2</v>
      </c>
      <c r="BH24">
        <v>9.5138E-2</v>
      </c>
      <c r="BI24">
        <v>9.4525999999999999E-2</v>
      </c>
      <c r="BJ24">
        <v>1.2E-2</v>
      </c>
    </row>
    <row r="25" spans="1:62" x14ac:dyDescent="0.5">
      <c r="A25" s="73"/>
      <c r="B25" s="10">
        <f t="shared" si="2"/>
        <v>2035</v>
      </c>
      <c r="C25" s="82">
        <f t="shared" si="1"/>
        <v>52.562841119807999</v>
      </c>
      <c r="D25" s="85">
        <f>N21*(('INPUT TABLE'!B$10/100)+1)</f>
        <v>1027559.9312</v>
      </c>
      <c r="E25" s="88"/>
      <c r="F25" s="69"/>
      <c r="G25" s="69"/>
      <c r="H25" s="69"/>
      <c r="I25" s="69"/>
      <c r="J25" s="74"/>
      <c r="L25" s="10">
        <v>2039</v>
      </c>
      <c r="M25" s="82">
        <f t="shared" si="3"/>
        <v>99630.752000000022</v>
      </c>
      <c r="N25" s="47">
        <f t="shared" si="4"/>
        <v>1299190.3999999999</v>
      </c>
      <c r="O25" s="47">
        <f>EV!D69*1000+O24</f>
        <v>641874.09514528012</v>
      </c>
      <c r="P25" s="47">
        <f>P24+EV!$G69*1000</f>
        <v>43319464.440477565</v>
      </c>
      <c r="T25" t="s">
        <v>146</v>
      </c>
      <c r="U25" t="s">
        <v>145</v>
      </c>
      <c r="W25" t="s">
        <v>117</v>
      </c>
      <c r="Y25">
        <v>6.4895999999999995E-2</v>
      </c>
      <c r="Z25">
        <v>6.8829000000000001E-2</v>
      </c>
      <c r="AA25">
        <v>7.5739000000000001E-2</v>
      </c>
      <c r="AB25">
        <v>7.6869999999999994E-2</v>
      </c>
      <c r="AC25">
        <v>7.8056E-2</v>
      </c>
      <c r="AD25">
        <v>8.0032000000000006E-2</v>
      </c>
      <c r="AE25">
        <v>8.0234E-2</v>
      </c>
      <c r="AF25">
        <v>7.9497999999999999E-2</v>
      </c>
      <c r="AG25">
        <v>8.1076999999999996E-2</v>
      </c>
      <c r="AH25">
        <v>8.2403000000000004E-2</v>
      </c>
      <c r="AI25">
        <v>8.4365999999999997E-2</v>
      </c>
      <c r="AK25">
        <v>8.5726999999999998E-2</v>
      </c>
      <c r="AM25">
        <v>8.6796999999999999E-2</v>
      </c>
      <c r="AO25">
        <v>8.7974999999999998E-2</v>
      </c>
      <c r="AQ25">
        <v>8.9068999999999995E-2</v>
      </c>
      <c r="AR25">
        <v>8.9349999999999999E-2</v>
      </c>
      <c r="AS25">
        <v>8.9293999999999998E-2</v>
      </c>
      <c r="AV25">
        <v>8.9569999999999997E-2</v>
      </c>
      <c r="AW25">
        <v>9.0130000000000002E-2</v>
      </c>
      <c r="AX25">
        <v>8.9996999999999994E-2</v>
      </c>
      <c r="AY25">
        <v>9.0246000000000007E-2</v>
      </c>
      <c r="AZ25">
        <v>9.0968999999999994E-2</v>
      </c>
      <c r="BA25">
        <v>9.1704999999999995E-2</v>
      </c>
      <c r="BB25">
        <v>9.1613E-2</v>
      </c>
      <c r="BC25">
        <v>9.1785000000000005E-2</v>
      </c>
      <c r="BD25">
        <v>9.2383000000000007E-2</v>
      </c>
      <c r="BE25">
        <v>9.2938999999999994E-2</v>
      </c>
      <c r="BF25">
        <v>9.3192999999999998E-2</v>
      </c>
      <c r="BG25">
        <v>9.3334E-2</v>
      </c>
      <c r="BH25">
        <v>9.2737E-2</v>
      </c>
      <c r="BI25">
        <v>9.2043E-2</v>
      </c>
      <c r="BJ25">
        <v>1.2E-2</v>
      </c>
    </row>
    <row r="26" spans="1:62" x14ac:dyDescent="0.5">
      <c r="A26" s="73"/>
      <c r="B26" s="10">
        <f t="shared" si="2"/>
        <v>2036</v>
      </c>
      <c r="C26" s="82">
        <f t="shared" si="1"/>
        <v>57.608764593215994</v>
      </c>
      <c r="D26" s="85">
        <f>N22*(('INPUT TABLE'!B$10/100)+1)</f>
        <v>1122423.4383999999</v>
      </c>
      <c r="E26" s="88"/>
      <c r="F26" s="69"/>
      <c r="G26" s="69"/>
      <c r="H26" s="69"/>
      <c r="I26" s="69"/>
      <c r="J26" s="74"/>
      <c r="L26" s="10">
        <v>2040</v>
      </c>
      <c r="M26" s="82">
        <f t="shared" si="3"/>
        <v>102978.55200000003</v>
      </c>
      <c r="N26" s="47">
        <f t="shared" si="4"/>
        <v>1398821.152</v>
      </c>
      <c r="O26" s="47">
        <f>EV!D70*1000+O25</f>
        <v>714881.47739507211</v>
      </c>
      <c r="P26" s="47">
        <f>P25+EV!$G70*1000</f>
        <v>44311720.808451518</v>
      </c>
      <c r="T26" t="s">
        <v>147</v>
      </c>
      <c r="U26" t="s">
        <v>148</v>
      </c>
      <c r="W26" t="s">
        <v>117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137</v>
      </c>
    </row>
    <row r="27" spans="1:62" x14ac:dyDescent="0.5">
      <c r="A27" s="73"/>
      <c r="B27" s="10">
        <f t="shared" si="2"/>
        <v>2037</v>
      </c>
      <c r="C27" s="82">
        <f t="shared" si="1"/>
        <v>62.801372806079996</v>
      </c>
      <c r="D27" s="85">
        <f>N23*(('INPUT TABLE'!B$10/100)+1)</f>
        <v>1220969.5256000001</v>
      </c>
      <c r="E27" s="88"/>
      <c r="F27" s="69"/>
      <c r="G27" s="69"/>
      <c r="H27" s="69"/>
      <c r="I27" s="69"/>
      <c r="J27" s="74"/>
      <c r="L27" s="10">
        <v>2041</v>
      </c>
      <c r="M27" s="82">
        <f t="shared" si="3"/>
        <v>106326.35200000003</v>
      </c>
      <c r="N27" s="47">
        <f t="shared" ref="N27:N36" si="5">N26+M26</f>
        <v>1501799.7039999999</v>
      </c>
      <c r="O27" s="47">
        <f>EV!D71*1000+O26</f>
        <v>792501.6374738561</v>
      </c>
      <c r="P27" s="47">
        <f>P26+EV!$G71*1000</f>
        <v>45292243.752252929</v>
      </c>
      <c r="T27" t="s">
        <v>149</v>
      </c>
      <c r="U27" t="s">
        <v>150</v>
      </c>
      <c r="W27" t="s">
        <v>117</v>
      </c>
      <c r="Y27">
        <v>2.0579E-2</v>
      </c>
      <c r="Z27">
        <v>2.1684999999999999E-2</v>
      </c>
      <c r="AA27">
        <v>2.5752000000000001E-2</v>
      </c>
      <c r="AB27">
        <v>2.9215999999999999E-2</v>
      </c>
      <c r="AC27">
        <v>3.3644E-2</v>
      </c>
      <c r="AD27">
        <v>3.9993000000000001E-2</v>
      </c>
      <c r="AE27">
        <v>4.5992999999999999E-2</v>
      </c>
      <c r="AF27">
        <v>5.2072E-2</v>
      </c>
      <c r="AG27">
        <v>6.0276000000000003E-2</v>
      </c>
      <c r="AH27">
        <v>6.8834999999999993E-2</v>
      </c>
      <c r="AI27">
        <v>7.8347E-2</v>
      </c>
      <c r="AK27">
        <v>8.7393999999999999E-2</v>
      </c>
      <c r="AM27">
        <v>9.5978999999999995E-2</v>
      </c>
      <c r="AO27">
        <v>0.104268</v>
      </c>
      <c r="AQ27">
        <v>0.11194999999999999</v>
      </c>
      <c r="AR27">
        <v>0.11801399999999999</v>
      </c>
      <c r="AS27">
        <v>0.122988</v>
      </c>
      <c r="AV27">
        <v>0.127834</v>
      </c>
      <c r="AW27">
        <v>0.13263800000000001</v>
      </c>
      <c r="AX27">
        <v>0.13607900000000001</v>
      </c>
      <c r="AY27">
        <v>0.139713</v>
      </c>
      <c r="AZ27">
        <v>0.14401600000000001</v>
      </c>
      <c r="BA27">
        <v>0.148205</v>
      </c>
      <c r="BB27">
        <v>0.15097099999999999</v>
      </c>
      <c r="BC27">
        <v>0.15409800000000001</v>
      </c>
      <c r="BD27">
        <v>0.15787999999999999</v>
      </c>
      <c r="BE27">
        <v>0.16147300000000001</v>
      </c>
      <c r="BF27">
        <v>0.16483500000000001</v>
      </c>
      <c r="BG27">
        <v>0.167794</v>
      </c>
      <c r="BH27">
        <v>0.16950699999999999</v>
      </c>
      <c r="BI27">
        <v>0.17083599999999999</v>
      </c>
      <c r="BJ27">
        <v>7.2999999999999995E-2</v>
      </c>
    </row>
    <row r="28" spans="1:62" x14ac:dyDescent="0.5">
      <c r="A28" s="73"/>
      <c r="B28" s="10">
        <f t="shared" si="2"/>
        <v>2038</v>
      </c>
      <c r="C28" s="82">
        <f t="shared" si="1"/>
        <v>68.096584865663999</v>
      </c>
      <c r="D28" s="85">
        <f>N24*(('INPUT TABLE'!B$10/100)+1)</f>
        <v>1323198.1927999998</v>
      </c>
      <c r="E28" s="88"/>
      <c r="F28" s="69"/>
      <c r="G28" s="69"/>
      <c r="H28" s="69"/>
      <c r="I28" s="69"/>
      <c r="J28" s="74"/>
      <c r="L28" s="10">
        <v>2042</v>
      </c>
      <c r="M28" s="82">
        <f t="shared" si="3"/>
        <v>109674.15200000003</v>
      </c>
      <c r="N28" s="47">
        <f t="shared" si="5"/>
        <v>1608126.0559999999</v>
      </c>
      <c r="O28" s="47">
        <f>EV!D72*1000+O27</f>
        <v>873649.41131910414</v>
      </c>
      <c r="P28" s="47">
        <f>P27+EV!$G72*1000</f>
        <v>46269114.06207405</v>
      </c>
      <c r="T28" t="s">
        <v>151</v>
      </c>
      <c r="U28" t="s">
        <v>152</v>
      </c>
      <c r="W28" t="s">
        <v>117</v>
      </c>
      <c r="Y28">
        <v>40.933413999999999</v>
      </c>
      <c r="Z28">
        <v>42.960380999999998</v>
      </c>
      <c r="AA28">
        <v>48.676772999999997</v>
      </c>
      <c r="AB28">
        <v>50.330596999999997</v>
      </c>
      <c r="AC28">
        <v>52.556370000000001</v>
      </c>
      <c r="AD28">
        <v>55.481022000000003</v>
      </c>
      <c r="AE28">
        <v>58.092315999999997</v>
      </c>
      <c r="AF28">
        <v>60.905921999999997</v>
      </c>
      <c r="AG28">
        <v>66.671706999999998</v>
      </c>
      <c r="AH28">
        <v>71.446121000000005</v>
      </c>
      <c r="AI28">
        <v>76.763679999999994</v>
      </c>
      <c r="AK28">
        <v>82.431693999999993</v>
      </c>
      <c r="AM28">
        <v>88.278259000000006</v>
      </c>
      <c r="AO28">
        <v>94.705573999999999</v>
      </c>
      <c r="AQ28">
        <v>101.253815</v>
      </c>
      <c r="AR28">
        <v>106.98634300000001</v>
      </c>
      <c r="AS28">
        <v>112.455521</v>
      </c>
      <c r="AV28">
        <v>118.37088799999999</v>
      </c>
      <c r="AW28">
        <v>124.80706000000001</v>
      </c>
      <c r="AX28">
        <v>129.99505600000001</v>
      </c>
      <c r="AY28">
        <v>135.86669900000001</v>
      </c>
      <c r="AZ28">
        <v>141.758377</v>
      </c>
      <c r="BA28">
        <v>147.28907799999999</v>
      </c>
      <c r="BB28">
        <v>151.54574600000001</v>
      </c>
      <c r="BC28">
        <v>156.182816</v>
      </c>
      <c r="BD28">
        <v>161.290222</v>
      </c>
      <c r="BE28">
        <v>166.93048099999999</v>
      </c>
      <c r="BF28">
        <v>172.255844</v>
      </c>
      <c r="BG28">
        <v>177.32115200000001</v>
      </c>
      <c r="BH28">
        <v>180.97859199999999</v>
      </c>
      <c r="BI28">
        <v>184.493011</v>
      </c>
      <c r="BJ28">
        <v>5.0999999999999997E-2</v>
      </c>
    </row>
    <row r="29" spans="1:62" x14ac:dyDescent="0.5">
      <c r="A29" s="73"/>
      <c r="B29" s="10">
        <f t="shared" si="2"/>
        <v>2039</v>
      </c>
      <c r="C29" s="82">
        <f t="shared" si="1"/>
        <v>73.007382249792002</v>
      </c>
      <c r="D29" s="85">
        <f>N25*(('INPUT TABLE'!B$10/100)+1)</f>
        <v>1429109.44</v>
      </c>
      <c r="E29" s="88"/>
      <c r="F29" s="69"/>
      <c r="G29" s="69"/>
      <c r="H29" s="69"/>
      <c r="I29" s="69"/>
      <c r="J29" s="74"/>
      <c r="L29" s="10">
        <v>2043</v>
      </c>
      <c r="M29" s="82">
        <f t="shared" si="3"/>
        <v>113021.95200000003</v>
      </c>
      <c r="N29" s="47">
        <f t="shared" si="5"/>
        <v>1717800.2079999999</v>
      </c>
      <c r="O29" s="47">
        <f>EV!D73*1000+O28</f>
        <v>958895.03632441617</v>
      </c>
      <c r="P29" s="47">
        <f>P28+EV!$G73*1000</f>
        <v>47244383.532902464</v>
      </c>
      <c r="T29" t="s">
        <v>153</v>
      </c>
      <c r="U29" t="s">
        <v>154</v>
      </c>
      <c r="W29" t="s">
        <v>155</v>
      </c>
      <c r="Y29">
        <v>7.2328159999999997</v>
      </c>
      <c r="Z29">
        <v>7.138166</v>
      </c>
      <c r="AA29">
        <v>7.3760459999999997</v>
      </c>
      <c r="AB29">
        <v>7.6773939999999996</v>
      </c>
      <c r="AC29">
        <v>7.9970780000000001</v>
      </c>
      <c r="AD29">
        <v>8.3054849999999991</v>
      </c>
      <c r="AE29">
        <v>8.7656890000000001</v>
      </c>
      <c r="AF29">
        <v>9.3057409999999994</v>
      </c>
      <c r="AG29">
        <v>10.006904</v>
      </c>
      <c r="AH29">
        <v>10.589884</v>
      </c>
      <c r="AI29">
        <v>11.202424000000001</v>
      </c>
      <c r="AK29">
        <v>11.866581</v>
      </c>
      <c r="AM29">
        <v>12.572215</v>
      </c>
      <c r="AO29">
        <v>13.337225999999999</v>
      </c>
      <c r="AQ29">
        <v>14.102665999999999</v>
      </c>
      <c r="AR29">
        <v>14.883922</v>
      </c>
      <c r="AS29">
        <v>15.674439</v>
      </c>
      <c r="AV29">
        <v>16.473257</v>
      </c>
      <c r="AW29">
        <v>17.280514</v>
      </c>
      <c r="AX29">
        <v>18.062705999999999</v>
      </c>
      <c r="AY29">
        <v>18.841774000000001</v>
      </c>
      <c r="AZ29">
        <v>19.537034999999999</v>
      </c>
      <c r="BA29">
        <v>20.176147</v>
      </c>
      <c r="BB29">
        <v>20.820585000000001</v>
      </c>
      <c r="BC29">
        <v>21.463055000000001</v>
      </c>
      <c r="BD29">
        <v>22.082889999999999</v>
      </c>
      <c r="BE29">
        <v>22.753005999999999</v>
      </c>
      <c r="BF29">
        <v>23.478238999999999</v>
      </c>
      <c r="BG29">
        <v>24.186975</v>
      </c>
      <c r="BH29">
        <v>24.908842</v>
      </c>
      <c r="BI29">
        <v>25.627813</v>
      </c>
      <c r="BJ29">
        <v>4.2999999999999997E-2</v>
      </c>
    </row>
    <row r="30" spans="1:62" x14ac:dyDescent="0.5">
      <c r="A30" s="73"/>
      <c r="B30" s="10">
        <f t="shared" si="2"/>
        <v>2040</v>
      </c>
      <c r="C30" s="82">
        <f t="shared" si="1"/>
        <v>77.620160078783996</v>
      </c>
      <c r="D30" s="85">
        <f>N26*(('INPUT TABLE'!B$10/100)+1)</f>
        <v>1538703.2672000001</v>
      </c>
      <c r="E30" s="88"/>
      <c r="F30" s="69"/>
      <c r="G30" s="69"/>
      <c r="H30" s="69"/>
      <c r="I30" s="69"/>
      <c r="J30" s="74"/>
      <c r="L30" s="10">
        <v>2044</v>
      </c>
      <c r="M30" s="82">
        <f t="shared" si="3"/>
        <v>116369.75200000004</v>
      </c>
      <c r="N30" s="47">
        <f t="shared" si="5"/>
        <v>1830822.16</v>
      </c>
      <c r="O30" s="47">
        <f>EV!D74*1000+O29</f>
        <v>1047620.5257266562</v>
      </c>
      <c r="P30" s="47">
        <f>P29+EV!$G74*1000</f>
        <v>48210923.848792002</v>
      </c>
      <c r="T30" t="s">
        <v>156</v>
      </c>
      <c r="U30" t="s">
        <v>157</v>
      </c>
      <c r="W30" t="s">
        <v>117</v>
      </c>
      <c r="Y30">
        <v>565.940247</v>
      </c>
      <c r="Z30">
        <v>601.84057600000006</v>
      </c>
      <c r="AA30">
        <v>659.93048099999999</v>
      </c>
      <c r="AB30">
        <v>655.56872599999997</v>
      </c>
      <c r="AC30">
        <v>657.19470200000001</v>
      </c>
      <c r="AD30">
        <v>668.004639</v>
      </c>
      <c r="AE30">
        <v>662.72387700000002</v>
      </c>
      <c r="AF30">
        <v>654.49829099999999</v>
      </c>
      <c r="AG30">
        <v>666.25707999999997</v>
      </c>
      <c r="AH30">
        <v>674.66387899999995</v>
      </c>
      <c r="AI30">
        <v>685.24169900000004</v>
      </c>
      <c r="AK30">
        <v>694.65411400000005</v>
      </c>
      <c r="AM30">
        <v>702.16943400000002</v>
      </c>
      <c r="AO30">
        <v>710.084473</v>
      </c>
      <c r="AQ30">
        <v>717.97644000000003</v>
      </c>
      <c r="AR30">
        <v>718.80480999999997</v>
      </c>
      <c r="AS30">
        <v>717.44525099999998</v>
      </c>
      <c r="AV30">
        <v>718.56390399999998</v>
      </c>
      <c r="AW30">
        <v>722.24157700000001</v>
      </c>
      <c r="AX30">
        <v>719.68762200000003</v>
      </c>
      <c r="AY30">
        <v>721.09295699999996</v>
      </c>
      <c r="AZ30">
        <v>725.58801300000005</v>
      </c>
      <c r="BA30">
        <v>730.01586899999995</v>
      </c>
      <c r="BB30">
        <v>727.86499000000003</v>
      </c>
      <c r="BC30">
        <v>727.68212900000003</v>
      </c>
      <c r="BD30">
        <v>730.38549799999998</v>
      </c>
      <c r="BE30">
        <v>733.66339100000005</v>
      </c>
      <c r="BF30">
        <v>733.68298300000004</v>
      </c>
      <c r="BG30">
        <v>733.12658699999997</v>
      </c>
      <c r="BH30">
        <v>726.56366000000003</v>
      </c>
      <c r="BI30">
        <v>719.89367700000003</v>
      </c>
      <c r="BJ30">
        <v>8.0000000000000002E-3</v>
      </c>
    </row>
    <row r="31" spans="1:62" x14ac:dyDescent="0.5">
      <c r="A31" s="73"/>
      <c r="B31" s="10">
        <f t="shared" si="2"/>
        <v>2041</v>
      </c>
      <c r="C31" s="82">
        <f t="shared" si="1"/>
        <v>81.147773845247997</v>
      </c>
      <c r="D31" s="85">
        <f>N27*(('INPUT TABLE'!B$10/100)+1)</f>
        <v>1651979.6744000001</v>
      </c>
      <c r="E31" s="69"/>
      <c r="F31" s="69"/>
      <c r="G31" s="69"/>
      <c r="H31" s="69"/>
      <c r="I31" s="69"/>
      <c r="J31" s="74"/>
      <c r="L31" s="10">
        <v>2045</v>
      </c>
      <c r="M31" s="82">
        <f t="shared" si="3"/>
        <v>119717.55200000004</v>
      </c>
      <c r="N31" s="47">
        <f t="shared" si="5"/>
        <v>1947191.912</v>
      </c>
      <c r="O31" s="47">
        <f>EV!D75*1000+O30</f>
        <v>1140045.5342861442</v>
      </c>
      <c r="P31" s="47">
        <f>P30+EV!$G75*1000</f>
        <v>49172751.891520001</v>
      </c>
      <c r="T31" t="s">
        <v>158</v>
      </c>
    </row>
    <row r="32" spans="1:62" x14ac:dyDescent="0.5">
      <c r="A32" s="73"/>
      <c r="B32" s="10">
        <f t="shared" si="2"/>
        <v>2042</v>
      </c>
      <c r="C32" s="82">
        <f t="shared" si="1"/>
        <v>85.245625005312007</v>
      </c>
      <c r="D32" s="85">
        <f>N28*(('INPUT TABLE'!B$10/100)+1)</f>
        <v>1768938.6616</v>
      </c>
      <c r="E32" s="69"/>
      <c r="F32" s="69"/>
      <c r="G32" s="69"/>
      <c r="H32" s="69"/>
      <c r="I32" s="69"/>
      <c r="J32" s="74"/>
      <c r="L32" s="10">
        <v>2046</v>
      </c>
      <c r="M32" s="82">
        <f t="shared" si="3"/>
        <v>123065.35200000004</v>
      </c>
      <c r="N32" s="47">
        <f t="shared" si="5"/>
        <v>2066909.4640000002</v>
      </c>
      <c r="O32" s="47">
        <f>EV!D76*1000+O31</f>
        <v>1236957.2993455362</v>
      </c>
      <c r="P32" s="47">
        <f>P31+EV!$G76*1000</f>
        <v>50134450.888565056</v>
      </c>
      <c r="T32" t="s">
        <v>159</v>
      </c>
    </row>
    <row r="33" spans="1:62" x14ac:dyDescent="0.5">
      <c r="A33" s="73"/>
      <c r="B33" s="10">
        <f t="shared" si="2"/>
        <v>2043</v>
      </c>
      <c r="C33" s="82">
        <f t="shared" si="1"/>
        <v>88.725489402239987</v>
      </c>
      <c r="D33" s="85">
        <f>N29*(('INPUT TABLE'!B$10/100)+1)</f>
        <v>1889580.2287999999</v>
      </c>
      <c r="E33" s="69"/>
      <c r="F33" s="69"/>
      <c r="G33" s="69"/>
      <c r="H33" s="69"/>
      <c r="I33" s="69"/>
      <c r="J33" s="74"/>
      <c r="L33" s="10">
        <v>2047</v>
      </c>
      <c r="M33" s="82">
        <f t="shared" si="3"/>
        <v>126413.15200000005</v>
      </c>
      <c r="N33" s="47">
        <f t="shared" si="5"/>
        <v>2189974.8160000001</v>
      </c>
      <c r="O33" s="47">
        <f>EV!D77*1000+O32</f>
        <v>1337837.1774344321</v>
      </c>
      <c r="P33" s="47">
        <f>P32+EV!$G77*1000</f>
        <v>51090172.994446531</v>
      </c>
      <c r="T33" t="s">
        <v>115</v>
      </c>
      <c r="U33" t="s">
        <v>160</v>
      </c>
      <c r="W33" t="s">
        <v>117</v>
      </c>
      <c r="Y33">
        <v>742.50830099999996</v>
      </c>
      <c r="Z33">
        <v>839.81811500000003</v>
      </c>
      <c r="AA33">
        <v>867.98834199999999</v>
      </c>
      <c r="AB33">
        <v>880.69561799999997</v>
      </c>
      <c r="AC33">
        <v>907.81066899999996</v>
      </c>
      <c r="AD33">
        <v>928.87030000000004</v>
      </c>
      <c r="AE33">
        <v>919.05011000000002</v>
      </c>
      <c r="AF33">
        <v>905.13824499999998</v>
      </c>
      <c r="AG33">
        <v>902.26721199999997</v>
      </c>
      <c r="AH33">
        <v>899.092896</v>
      </c>
      <c r="AI33">
        <v>889.716858</v>
      </c>
      <c r="AK33">
        <v>888.54363999999998</v>
      </c>
      <c r="AM33">
        <v>880.402466</v>
      </c>
      <c r="AO33">
        <v>877.74658199999999</v>
      </c>
      <c r="AQ33">
        <v>875.25067100000001</v>
      </c>
      <c r="AR33">
        <v>867.49493399999994</v>
      </c>
      <c r="AS33">
        <v>856.64202899999998</v>
      </c>
      <c r="AV33">
        <v>849.09466599999996</v>
      </c>
      <c r="AW33">
        <v>842.772156</v>
      </c>
      <c r="AX33">
        <v>837.17761199999995</v>
      </c>
      <c r="AY33">
        <v>828.40832499999999</v>
      </c>
      <c r="AZ33">
        <v>826.00079300000004</v>
      </c>
      <c r="BA33">
        <v>826.84411599999999</v>
      </c>
      <c r="BB33">
        <v>821.53356900000006</v>
      </c>
      <c r="BC33">
        <v>820.53198199999997</v>
      </c>
      <c r="BD33">
        <v>827.403503</v>
      </c>
      <c r="BE33">
        <v>825.68994099999998</v>
      </c>
      <c r="BF33">
        <v>824.78405799999996</v>
      </c>
      <c r="BG33">
        <v>822.817993</v>
      </c>
      <c r="BH33">
        <v>818.46142599999996</v>
      </c>
      <c r="BI33">
        <v>812.55969200000004</v>
      </c>
      <c r="BJ33">
        <v>3.0000000000000001E-3</v>
      </c>
    </row>
    <row r="34" spans="1:62" x14ac:dyDescent="0.5">
      <c r="A34" s="73"/>
      <c r="B34" s="10">
        <f t="shared" si="2"/>
        <v>2044</v>
      </c>
      <c r="C34" s="82">
        <f t="shared" si="1"/>
        <v>92.425008559487992</v>
      </c>
      <c r="D34" s="85">
        <f>N30*(('INPUT TABLE'!B$10/100)+1)</f>
        <v>2013904.3760000002</v>
      </c>
      <c r="E34" s="69"/>
      <c r="F34" s="69"/>
      <c r="G34" s="69"/>
      <c r="H34" s="69"/>
      <c r="I34" s="69"/>
      <c r="J34" s="74"/>
      <c r="L34" s="10">
        <v>2048</v>
      </c>
      <c r="M34" s="82">
        <f t="shared" si="3"/>
        <v>129760.95200000005</v>
      </c>
      <c r="N34" s="47">
        <f t="shared" si="5"/>
        <v>2316387.9680000003</v>
      </c>
      <c r="O34" s="47">
        <f>EV!D78*1000+O33</f>
        <v>1442898.468343168</v>
      </c>
      <c r="P34" s="47">
        <f>P33+EV!$G78*1000</f>
        <v>52039559.527401857</v>
      </c>
      <c r="T34" t="s">
        <v>118</v>
      </c>
      <c r="U34" t="s">
        <v>161</v>
      </c>
      <c r="W34" t="s">
        <v>117</v>
      </c>
      <c r="Y34">
        <v>4.4811560000000004</v>
      </c>
      <c r="Z34">
        <v>8.1547660000000004</v>
      </c>
      <c r="AA34">
        <v>11.818294</v>
      </c>
      <c r="AB34">
        <v>11.149635999999999</v>
      </c>
      <c r="AC34">
        <v>11.035218</v>
      </c>
      <c r="AD34">
        <v>11.435942000000001</v>
      </c>
      <c r="AE34">
        <v>11.216537000000001</v>
      </c>
      <c r="AF34">
        <v>11.102767999999999</v>
      </c>
      <c r="AG34">
        <v>11.407508</v>
      </c>
      <c r="AH34">
        <v>11.689266</v>
      </c>
      <c r="AI34">
        <v>12.033699</v>
      </c>
      <c r="AK34">
        <v>12.090852</v>
      </c>
      <c r="AM34">
        <v>12.288544999999999</v>
      </c>
      <c r="AO34">
        <v>12.431486</v>
      </c>
      <c r="AQ34">
        <v>12.699901000000001</v>
      </c>
      <c r="AR34">
        <v>12.780099</v>
      </c>
      <c r="AS34">
        <v>12.859647000000001</v>
      </c>
      <c r="AV34">
        <v>12.817780000000001</v>
      </c>
      <c r="AW34">
        <v>12.890377000000001</v>
      </c>
      <c r="AX34">
        <v>12.88594</v>
      </c>
      <c r="AY34">
        <v>12.822679000000001</v>
      </c>
      <c r="AZ34">
        <v>12.843582</v>
      </c>
      <c r="BA34">
        <v>12.928634000000001</v>
      </c>
      <c r="BB34">
        <v>12.783537000000001</v>
      </c>
      <c r="BC34">
        <v>12.865246000000001</v>
      </c>
      <c r="BD34">
        <v>12.856289</v>
      </c>
      <c r="BE34">
        <v>12.925825</v>
      </c>
      <c r="BF34">
        <v>12.813585</v>
      </c>
      <c r="BG34">
        <v>12.988789000000001</v>
      </c>
      <c r="BH34">
        <v>12.741766</v>
      </c>
      <c r="BI34">
        <v>12.685717</v>
      </c>
      <c r="BJ34">
        <v>3.5000000000000003E-2</v>
      </c>
    </row>
    <row r="35" spans="1:62" x14ac:dyDescent="0.5">
      <c r="A35" s="73"/>
      <c r="B35" s="10">
        <f t="shared" si="2"/>
        <v>2045</v>
      </c>
      <c r="C35" s="82">
        <f t="shared" si="1"/>
        <v>96.911765059391982</v>
      </c>
      <c r="D35" s="85">
        <f>N31*(('INPUT TABLE'!B$10/100)+1)</f>
        <v>2141911.1032000002</v>
      </c>
      <c r="E35" s="69"/>
      <c r="F35" s="69"/>
      <c r="G35" s="69"/>
      <c r="H35" s="69"/>
      <c r="I35" s="69"/>
      <c r="J35" s="74"/>
      <c r="L35" s="10">
        <v>2049</v>
      </c>
      <c r="M35" s="82">
        <f t="shared" si="3"/>
        <v>133108.75200000004</v>
      </c>
      <c r="N35" s="47">
        <f t="shared" si="5"/>
        <v>2446148.9200000004</v>
      </c>
      <c r="O35" s="47">
        <f>EV!D79*1000+O34</f>
        <v>1552300.4919506561</v>
      </c>
      <c r="P35" s="47">
        <f>P34+EV!$G79*1000</f>
        <v>52981147.7673833</v>
      </c>
      <c r="T35" t="s">
        <v>162</v>
      </c>
      <c r="U35" t="s">
        <v>163</v>
      </c>
      <c r="W35" t="s">
        <v>117</v>
      </c>
      <c r="Y35">
        <v>746.98944100000006</v>
      </c>
      <c r="Z35">
        <v>847.97289999999998</v>
      </c>
      <c r="AA35">
        <v>879.80664100000001</v>
      </c>
      <c r="AB35">
        <v>891.84527600000001</v>
      </c>
      <c r="AC35">
        <v>918.84588599999995</v>
      </c>
      <c r="AD35">
        <v>940.30621299999996</v>
      </c>
      <c r="AE35">
        <v>930.26666299999999</v>
      </c>
      <c r="AF35">
        <v>916.24102800000003</v>
      </c>
      <c r="AG35">
        <v>913.67474400000003</v>
      </c>
      <c r="AH35">
        <v>910.78216599999996</v>
      </c>
      <c r="AI35">
        <v>901.75054899999998</v>
      </c>
      <c r="AK35">
        <v>900.63452099999995</v>
      </c>
      <c r="AM35">
        <v>892.69104000000004</v>
      </c>
      <c r="AO35">
        <v>890.17804000000001</v>
      </c>
      <c r="AQ35">
        <v>887.95056199999999</v>
      </c>
      <c r="AR35">
        <v>880.27502400000003</v>
      </c>
      <c r="AS35">
        <v>869.50164800000005</v>
      </c>
      <c r="AV35">
        <v>861.91247599999997</v>
      </c>
      <c r="AW35">
        <v>855.66253700000004</v>
      </c>
      <c r="AX35">
        <v>850.06353799999999</v>
      </c>
      <c r="AY35">
        <v>841.23101799999995</v>
      </c>
      <c r="AZ35">
        <v>838.84436000000005</v>
      </c>
      <c r="BA35">
        <v>839.77276600000005</v>
      </c>
      <c r="BB35">
        <v>834.31707800000004</v>
      </c>
      <c r="BC35">
        <v>833.39721699999996</v>
      </c>
      <c r="BD35">
        <v>840.25976600000001</v>
      </c>
      <c r="BE35">
        <v>838.61578399999996</v>
      </c>
      <c r="BF35">
        <v>837.59765600000003</v>
      </c>
      <c r="BG35">
        <v>835.80676300000005</v>
      </c>
      <c r="BH35">
        <v>831.20318599999996</v>
      </c>
      <c r="BI35">
        <v>825.24542199999996</v>
      </c>
      <c r="BJ35">
        <v>3.0000000000000001E-3</v>
      </c>
    </row>
    <row r="36" spans="1:62" x14ac:dyDescent="0.5">
      <c r="A36" s="73"/>
      <c r="B36" s="10">
        <f t="shared" si="2"/>
        <v>2046</v>
      </c>
      <c r="C36" s="82">
        <f t="shared" si="1"/>
        <v>100.87987808889599</v>
      </c>
      <c r="D36" s="85">
        <f>N32*(('INPUT TABLE'!B$10/100)+1)</f>
        <v>2273600.4104000004</v>
      </c>
      <c r="E36" s="69"/>
      <c r="F36" s="69"/>
      <c r="G36" s="69"/>
      <c r="H36" s="69"/>
      <c r="I36" s="69"/>
      <c r="J36" s="74"/>
      <c r="L36" s="10">
        <v>2050</v>
      </c>
      <c r="M36" s="82">
        <f t="shared" si="3"/>
        <v>136456.55200000003</v>
      </c>
      <c r="N36" s="47">
        <f t="shared" si="5"/>
        <v>2579257.6720000003</v>
      </c>
      <c r="O36" s="47">
        <f>EV!D80*1000+O35</f>
        <v>1665721.0627242881</v>
      </c>
      <c r="P36" s="47">
        <f>P35+EV!$G80*1000</f>
        <v>53915479.820789635</v>
      </c>
      <c r="T36" t="s">
        <v>164</v>
      </c>
    </row>
    <row r="37" spans="1:62" x14ac:dyDescent="0.5">
      <c r="A37" s="73"/>
      <c r="B37" s="10">
        <f t="shared" si="2"/>
        <v>2047</v>
      </c>
      <c r="C37" s="82">
        <f t="shared" si="1"/>
        <v>105.061290908736</v>
      </c>
      <c r="D37" s="85">
        <f>N33*(('INPUT TABLE'!B$10/100)+1)</f>
        <v>2408972.2976000002</v>
      </c>
      <c r="E37" s="69"/>
      <c r="F37" s="69"/>
      <c r="G37" s="69"/>
      <c r="H37" s="69"/>
      <c r="I37" s="69"/>
      <c r="J37" s="74"/>
      <c r="T37" t="s">
        <v>123</v>
      </c>
      <c r="U37" t="s">
        <v>165</v>
      </c>
      <c r="W37" t="s">
        <v>117</v>
      </c>
      <c r="Y37">
        <v>74.748305999999999</v>
      </c>
      <c r="Z37">
        <v>76.990395000000007</v>
      </c>
      <c r="AA37">
        <v>79.928864000000004</v>
      </c>
      <c r="AB37">
        <v>81.089675999999997</v>
      </c>
      <c r="AC37">
        <v>83.528992000000002</v>
      </c>
      <c r="AD37">
        <v>85.485305999999994</v>
      </c>
      <c r="AE37">
        <v>84.906470999999996</v>
      </c>
      <c r="AF37">
        <v>83.840339999999998</v>
      </c>
      <c r="AG37">
        <v>83.791686999999996</v>
      </c>
      <c r="AH37">
        <v>83.695892000000001</v>
      </c>
      <c r="AI37">
        <v>82.995414999999994</v>
      </c>
      <c r="AK37">
        <v>83.100243000000006</v>
      </c>
      <c r="AM37">
        <v>82.623062000000004</v>
      </c>
      <c r="AO37">
        <v>82.584755000000001</v>
      </c>
      <c r="AQ37">
        <v>82.698104999999998</v>
      </c>
      <c r="AR37">
        <v>82.263724999999994</v>
      </c>
      <c r="AS37">
        <v>81.533790999999994</v>
      </c>
      <c r="AV37">
        <v>81.081801999999996</v>
      </c>
      <c r="AW37">
        <v>80.774199999999993</v>
      </c>
      <c r="AX37">
        <v>80.479011999999997</v>
      </c>
      <c r="AY37">
        <v>79.915588</v>
      </c>
      <c r="AZ37">
        <v>79.915122999999994</v>
      </c>
      <c r="BA37">
        <v>80.215157000000005</v>
      </c>
      <c r="BB37">
        <v>79.907646</v>
      </c>
      <c r="BC37">
        <v>80.018837000000005</v>
      </c>
      <c r="BD37">
        <v>80.871612999999996</v>
      </c>
      <c r="BE37">
        <v>80.955627000000007</v>
      </c>
      <c r="BF37">
        <v>81.081283999999997</v>
      </c>
      <c r="BG37">
        <v>81.128867999999997</v>
      </c>
      <c r="BH37">
        <v>80.893410000000003</v>
      </c>
      <c r="BI37">
        <v>80.518165999999994</v>
      </c>
      <c r="BJ37">
        <v>2E-3</v>
      </c>
    </row>
    <row r="38" spans="1:62" x14ac:dyDescent="0.5">
      <c r="A38" s="73"/>
      <c r="B38" s="10">
        <f t="shared" si="2"/>
        <v>2048</v>
      </c>
      <c r="C38" s="82">
        <f t="shared" si="1"/>
        <v>109.40202360748799</v>
      </c>
      <c r="D38" s="85">
        <f>N34*(('INPUT TABLE'!B$10/100)+1)</f>
        <v>2548026.7648000005</v>
      </c>
      <c r="E38" s="69"/>
      <c r="F38" s="69"/>
      <c r="G38" s="69"/>
      <c r="H38" s="69"/>
      <c r="I38" s="69"/>
      <c r="J38" s="74"/>
      <c r="T38" t="s">
        <v>125</v>
      </c>
      <c r="U38" t="s">
        <v>166</v>
      </c>
      <c r="W38" t="s">
        <v>117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M38">
        <v>0</v>
      </c>
      <c r="AO38">
        <v>0</v>
      </c>
      <c r="AQ38">
        <v>0</v>
      </c>
      <c r="AR38">
        <v>0</v>
      </c>
      <c r="AS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137</v>
      </c>
    </row>
    <row r="39" spans="1:62" x14ac:dyDescent="0.5">
      <c r="A39" s="73"/>
      <c r="B39" s="10">
        <f t="shared" si="2"/>
        <v>2049</v>
      </c>
      <c r="C39" s="82">
        <f t="shared" si="1"/>
        <v>113.42057077363198</v>
      </c>
      <c r="D39" s="85">
        <f>N35*(('INPUT TABLE'!B$10/100)+1)</f>
        <v>2690763.8120000008</v>
      </c>
      <c r="E39" s="69"/>
      <c r="F39" s="69"/>
      <c r="G39" s="69"/>
      <c r="H39" s="69"/>
      <c r="I39" s="69"/>
      <c r="J39" s="74"/>
      <c r="T39" t="s">
        <v>127</v>
      </c>
      <c r="U39" t="s">
        <v>167</v>
      </c>
      <c r="W39" t="s">
        <v>117</v>
      </c>
      <c r="Y39">
        <v>1.1889460000000001</v>
      </c>
      <c r="Z39">
        <v>1.3771800000000001</v>
      </c>
      <c r="AA39">
        <v>1.5483420000000001</v>
      </c>
      <c r="AB39">
        <v>1.6383639999999999</v>
      </c>
      <c r="AC39">
        <v>1.957257</v>
      </c>
      <c r="AD39">
        <v>2.2707510000000002</v>
      </c>
      <c r="AE39">
        <v>2.6386799999999999</v>
      </c>
      <c r="AF39">
        <v>2.9817580000000001</v>
      </c>
      <c r="AG39">
        <v>3.46523</v>
      </c>
      <c r="AH39">
        <v>4.0025680000000001</v>
      </c>
      <c r="AI39">
        <v>4.5215550000000002</v>
      </c>
      <c r="AK39">
        <v>5.1646789999999996</v>
      </c>
      <c r="AM39">
        <v>5.8398969999999997</v>
      </c>
      <c r="AO39">
        <v>6.560905</v>
      </c>
      <c r="AQ39">
        <v>7.3015129999999999</v>
      </c>
      <c r="AR39">
        <v>7.9837540000000002</v>
      </c>
      <c r="AS39">
        <v>8.6267180000000003</v>
      </c>
      <c r="AV39">
        <v>9.2742760000000004</v>
      </c>
      <c r="AW39">
        <v>9.920299</v>
      </c>
      <c r="AX39">
        <v>10.524651</v>
      </c>
      <c r="AY39">
        <v>11.109223999999999</v>
      </c>
      <c r="AZ39">
        <v>11.719828</v>
      </c>
      <c r="BA39">
        <v>12.366583</v>
      </c>
      <c r="BB39">
        <v>12.916676000000001</v>
      </c>
      <c r="BC39">
        <v>13.523457000000001</v>
      </c>
      <c r="BD39">
        <v>14.245006999999999</v>
      </c>
      <c r="BE39">
        <v>14.887575</v>
      </c>
      <c r="BF39">
        <v>15.513259</v>
      </c>
      <c r="BG39">
        <v>16.144242999999999</v>
      </c>
      <c r="BH39">
        <v>16.695174999999999</v>
      </c>
      <c r="BI39">
        <v>17.233471000000002</v>
      </c>
      <c r="BJ39">
        <v>9.2999999999999999E-2</v>
      </c>
    </row>
    <row r="40" spans="1:62" x14ac:dyDescent="0.5">
      <c r="A40" s="73"/>
      <c r="B40" s="10">
        <f t="shared" si="2"/>
        <v>2050</v>
      </c>
      <c r="C40" s="82">
        <f t="shared" si="1"/>
        <v>117.100388403648</v>
      </c>
      <c r="D40" s="85">
        <f>N36*(('INPUT TABLE'!B$10/100)+1)</f>
        <v>2837183.4392000004</v>
      </c>
      <c r="E40" s="69"/>
      <c r="F40" s="69"/>
      <c r="G40" s="69"/>
      <c r="H40" s="69"/>
      <c r="I40" s="69"/>
      <c r="J40" s="74"/>
      <c r="T40" t="s">
        <v>129</v>
      </c>
      <c r="U40" t="s">
        <v>168</v>
      </c>
      <c r="W40" t="s">
        <v>117</v>
      </c>
      <c r="Y40">
        <v>3.0789219999999999</v>
      </c>
      <c r="Z40">
        <v>3.7818000000000001</v>
      </c>
      <c r="AA40">
        <v>4.401408</v>
      </c>
      <c r="AB40">
        <v>4.9982620000000004</v>
      </c>
      <c r="AC40">
        <v>5.6947570000000001</v>
      </c>
      <c r="AD40">
        <v>6.1373110000000004</v>
      </c>
      <c r="AE40">
        <v>6.4536259999999999</v>
      </c>
      <c r="AF40">
        <v>6.9702359999999999</v>
      </c>
      <c r="AG40">
        <v>7.9400329999999997</v>
      </c>
      <c r="AH40">
        <v>9.0727550000000008</v>
      </c>
      <c r="AI40">
        <v>10.551769</v>
      </c>
      <c r="AK40">
        <v>12.155735999999999</v>
      </c>
      <c r="AM40">
        <v>14.019882000000001</v>
      </c>
      <c r="AO40">
        <v>16.018194000000001</v>
      </c>
      <c r="AQ40">
        <v>18.171524000000002</v>
      </c>
      <c r="AR40">
        <v>20.287561</v>
      </c>
      <c r="AS40">
        <v>22.418804000000002</v>
      </c>
      <c r="AV40">
        <v>24.659288</v>
      </c>
      <c r="AW40">
        <v>26.999737</v>
      </c>
      <c r="AX40">
        <v>29.122629</v>
      </c>
      <c r="AY40">
        <v>31.396270999999999</v>
      </c>
      <c r="AZ40">
        <v>33.099808000000003</v>
      </c>
      <c r="BA40">
        <v>34.783489000000003</v>
      </c>
      <c r="BB40">
        <v>36.234611999999998</v>
      </c>
      <c r="BC40">
        <v>37.808605</v>
      </c>
      <c r="BD40">
        <v>39.601109000000001</v>
      </c>
      <c r="BE40">
        <v>41.540337000000001</v>
      </c>
      <c r="BF40">
        <v>43.317267999999999</v>
      </c>
      <c r="BG40">
        <v>45.199492999999997</v>
      </c>
      <c r="BH40">
        <v>46.79636</v>
      </c>
      <c r="BI40">
        <v>48.445061000000003</v>
      </c>
      <c r="BJ40">
        <v>9.6000000000000002E-2</v>
      </c>
    </row>
    <row r="41" spans="1:62" x14ac:dyDescent="0.5">
      <c r="A41" s="73"/>
      <c r="B41" s="69"/>
      <c r="C41" s="69"/>
      <c r="D41" s="69"/>
      <c r="E41" s="69"/>
      <c r="F41" s="69"/>
      <c r="G41" s="69"/>
      <c r="H41" s="69"/>
      <c r="I41" s="69"/>
      <c r="J41" s="74"/>
      <c r="T41" t="s">
        <v>131</v>
      </c>
      <c r="U41" t="s">
        <v>169</v>
      </c>
      <c r="W41" t="s">
        <v>117</v>
      </c>
      <c r="Y41">
        <v>0.40559299999999998</v>
      </c>
      <c r="Z41">
        <v>0.45320199999999999</v>
      </c>
      <c r="AA41">
        <v>0.47583199999999998</v>
      </c>
      <c r="AB41">
        <v>0.49313800000000002</v>
      </c>
      <c r="AC41">
        <v>0.52887099999999998</v>
      </c>
      <c r="AD41">
        <v>0.54456800000000005</v>
      </c>
      <c r="AE41">
        <v>0.54985899999999999</v>
      </c>
      <c r="AF41">
        <v>0.61157300000000003</v>
      </c>
      <c r="AG41">
        <v>0.69235999999999998</v>
      </c>
      <c r="AH41">
        <v>0.77845799999999998</v>
      </c>
      <c r="AI41">
        <v>0.86293399999999998</v>
      </c>
      <c r="AK41">
        <v>0.956758</v>
      </c>
      <c r="AM41">
        <v>1.0488360000000001</v>
      </c>
      <c r="AO41">
        <v>1.143194</v>
      </c>
      <c r="AQ41">
        <v>1.2387269999999999</v>
      </c>
      <c r="AR41">
        <v>1.324786</v>
      </c>
      <c r="AS41">
        <v>1.4165049999999999</v>
      </c>
      <c r="AV41">
        <v>1.5229379999999999</v>
      </c>
      <c r="AW41">
        <v>1.6424190000000001</v>
      </c>
      <c r="AX41">
        <v>1.770316</v>
      </c>
      <c r="AY41">
        <v>1.915395</v>
      </c>
      <c r="AZ41">
        <v>2.0829689999999998</v>
      </c>
      <c r="BA41">
        <v>2.2791990000000002</v>
      </c>
      <c r="BB41">
        <v>2.484804</v>
      </c>
      <c r="BC41">
        <v>2.7306819999999998</v>
      </c>
      <c r="BD41">
        <v>3.0435880000000002</v>
      </c>
      <c r="BE41">
        <v>3.3999570000000001</v>
      </c>
      <c r="BF41">
        <v>3.8048579999999999</v>
      </c>
      <c r="BG41">
        <v>4.2754729999999999</v>
      </c>
      <c r="BH41">
        <v>4.7927770000000001</v>
      </c>
      <c r="BI41">
        <v>5.3844370000000001</v>
      </c>
      <c r="BJ41">
        <v>0.09</v>
      </c>
    </row>
    <row r="42" spans="1:62" x14ac:dyDescent="0.5">
      <c r="A42" s="73"/>
      <c r="B42" s="69"/>
      <c r="C42" s="69"/>
      <c r="D42" s="69"/>
      <c r="E42" s="69"/>
      <c r="F42" s="69"/>
      <c r="G42" s="69"/>
      <c r="H42" s="69"/>
      <c r="I42" s="69"/>
      <c r="J42" s="74"/>
      <c r="T42" t="s">
        <v>133</v>
      </c>
      <c r="U42" t="s">
        <v>170</v>
      </c>
      <c r="W42" t="s">
        <v>117</v>
      </c>
      <c r="Y42">
        <v>2.8048199999999999</v>
      </c>
      <c r="Z42">
        <v>3.427114</v>
      </c>
      <c r="AA42">
        <v>3.4412470000000002</v>
      </c>
      <c r="AB42">
        <v>3.1798039999999999</v>
      </c>
      <c r="AC42">
        <v>2.9520439999999999</v>
      </c>
      <c r="AD42">
        <v>5.2338420000000001</v>
      </c>
      <c r="AE42">
        <v>14.993566</v>
      </c>
      <c r="AF42">
        <v>17.377089000000002</v>
      </c>
      <c r="AG42">
        <v>17.611222999999999</v>
      </c>
      <c r="AH42">
        <v>17.629797</v>
      </c>
      <c r="AI42">
        <v>17.814356</v>
      </c>
      <c r="AK42">
        <v>18.225974999999998</v>
      </c>
      <c r="AM42">
        <v>18.762529000000001</v>
      </c>
      <c r="AO42">
        <v>19.309418000000001</v>
      </c>
      <c r="AQ42">
        <v>19.803303</v>
      </c>
      <c r="AR42">
        <v>20.106563999999999</v>
      </c>
      <c r="AS42">
        <v>20.300241</v>
      </c>
      <c r="AV42">
        <v>20.515923000000001</v>
      </c>
      <c r="AW42">
        <v>20.729828000000001</v>
      </c>
      <c r="AX42">
        <v>20.808047999999999</v>
      </c>
      <c r="AY42">
        <v>20.879845</v>
      </c>
      <c r="AZ42">
        <v>20.914791000000001</v>
      </c>
      <c r="BA42">
        <v>20.958134000000001</v>
      </c>
      <c r="BB42">
        <v>20.835934000000002</v>
      </c>
      <c r="BC42">
        <v>20.771647999999999</v>
      </c>
      <c r="BD42">
        <v>20.820435</v>
      </c>
      <c r="BE42">
        <v>20.802970999999999</v>
      </c>
      <c r="BF42">
        <v>20.699414999999998</v>
      </c>
      <c r="BG42">
        <v>20.585896999999999</v>
      </c>
      <c r="BH42">
        <v>20.335910999999999</v>
      </c>
      <c r="BI42">
        <v>20.060946000000001</v>
      </c>
      <c r="BJ42">
        <v>6.8000000000000005E-2</v>
      </c>
    </row>
    <row r="43" spans="1:62" x14ac:dyDescent="0.5">
      <c r="A43" s="73"/>
      <c r="B43" s="69"/>
      <c r="C43" s="69"/>
      <c r="D43" s="69"/>
      <c r="E43" s="69"/>
      <c r="F43" s="69"/>
      <c r="G43" s="69"/>
      <c r="H43" s="69"/>
      <c r="I43" s="69"/>
      <c r="J43" s="74"/>
      <c r="T43" t="s">
        <v>135</v>
      </c>
      <c r="U43" t="s">
        <v>171</v>
      </c>
      <c r="W43" t="s">
        <v>117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R43">
        <v>0</v>
      </c>
      <c r="AS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137</v>
      </c>
    </row>
    <row r="44" spans="1:62" x14ac:dyDescent="0.5">
      <c r="A44" s="73"/>
      <c r="B44" s="69"/>
      <c r="C44" s="69"/>
      <c r="D44" s="69"/>
      <c r="E44" s="69"/>
      <c r="F44" s="69"/>
      <c r="G44" s="69"/>
      <c r="H44" s="69"/>
      <c r="I44" s="69"/>
      <c r="J44" s="74"/>
      <c r="T44" t="s">
        <v>138</v>
      </c>
      <c r="U44" t="s">
        <v>172</v>
      </c>
      <c r="W44" t="s">
        <v>117</v>
      </c>
      <c r="Y44">
        <v>24.055256</v>
      </c>
      <c r="Z44">
        <v>28.861763</v>
      </c>
      <c r="AA44">
        <v>31.06193</v>
      </c>
      <c r="AB44">
        <v>32.018818000000003</v>
      </c>
      <c r="AC44">
        <v>33.537239</v>
      </c>
      <c r="AD44">
        <v>35.179321000000002</v>
      </c>
      <c r="AE44">
        <v>41.771960999999997</v>
      </c>
      <c r="AF44">
        <v>44.657618999999997</v>
      </c>
      <c r="AG44">
        <v>46.333022999999997</v>
      </c>
      <c r="AH44">
        <v>47.667473000000001</v>
      </c>
      <c r="AI44">
        <v>49.257514999999998</v>
      </c>
      <c r="AK44">
        <v>51.035114</v>
      </c>
      <c r="AM44">
        <v>52.716309000000003</v>
      </c>
      <c r="AO44">
        <v>54.463107999999998</v>
      </c>
      <c r="AQ44">
        <v>56.259627999999999</v>
      </c>
      <c r="AR44">
        <v>57.624718000000001</v>
      </c>
      <c r="AS44">
        <v>58.801422000000002</v>
      </c>
      <c r="AV44">
        <v>60.114516999999999</v>
      </c>
      <c r="AW44">
        <v>61.537823000000003</v>
      </c>
      <c r="AX44">
        <v>62.691634999999998</v>
      </c>
      <c r="AY44">
        <v>63.926929000000001</v>
      </c>
      <c r="AZ44">
        <v>65.319289999999995</v>
      </c>
      <c r="BA44">
        <v>66.893692000000001</v>
      </c>
      <c r="BB44">
        <v>67.983620000000002</v>
      </c>
      <c r="BC44">
        <v>69.370048999999995</v>
      </c>
      <c r="BD44">
        <v>71.306831000000003</v>
      </c>
      <c r="BE44">
        <v>73.009711999999993</v>
      </c>
      <c r="BF44">
        <v>74.507225000000005</v>
      </c>
      <c r="BG44">
        <v>76.072768999999994</v>
      </c>
      <c r="BH44">
        <v>77.232567000000003</v>
      </c>
      <c r="BI44">
        <v>78.394501000000005</v>
      </c>
      <c r="BJ44">
        <v>0.04</v>
      </c>
    </row>
    <row r="45" spans="1:62" x14ac:dyDescent="0.5">
      <c r="A45" s="73"/>
      <c r="B45" s="69"/>
      <c r="C45" s="69"/>
      <c r="D45" s="69"/>
      <c r="E45" s="69"/>
      <c r="F45" s="69"/>
      <c r="G45" s="69"/>
      <c r="H45" s="69"/>
      <c r="I45" s="69"/>
      <c r="J45" s="74"/>
      <c r="T45" t="s">
        <v>140</v>
      </c>
      <c r="U45" t="s">
        <v>173</v>
      </c>
      <c r="W45" t="s">
        <v>117</v>
      </c>
      <c r="Y45">
        <v>9.8651000000000003E-2</v>
      </c>
      <c r="Z45">
        <v>0.111001</v>
      </c>
      <c r="AA45">
        <v>0.115852</v>
      </c>
      <c r="AB45">
        <v>0.117199</v>
      </c>
      <c r="AC45">
        <v>0.120516</v>
      </c>
      <c r="AD45">
        <v>0.123584</v>
      </c>
      <c r="AE45">
        <v>0.124123</v>
      </c>
      <c r="AF45">
        <v>0.12325899999999999</v>
      </c>
      <c r="AG45">
        <v>0.123655</v>
      </c>
      <c r="AH45">
        <v>0.123961</v>
      </c>
      <c r="AI45">
        <v>0.12320399999999999</v>
      </c>
      <c r="AK45">
        <v>0.12391000000000001</v>
      </c>
      <c r="AM45">
        <v>0.12388399999999999</v>
      </c>
      <c r="AO45">
        <v>0.124579</v>
      </c>
      <c r="AQ45">
        <v>0.12540599999999999</v>
      </c>
      <c r="AR45">
        <v>0.12546599999999999</v>
      </c>
      <c r="AS45">
        <v>0.12512699999999999</v>
      </c>
      <c r="AV45">
        <v>0.12520000000000001</v>
      </c>
      <c r="AW45">
        <v>0.12548999999999999</v>
      </c>
      <c r="AX45">
        <v>0.12573300000000001</v>
      </c>
      <c r="AY45">
        <v>0.125638</v>
      </c>
      <c r="AZ45">
        <v>0.126302</v>
      </c>
      <c r="BA45">
        <v>0.12742000000000001</v>
      </c>
      <c r="BB45">
        <v>0.12757299999999999</v>
      </c>
      <c r="BC45">
        <v>0.12840799999999999</v>
      </c>
      <c r="BD45">
        <v>0.13039100000000001</v>
      </c>
      <c r="BE45">
        <v>0.13128899999999999</v>
      </c>
      <c r="BF45">
        <v>0.13220999999999999</v>
      </c>
      <c r="BG45">
        <v>0.13306799999999999</v>
      </c>
      <c r="BH45">
        <v>0.133353</v>
      </c>
      <c r="BI45">
        <v>0.13344400000000001</v>
      </c>
      <c r="BJ45">
        <v>0.01</v>
      </c>
    </row>
    <row r="46" spans="1:62" ht="14.7" thickBot="1" x14ac:dyDescent="0.55000000000000004">
      <c r="A46" s="75"/>
      <c r="B46" s="76"/>
      <c r="C46" s="76"/>
      <c r="D46" s="76"/>
      <c r="E46" s="76"/>
      <c r="F46" s="76"/>
      <c r="G46" s="76"/>
      <c r="H46" s="76"/>
      <c r="I46" s="76"/>
      <c r="J46" s="77"/>
      <c r="T46" t="s">
        <v>142</v>
      </c>
      <c r="U46" t="s">
        <v>174</v>
      </c>
      <c r="W46" t="s">
        <v>117</v>
      </c>
      <c r="Y46">
        <v>0.54412899999999997</v>
      </c>
      <c r="Z46">
        <v>0.61233800000000005</v>
      </c>
      <c r="AA46">
        <v>0.639123</v>
      </c>
      <c r="AB46">
        <v>0.646594</v>
      </c>
      <c r="AC46">
        <v>0.66491299999999998</v>
      </c>
      <c r="AD46">
        <v>0.68187500000000001</v>
      </c>
      <c r="AE46">
        <v>0.68487200000000004</v>
      </c>
      <c r="AF46">
        <v>0.68015199999999998</v>
      </c>
      <c r="AG46">
        <v>0.68245299999999998</v>
      </c>
      <c r="AH46">
        <v>0.68424200000000002</v>
      </c>
      <c r="AI46">
        <v>0.68022499999999997</v>
      </c>
      <c r="AK46">
        <v>0.68419200000000002</v>
      </c>
      <c r="AM46">
        <v>0.68418900000000005</v>
      </c>
      <c r="AO46">
        <v>0.68811900000000004</v>
      </c>
      <c r="AQ46">
        <v>0.69281000000000004</v>
      </c>
      <c r="AR46">
        <v>0.693241</v>
      </c>
      <c r="AS46">
        <v>0.69148299999999996</v>
      </c>
      <c r="AV46">
        <v>0.69200799999999996</v>
      </c>
      <c r="AW46">
        <v>0.69375200000000004</v>
      </c>
      <c r="AX46">
        <v>0.695164</v>
      </c>
      <c r="AY46">
        <v>0.69481400000000004</v>
      </c>
      <c r="AZ46">
        <v>0.69862000000000002</v>
      </c>
      <c r="BA46">
        <v>0.70491899999999996</v>
      </c>
      <c r="BB46">
        <v>0.70588300000000004</v>
      </c>
      <c r="BC46">
        <v>0.71060000000000001</v>
      </c>
      <c r="BD46">
        <v>0.72162499999999996</v>
      </c>
      <c r="BE46">
        <v>0.726796</v>
      </c>
      <c r="BF46">
        <v>0.73198600000000003</v>
      </c>
      <c r="BG46">
        <v>0.73687800000000003</v>
      </c>
      <c r="BH46">
        <v>0.73852300000000004</v>
      </c>
      <c r="BI46">
        <v>0.73914000000000002</v>
      </c>
      <c r="BJ46">
        <v>0.01</v>
      </c>
    </row>
    <row r="47" spans="1:62" ht="14.7" thickBot="1" x14ac:dyDescent="0.55000000000000004">
      <c r="T47" t="s">
        <v>144</v>
      </c>
      <c r="U47" t="s">
        <v>175</v>
      </c>
      <c r="W47" t="s">
        <v>117</v>
      </c>
      <c r="Y47">
        <v>0.122518</v>
      </c>
      <c r="Z47">
        <v>0.148448</v>
      </c>
      <c r="AA47">
        <v>0.16089999999999999</v>
      </c>
      <c r="AB47">
        <v>0.16667399999999999</v>
      </c>
      <c r="AC47">
        <v>0.17239299999999999</v>
      </c>
      <c r="AD47">
        <v>0.17921400000000001</v>
      </c>
      <c r="AE47">
        <v>0.180591</v>
      </c>
      <c r="AF47">
        <v>0.18257999999999999</v>
      </c>
      <c r="AG47">
        <v>0.18752199999999999</v>
      </c>
      <c r="AH47">
        <v>0.19195300000000001</v>
      </c>
      <c r="AI47">
        <v>0.19661699999999999</v>
      </c>
      <c r="AK47">
        <v>0.20052</v>
      </c>
      <c r="AM47">
        <v>0.205039</v>
      </c>
      <c r="AO47">
        <v>0.20966699999999999</v>
      </c>
      <c r="AQ47">
        <v>0.21621399999999999</v>
      </c>
      <c r="AR47">
        <v>0.221192</v>
      </c>
      <c r="AS47">
        <v>0.22548699999999999</v>
      </c>
      <c r="AV47">
        <v>0.230772</v>
      </c>
      <c r="AW47">
        <v>0.23727699999999999</v>
      </c>
      <c r="AX47">
        <v>0.24186199999999999</v>
      </c>
      <c r="AY47">
        <v>0.24852199999999999</v>
      </c>
      <c r="AZ47">
        <v>0.255938</v>
      </c>
      <c r="BA47">
        <v>0.26445200000000002</v>
      </c>
      <c r="BB47">
        <v>0.270536</v>
      </c>
      <c r="BC47">
        <v>0.27815699999999999</v>
      </c>
      <c r="BD47">
        <v>0.28842699999999999</v>
      </c>
      <c r="BE47">
        <v>0.299178</v>
      </c>
      <c r="BF47">
        <v>0.30760700000000002</v>
      </c>
      <c r="BG47">
        <v>0.31834800000000002</v>
      </c>
      <c r="BH47">
        <v>0.32600299999999999</v>
      </c>
      <c r="BI47">
        <v>0.33458500000000002</v>
      </c>
      <c r="BJ47">
        <v>3.4000000000000002E-2</v>
      </c>
    </row>
    <row r="48" spans="1:62" x14ac:dyDescent="0.5">
      <c r="A48" s="70"/>
      <c r="B48" s="71"/>
      <c r="C48" s="71"/>
      <c r="D48" s="71"/>
      <c r="E48" s="71"/>
      <c r="F48" s="71"/>
      <c r="G48" s="71"/>
      <c r="H48" s="71"/>
      <c r="I48" s="71"/>
      <c r="J48" s="72"/>
      <c r="T48" t="s">
        <v>146</v>
      </c>
      <c r="U48" t="s">
        <v>176</v>
      </c>
      <c r="W48" t="s">
        <v>117</v>
      </c>
      <c r="Y48">
        <v>0.351549</v>
      </c>
      <c r="Z48">
        <v>0.39561499999999999</v>
      </c>
      <c r="AA48">
        <v>0.41289500000000001</v>
      </c>
      <c r="AB48">
        <v>0.41767700000000002</v>
      </c>
      <c r="AC48">
        <v>0.42946299999999998</v>
      </c>
      <c r="AD48">
        <v>0.44037900000000002</v>
      </c>
      <c r="AE48">
        <v>0.442299</v>
      </c>
      <c r="AF48">
        <v>0.43922699999999998</v>
      </c>
      <c r="AG48">
        <v>0.44064300000000001</v>
      </c>
      <c r="AH48">
        <v>0.44175999999999999</v>
      </c>
      <c r="AI48">
        <v>0.43908399999999997</v>
      </c>
      <c r="AK48">
        <v>0.44161699999999998</v>
      </c>
      <c r="AM48">
        <v>0.44154300000000002</v>
      </c>
      <c r="AO48">
        <v>0.44404399999999999</v>
      </c>
      <c r="AQ48">
        <v>0.447023</v>
      </c>
      <c r="AR48">
        <v>0.44725999999999999</v>
      </c>
      <c r="AS48">
        <v>0.446073</v>
      </c>
      <c r="AV48">
        <v>0.44635799999999998</v>
      </c>
      <c r="AW48">
        <v>0.44741500000000001</v>
      </c>
      <c r="AX48">
        <v>0.44830199999999998</v>
      </c>
      <c r="AY48">
        <v>0.44798399999999999</v>
      </c>
      <c r="AZ48">
        <v>0.450374</v>
      </c>
      <c r="BA48">
        <v>0.45438400000000001</v>
      </c>
      <c r="BB48">
        <v>0.45494600000000002</v>
      </c>
      <c r="BC48">
        <v>0.45794600000000002</v>
      </c>
      <c r="BD48">
        <v>0.46504600000000001</v>
      </c>
      <c r="BE48">
        <v>0.468275</v>
      </c>
      <c r="BF48">
        <v>0.47157100000000002</v>
      </c>
      <c r="BG48">
        <v>0.474663</v>
      </c>
      <c r="BH48">
        <v>0.47570099999999998</v>
      </c>
      <c r="BI48">
        <v>0.476051</v>
      </c>
      <c r="BJ48">
        <v>0.01</v>
      </c>
    </row>
    <row r="49" spans="1:62" x14ac:dyDescent="0.5">
      <c r="A49" s="73"/>
      <c r="B49" s="69"/>
      <c r="C49" s="127"/>
      <c r="D49" s="127"/>
      <c r="E49" s="127" t="s">
        <v>72</v>
      </c>
      <c r="F49" s="127"/>
      <c r="G49" s="127"/>
      <c r="H49" s="127"/>
      <c r="I49" s="127" t="s">
        <v>73</v>
      </c>
      <c r="J49" s="74"/>
      <c r="T49" t="s">
        <v>147</v>
      </c>
      <c r="U49" t="s">
        <v>177</v>
      </c>
      <c r="W49" t="s">
        <v>117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M49">
        <v>0</v>
      </c>
      <c r="AO49">
        <v>0</v>
      </c>
      <c r="AQ49">
        <v>0</v>
      </c>
      <c r="AR49">
        <v>0</v>
      </c>
      <c r="AS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137</v>
      </c>
    </row>
    <row r="50" spans="1:62" ht="57.35" x14ac:dyDescent="0.5">
      <c r="A50" s="73"/>
      <c r="B50" s="7" t="s">
        <v>33</v>
      </c>
      <c r="C50" s="86" t="s">
        <v>75</v>
      </c>
      <c r="D50" s="86" t="s">
        <v>76</v>
      </c>
      <c r="E50" s="86" t="s">
        <v>77</v>
      </c>
      <c r="F50" s="86" t="s">
        <v>68</v>
      </c>
      <c r="G50" s="86" t="s">
        <v>78</v>
      </c>
      <c r="H50" s="86" t="s">
        <v>79</v>
      </c>
      <c r="I50" s="86" t="s">
        <v>80</v>
      </c>
      <c r="J50" s="74"/>
      <c r="L50" s="121" t="s">
        <v>84</v>
      </c>
      <c r="M50" s="121">
        <v>2016</v>
      </c>
      <c r="N50" s="121">
        <v>2017</v>
      </c>
      <c r="O50" s="121">
        <v>2018</v>
      </c>
      <c r="P50" s="121">
        <v>2019</v>
      </c>
      <c r="Q50" s="121">
        <v>2020</v>
      </c>
      <c r="T50" t="s">
        <v>149</v>
      </c>
      <c r="U50" t="s">
        <v>178</v>
      </c>
      <c r="W50" t="s">
        <v>117</v>
      </c>
      <c r="Y50">
        <v>5.9900000000000003E-4</v>
      </c>
      <c r="Z50">
        <v>8.8699999999999998E-4</v>
      </c>
      <c r="AA50">
        <v>1.2210000000000001E-3</v>
      </c>
      <c r="AB50">
        <v>1.614E-3</v>
      </c>
      <c r="AC50">
        <v>2.1559999999999999E-3</v>
      </c>
      <c r="AD50">
        <v>2.9229999999999998E-3</v>
      </c>
      <c r="AE50">
        <v>3.7169999999999998E-3</v>
      </c>
      <c r="AF50">
        <v>4.6350000000000002E-3</v>
      </c>
      <c r="AG50">
        <v>5.7879999999999997E-3</v>
      </c>
      <c r="AH50">
        <v>7.1190000000000003E-3</v>
      </c>
      <c r="AI50">
        <v>8.5579999999999996E-3</v>
      </c>
      <c r="AK50">
        <v>1.0204E-2</v>
      </c>
      <c r="AM50">
        <v>1.1899E-2</v>
      </c>
      <c r="AO50">
        <v>1.3702000000000001E-2</v>
      </c>
      <c r="AQ50">
        <v>1.5537E-2</v>
      </c>
      <c r="AR50">
        <v>1.7231E-2</v>
      </c>
      <c r="AS50">
        <v>1.8783000000000001E-2</v>
      </c>
      <c r="AV50">
        <v>2.0289999999999999E-2</v>
      </c>
      <c r="AW50">
        <v>2.1735000000000001E-2</v>
      </c>
      <c r="AX50">
        <v>2.3032E-2</v>
      </c>
      <c r="AY50">
        <v>2.4225E-2</v>
      </c>
      <c r="AZ50">
        <v>2.5472000000000002E-2</v>
      </c>
      <c r="BA50">
        <v>2.674E-2</v>
      </c>
      <c r="BB50">
        <v>2.7744999999999999E-2</v>
      </c>
      <c r="BC50">
        <v>2.8861000000000001E-2</v>
      </c>
      <c r="BD50">
        <v>3.0207000000000001E-2</v>
      </c>
      <c r="BE50">
        <v>3.1386999999999998E-2</v>
      </c>
      <c r="BF50">
        <v>3.2474000000000003E-2</v>
      </c>
      <c r="BG50">
        <v>3.3538999999999999E-2</v>
      </c>
      <c r="BH50">
        <v>3.4361999999999997E-2</v>
      </c>
      <c r="BI50">
        <v>3.5110000000000002E-2</v>
      </c>
      <c r="BJ50">
        <v>0.14499999999999999</v>
      </c>
    </row>
    <row r="51" spans="1:62" x14ac:dyDescent="0.5">
      <c r="A51" s="73"/>
      <c r="B51" s="10">
        <f>2020</f>
        <v>2020</v>
      </c>
      <c r="C51" s="85">
        <f>'INPUT TABLE'!B4</f>
        <v>100</v>
      </c>
      <c r="D51" s="85">
        <f t="shared" ref="D51:D81" si="6">E51+((F51-E51)*(C51-F$2)/(F$3-F$2))</f>
        <v>12.96280885056</v>
      </c>
      <c r="E51" s="85">
        <v>12.029320175999999</v>
      </c>
      <c r="F51" s="85">
        <v>14.273283336</v>
      </c>
      <c r="G51" s="85">
        <f t="shared" ref="G51:G81" si="7">H51+((I51-H51)*(C51-F$2)/(F$3-F$2))</f>
        <v>881.42990763724799</v>
      </c>
      <c r="H51" s="3">
        <v>882.48993715199992</v>
      </c>
      <c r="I51" s="3">
        <v>879.94178927999997</v>
      </c>
      <c r="J51" s="74"/>
      <c r="L51" s="5" t="s">
        <v>85</v>
      </c>
      <c r="M51" s="28">
        <v>199096</v>
      </c>
      <c r="N51" s="28">
        <v>217084</v>
      </c>
      <c r="O51" s="28">
        <v>233645</v>
      </c>
      <c r="P51" s="28">
        <v>225212</v>
      </c>
      <c r="Q51" s="28">
        <v>201629</v>
      </c>
      <c r="T51" t="s">
        <v>179</v>
      </c>
      <c r="U51" t="s">
        <v>180</v>
      </c>
      <c r="W51" t="s">
        <v>117</v>
      </c>
      <c r="Y51">
        <v>107.399269</v>
      </c>
      <c r="Z51">
        <v>116.15973700000001</v>
      </c>
      <c r="AA51">
        <v>122.187607</v>
      </c>
      <c r="AB51">
        <v>124.767815</v>
      </c>
      <c r="AC51">
        <v>129.588593</v>
      </c>
      <c r="AD51">
        <v>136.27908300000001</v>
      </c>
      <c r="AE51">
        <v>152.749786</v>
      </c>
      <c r="AF51">
        <v>157.868469</v>
      </c>
      <c r="AG51">
        <v>161.273605</v>
      </c>
      <c r="AH51">
        <v>164.29598999999999</v>
      </c>
      <c r="AI51">
        <v>167.45124799999999</v>
      </c>
      <c r="AK51">
        <v>172.09895299999999</v>
      </c>
      <c r="AM51">
        <v>176.47706600000001</v>
      </c>
      <c r="AO51">
        <v>181.55969200000001</v>
      </c>
      <c r="AQ51">
        <v>186.96978799999999</v>
      </c>
      <c r="AR51">
        <v>191.095505</v>
      </c>
      <c r="AS51">
        <v>194.60443100000001</v>
      </c>
      <c r="AV51">
        <v>198.68338</v>
      </c>
      <c r="AW51">
        <v>203.129974</v>
      </c>
      <c r="AX51">
        <v>206.93038899999999</v>
      </c>
      <c r="AY51">
        <v>210.68443300000001</v>
      </c>
      <c r="AZ51">
        <v>214.60850500000001</v>
      </c>
      <c r="BA51">
        <v>219.074173</v>
      </c>
      <c r="BB51">
        <v>221.949951</v>
      </c>
      <c r="BC51">
        <v>225.82723999999999</v>
      </c>
      <c r="BD51">
        <v>231.524261</v>
      </c>
      <c r="BE51">
        <v>236.25309799999999</v>
      </c>
      <c r="BF51">
        <v>240.599152</v>
      </c>
      <c r="BG51">
        <v>245.103241</v>
      </c>
      <c r="BH51">
        <v>248.45414700000001</v>
      </c>
      <c r="BI51">
        <v>251.754898</v>
      </c>
      <c r="BJ51">
        <v>2.9000000000000001E-2</v>
      </c>
    </row>
    <row r="52" spans="1:62" x14ac:dyDescent="0.5">
      <c r="A52" s="73"/>
      <c r="B52" s="5">
        <f>B51+1</f>
        <v>2021</v>
      </c>
      <c r="C52" s="85">
        <f>C51</f>
        <v>100</v>
      </c>
      <c r="D52" s="85">
        <f t="shared" si="6"/>
        <v>13.481474988287999</v>
      </c>
      <c r="E52" s="85">
        <v>12.259666944000001</v>
      </c>
      <c r="F52" s="85">
        <v>15.196705511999999</v>
      </c>
      <c r="G52" s="85">
        <f t="shared" si="7"/>
        <v>977.76651512313595</v>
      </c>
      <c r="H52" s="3">
        <v>1002.2078844719999</v>
      </c>
      <c r="I52" s="3">
        <v>943.45459276799988</v>
      </c>
      <c r="J52" s="74"/>
      <c r="L52" s="5" t="s">
        <v>86</v>
      </c>
      <c r="M52" s="28">
        <v>8397</v>
      </c>
      <c r="N52" s="28">
        <v>11724</v>
      </c>
      <c r="O52" s="28">
        <v>18990</v>
      </c>
      <c r="P52" s="28">
        <v>29540</v>
      </c>
      <c r="Q52" s="28">
        <v>36418</v>
      </c>
      <c r="T52" t="s">
        <v>181</v>
      </c>
      <c r="U52" t="s">
        <v>182</v>
      </c>
      <c r="W52" t="s">
        <v>155</v>
      </c>
      <c r="Y52">
        <v>12.570304999999999</v>
      </c>
      <c r="Z52">
        <v>12.048107</v>
      </c>
      <c r="AA52">
        <v>12.194442</v>
      </c>
      <c r="AB52">
        <v>12.272891</v>
      </c>
      <c r="AC52">
        <v>12.360200000000001</v>
      </c>
      <c r="AD52">
        <v>12.658455999999999</v>
      </c>
      <c r="AE52">
        <v>14.104106</v>
      </c>
      <c r="AF52">
        <v>14.697615000000001</v>
      </c>
      <c r="AG52">
        <v>15.002916000000001</v>
      </c>
      <c r="AH52">
        <v>15.282238</v>
      </c>
      <c r="AI52">
        <v>15.661332</v>
      </c>
      <c r="AK52">
        <v>16.043030000000002</v>
      </c>
      <c r="AM52">
        <v>16.506015999999999</v>
      </c>
      <c r="AO52">
        <v>16.940681000000001</v>
      </c>
      <c r="AQ52">
        <v>17.393826000000001</v>
      </c>
      <c r="AR52">
        <v>17.836548000000001</v>
      </c>
      <c r="AS52">
        <v>18.288067000000002</v>
      </c>
      <c r="AV52">
        <v>18.733184999999999</v>
      </c>
      <c r="AW52">
        <v>19.185061000000001</v>
      </c>
      <c r="AX52">
        <v>19.577255000000001</v>
      </c>
      <c r="AY52">
        <v>20.028648</v>
      </c>
      <c r="AZ52">
        <v>20.371911999999998</v>
      </c>
      <c r="BA52">
        <v>20.689879999999999</v>
      </c>
      <c r="BB52">
        <v>21.012671999999998</v>
      </c>
      <c r="BC52">
        <v>21.320055</v>
      </c>
      <c r="BD52">
        <v>21.601762999999998</v>
      </c>
      <c r="BE52">
        <v>21.979713</v>
      </c>
      <c r="BF52">
        <v>22.314957</v>
      </c>
      <c r="BG52">
        <v>22.675637999999999</v>
      </c>
      <c r="BH52">
        <v>23.012314</v>
      </c>
      <c r="BI52">
        <v>23.375563</v>
      </c>
      <c r="BJ52">
        <v>2.1000000000000001E-2</v>
      </c>
    </row>
    <row r="53" spans="1:62" x14ac:dyDescent="0.5">
      <c r="A53" s="73"/>
      <c r="B53" s="5">
        <f t="shared" ref="B53:B81" si="8">B52+1</f>
        <v>2022</v>
      </c>
      <c r="C53" s="85">
        <f t="shared" ref="C53:C81" si="9">C52</f>
        <v>100</v>
      </c>
      <c r="D53" s="85">
        <f t="shared" si="6"/>
        <v>14.689559677631998</v>
      </c>
      <c r="E53" s="85">
        <v>12.607336343999998</v>
      </c>
      <c r="F53" s="85">
        <v>17.612680895999997</v>
      </c>
      <c r="G53" s="85">
        <f t="shared" si="7"/>
        <v>1041.435095326656</v>
      </c>
      <c r="H53" s="3">
        <v>1069.2431690159999</v>
      </c>
      <c r="I53" s="3">
        <v>1002.3968380319999</v>
      </c>
      <c r="J53" s="74"/>
      <c r="M53">
        <f>M52/1000</f>
        <v>8.3970000000000002</v>
      </c>
      <c r="N53">
        <f t="shared" ref="N53:Q53" si="10">N52/1000</f>
        <v>11.724</v>
      </c>
      <c r="O53">
        <f t="shared" si="10"/>
        <v>18.989999999999998</v>
      </c>
      <c r="P53">
        <f t="shared" si="10"/>
        <v>29.54</v>
      </c>
      <c r="Q53">
        <f t="shared" si="10"/>
        <v>36.417999999999999</v>
      </c>
      <c r="T53" t="s">
        <v>183</v>
      </c>
      <c r="U53" t="s">
        <v>184</v>
      </c>
      <c r="W53" t="s">
        <v>117</v>
      </c>
      <c r="Y53">
        <v>854.388733</v>
      </c>
      <c r="Z53">
        <v>964.13262899999995</v>
      </c>
      <c r="AA53">
        <v>1001.994263</v>
      </c>
      <c r="AB53">
        <v>1016.613098</v>
      </c>
      <c r="AC53">
        <v>1048.434448</v>
      </c>
      <c r="AD53">
        <v>1076.585327</v>
      </c>
      <c r="AE53">
        <v>1083.0164789999999</v>
      </c>
      <c r="AF53">
        <v>1074.1094969999999</v>
      </c>
      <c r="AG53">
        <v>1074.9483640000001</v>
      </c>
      <c r="AH53">
        <v>1075.078125</v>
      </c>
      <c r="AI53">
        <v>1069.2017820000001</v>
      </c>
      <c r="AK53">
        <v>1072.7335210000001</v>
      </c>
      <c r="AM53">
        <v>1069.168091</v>
      </c>
      <c r="AO53">
        <v>1071.737793</v>
      </c>
      <c r="AQ53">
        <v>1074.9204099999999</v>
      </c>
      <c r="AR53">
        <v>1071.3704829999999</v>
      </c>
      <c r="AS53">
        <v>1064.1060789999999</v>
      </c>
      <c r="AV53">
        <v>1060.5958250000001</v>
      </c>
      <c r="AW53">
        <v>1058.7924800000001</v>
      </c>
      <c r="AX53">
        <v>1056.9938959999999</v>
      </c>
      <c r="AY53">
        <v>1051.915405</v>
      </c>
      <c r="AZ53">
        <v>1053.4528809999999</v>
      </c>
      <c r="BA53">
        <v>1058.8469239999999</v>
      </c>
      <c r="BB53">
        <v>1056.2670900000001</v>
      </c>
      <c r="BC53">
        <v>1059.224487</v>
      </c>
      <c r="BD53">
        <v>1071.784058</v>
      </c>
      <c r="BE53">
        <v>1074.8688959999999</v>
      </c>
      <c r="BF53">
        <v>1078.1967770000001</v>
      </c>
      <c r="BG53">
        <v>1080.910034</v>
      </c>
      <c r="BH53">
        <v>1079.6573490000001</v>
      </c>
      <c r="BI53">
        <v>1077.000366</v>
      </c>
      <c r="BJ53">
        <v>8.0000000000000002E-3</v>
      </c>
    </row>
    <row r="54" spans="1:62" x14ac:dyDescent="0.5">
      <c r="A54" s="73"/>
      <c r="B54" s="5">
        <f t="shared" si="8"/>
        <v>2023</v>
      </c>
      <c r="C54" s="85">
        <f t="shared" si="9"/>
        <v>100</v>
      </c>
      <c r="D54" s="85">
        <f t="shared" si="6"/>
        <v>15.112687476672001</v>
      </c>
      <c r="E54" s="85">
        <v>12.15931836</v>
      </c>
      <c r="F54" s="85">
        <v>19.258763351999999</v>
      </c>
      <c r="G54" s="85">
        <f t="shared" si="7"/>
        <v>1039.464028788864</v>
      </c>
      <c r="H54" s="3">
        <v>1044.1300754399999</v>
      </c>
      <c r="I54" s="3">
        <v>1032.913617144</v>
      </c>
      <c r="J54" s="74"/>
      <c r="L54" s="5" t="s">
        <v>87</v>
      </c>
      <c r="M54" s="28">
        <v>3889</v>
      </c>
      <c r="N54" s="28">
        <v>3901</v>
      </c>
      <c r="O54" s="28">
        <v>3063</v>
      </c>
      <c r="P54" s="28">
        <v>3284</v>
      </c>
      <c r="Q54" s="28">
        <v>2836</v>
      </c>
      <c r="T54" t="s">
        <v>185</v>
      </c>
      <c r="U54" t="s">
        <v>186</v>
      </c>
      <c r="W54" t="s">
        <v>155</v>
      </c>
      <c r="Y54">
        <v>10.443546</v>
      </c>
      <c r="Z54">
        <v>10.161102</v>
      </c>
      <c r="AA54">
        <v>10.281115</v>
      </c>
      <c r="AB54">
        <v>10.471256</v>
      </c>
      <c r="AC54">
        <v>10.679048999999999</v>
      </c>
      <c r="AD54">
        <v>10.991701000000001</v>
      </c>
      <c r="AE54">
        <v>12.077519000000001</v>
      </c>
      <c r="AF54">
        <v>12.6561</v>
      </c>
      <c r="AG54">
        <v>13.091236</v>
      </c>
      <c r="AH54">
        <v>13.472962000000001</v>
      </c>
      <c r="AI54">
        <v>13.919793</v>
      </c>
      <c r="AK54">
        <v>14.40152</v>
      </c>
      <c r="AM54">
        <v>14.946635000000001</v>
      </c>
      <c r="AO54">
        <v>15.504645999999999</v>
      </c>
      <c r="AQ54">
        <v>16.075861</v>
      </c>
      <c r="AR54">
        <v>16.650984000000001</v>
      </c>
      <c r="AS54">
        <v>17.235537000000001</v>
      </c>
      <c r="AV54">
        <v>17.820447999999999</v>
      </c>
      <c r="AW54">
        <v>18.412731000000001</v>
      </c>
      <c r="AX54">
        <v>18.963747000000001</v>
      </c>
      <c r="AY54">
        <v>19.545938</v>
      </c>
      <c r="AZ54">
        <v>20.031407999999999</v>
      </c>
      <c r="BA54">
        <v>20.480228</v>
      </c>
      <c r="BB54">
        <v>20.934313</v>
      </c>
      <c r="BC54">
        <v>21.378288000000001</v>
      </c>
      <c r="BD54">
        <v>21.796755000000001</v>
      </c>
      <c r="BE54">
        <v>22.293413000000001</v>
      </c>
      <c r="BF54">
        <v>22.786003000000001</v>
      </c>
      <c r="BG54">
        <v>23.286428000000001</v>
      </c>
      <c r="BH54">
        <v>23.775206000000001</v>
      </c>
      <c r="BI54">
        <v>24.277887</v>
      </c>
      <c r="BJ54">
        <v>2.9000000000000001E-2</v>
      </c>
    </row>
    <row r="55" spans="1:62" x14ac:dyDescent="0.5">
      <c r="A55" s="73"/>
      <c r="B55" s="5">
        <f t="shared" si="8"/>
        <v>2024</v>
      </c>
      <c r="C55" s="85">
        <f t="shared" si="9"/>
        <v>100</v>
      </c>
      <c r="D55" s="85">
        <f t="shared" si="6"/>
        <v>16.193495926655999</v>
      </c>
      <c r="E55" s="85">
        <v>12.827879952</v>
      </c>
      <c r="F55" s="85">
        <v>20.918302967999999</v>
      </c>
      <c r="G55" s="85">
        <f t="shared" si="7"/>
        <v>1045.205418842304</v>
      </c>
      <c r="H55" s="3">
        <v>1055.2343844719999</v>
      </c>
      <c r="I55" s="3">
        <v>1031.126294016</v>
      </c>
      <c r="J55" s="74"/>
      <c r="L55" s="5" t="s">
        <v>88</v>
      </c>
      <c r="M55" s="28">
        <v>1038</v>
      </c>
      <c r="N55" s="28">
        <v>1276</v>
      </c>
      <c r="O55" s="28">
        <v>1310</v>
      </c>
      <c r="P55" s="28">
        <v>1517</v>
      </c>
      <c r="Q55" s="28">
        <v>1451</v>
      </c>
      <c r="T55" t="s">
        <v>187</v>
      </c>
      <c r="U55" t="s">
        <v>188</v>
      </c>
      <c r="W55" t="s">
        <v>117</v>
      </c>
      <c r="Y55">
        <v>9.3094990000000006</v>
      </c>
      <c r="Z55">
        <v>10.48198</v>
      </c>
      <c r="AA55">
        <v>11.298253000000001</v>
      </c>
      <c r="AB55">
        <v>11.704929999999999</v>
      </c>
      <c r="AC55">
        <v>12.443804999999999</v>
      </c>
      <c r="AD55">
        <v>13.225021</v>
      </c>
      <c r="AE55">
        <v>13.832276</v>
      </c>
      <c r="AF55">
        <v>14.324833</v>
      </c>
      <c r="AG55">
        <v>15.118618</v>
      </c>
      <c r="AH55">
        <v>15.943042999999999</v>
      </c>
      <c r="AI55">
        <v>16.765442</v>
      </c>
      <c r="AK55">
        <v>17.680864</v>
      </c>
      <c r="AM55">
        <v>18.505703</v>
      </c>
      <c r="AO55">
        <v>19.372769999999999</v>
      </c>
      <c r="AQ55">
        <v>20.206951</v>
      </c>
      <c r="AR55">
        <v>20.840402999999998</v>
      </c>
      <c r="AS55">
        <v>21.342922000000002</v>
      </c>
      <c r="AV55">
        <v>21.86018</v>
      </c>
      <c r="AW55">
        <v>22.378015999999999</v>
      </c>
      <c r="AX55">
        <v>22.779854</v>
      </c>
      <c r="AY55">
        <v>23.146409999999999</v>
      </c>
      <c r="AZ55">
        <v>23.610396999999999</v>
      </c>
      <c r="BA55">
        <v>24.106579</v>
      </c>
      <c r="BB55">
        <v>24.390863</v>
      </c>
      <c r="BC55">
        <v>24.765667000000001</v>
      </c>
      <c r="BD55">
        <v>25.310811999999999</v>
      </c>
      <c r="BE55">
        <v>25.718862999999999</v>
      </c>
      <c r="BF55">
        <v>26.089089999999999</v>
      </c>
      <c r="BG55">
        <v>26.435825000000001</v>
      </c>
      <c r="BH55">
        <v>26.628278999999999</v>
      </c>
      <c r="BI55">
        <v>26.782578999999998</v>
      </c>
      <c r="BJ55">
        <v>3.5999999999999997E-2</v>
      </c>
    </row>
    <row r="56" spans="1:62" x14ac:dyDescent="0.5">
      <c r="A56" s="73"/>
      <c r="B56" s="5">
        <f t="shared" si="8"/>
        <v>2025</v>
      </c>
      <c r="C56" s="85">
        <f t="shared" si="9"/>
        <v>100</v>
      </c>
      <c r="D56" s="85">
        <f t="shared" si="6"/>
        <v>17.46324348768</v>
      </c>
      <c r="E56" s="85">
        <v>13.758447959999998</v>
      </c>
      <c r="F56" s="85">
        <v>22.664206440000001</v>
      </c>
      <c r="G56" s="85">
        <f t="shared" si="7"/>
        <v>1074.4714083976319</v>
      </c>
      <c r="H56" s="3">
        <v>1096.1137649039999</v>
      </c>
      <c r="I56" s="3">
        <v>1044.0888694559999</v>
      </c>
      <c r="J56" s="74"/>
      <c r="L56" s="5" t="s">
        <v>89</v>
      </c>
      <c r="M56" s="5" t="s">
        <v>90</v>
      </c>
      <c r="N56" s="5" t="s">
        <v>90</v>
      </c>
      <c r="O56" s="5">
        <v>54</v>
      </c>
      <c r="P56" s="5">
        <v>238</v>
      </c>
      <c r="Q56" s="5">
        <v>200</v>
      </c>
      <c r="T56" t="s">
        <v>189</v>
      </c>
      <c r="U56" t="s">
        <v>190</v>
      </c>
      <c r="W56" t="s">
        <v>117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R56">
        <v>0</v>
      </c>
      <c r="AS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137</v>
      </c>
    </row>
    <row r="57" spans="1:62" x14ac:dyDescent="0.5">
      <c r="A57" s="73"/>
      <c r="B57" s="5">
        <f t="shared" si="8"/>
        <v>2026</v>
      </c>
      <c r="C57" s="85">
        <f t="shared" si="9"/>
        <v>100</v>
      </c>
      <c r="D57" s="85">
        <f t="shared" si="6"/>
        <v>18.712917155904002</v>
      </c>
      <c r="E57" s="85">
        <v>14.658678024</v>
      </c>
      <c r="F57" s="85">
        <v>24.404445168000002</v>
      </c>
      <c r="G57" s="85">
        <f t="shared" si="7"/>
        <v>1071.4566521867519</v>
      </c>
      <c r="H57" s="3">
        <v>1095.911982672</v>
      </c>
      <c r="I57" s="3">
        <v>1037.1251305439998</v>
      </c>
      <c r="J57" s="74"/>
      <c r="L57" s="5" t="s">
        <v>91</v>
      </c>
      <c r="M57" s="5" t="s">
        <v>90</v>
      </c>
      <c r="N57" s="5" t="s">
        <v>90</v>
      </c>
      <c r="O57" s="5">
        <v>4</v>
      </c>
      <c r="P57" s="5">
        <v>3</v>
      </c>
      <c r="Q57" s="5">
        <v>3</v>
      </c>
      <c r="T57" t="s">
        <v>191</v>
      </c>
      <c r="U57" t="s">
        <v>192</v>
      </c>
      <c r="W57" t="s">
        <v>193</v>
      </c>
    </row>
    <row r="58" spans="1:62" x14ac:dyDescent="0.5">
      <c r="A58" s="73"/>
      <c r="B58" s="5">
        <f t="shared" si="8"/>
        <v>2027</v>
      </c>
      <c r="C58" s="85">
        <f t="shared" si="9"/>
        <v>100</v>
      </c>
      <c r="D58" s="85">
        <f t="shared" si="6"/>
        <v>20.067023346816001</v>
      </c>
      <c r="E58" s="85">
        <v>15.564092592</v>
      </c>
      <c r="F58" s="85">
        <v>26.388445367999999</v>
      </c>
      <c r="G58" s="85">
        <f t="shared" si="7"/>
        <v>1050.4226092517758</v>
      </c>
      <c r="H58" s="3">
        <v>1076.7368089199999</v>
      </c>
      <c r="I58" s="3">
        <v>1013.481521256</v>
      </c>
      <c r="J58" s="74"/>
      <c r="L58" s="5" t="s">
        <v>92</v>
      </c>
      <c r="M58" s="5" t="s">
        <v>90</v>
      </c>
      <c r="N58" s="5" t="s">
        <v>90</v>
      </c>
      <c r="O58" s="5">
        <v>4</v>
      </c>
      <c r="P58" s="5">
        <v>6</v>
      </c>
      <c r="Q58" s="5">
        <v>4</v>
      </c>
      <c r="T58" t="s">
        <v>194</v>
      </c>
      <c r="U58" t="s">
        <v>195</v>
      </c>
      <c r="W58" t="s">
        <v>117</v>
      </c>
      <c r="Y58">
        <v>1267.505371</v>
      </c>
      <c r="Z58">
        <v>1398.6888429999999</v>
      </c>
      <c r="AA58">
        <v>1479.231567</v>
      </c>
      <c r="AB58">
        <v>1485.923828</v>
      </c>
      <c r="AC58">
        <v>1512.4392089999999</v>
      </c>
      <c r="AD58">
        <v>1541.3842770000001</v>
      </c>
      <c r="AE58">
        <v>1523.6719969999999</v>
      </c>
      <c r="AF58">
        <v>1498.7210689999999</v>
      </c>
      <c r="AG58">
        <v>1501.8432620000001</v>
      </c>
      <c r="AH58">
        <v>1502.301025</v>
      </c>
      <c r="AI58">
        <v>1498.1850589999999</v>
      </c>
      <c r="AK58">
        <v>1500.7561040000001</v>
      </c>
      <c r="AM58">
        <v>1494.2836910000001</v>
      </c>
      <c r="AO58">
        <v>1493.1154790000001</v>
      </c>
      <c r="AQ58">
        <v>1491.963135</v>
      </c>
      <c r="AR58">
        <v>1479.3032229999999</v>
      </c>
      <c r="AS58">
        <v>1461.621582</v>
      </c>
      <c r="AV58">
        <v>1449.2775879999999</v>
      </c>
      <c r="AW58">
        <v>1440.196655</v>
      </c>
      <c r="AX58">
        <v>1426.8602289999999</v>
      </c>
      <c r="AY58">
        <v>1413.624634</v>
      </c>
      <c r="AZ58">
        <v>1409.820557</v>
      </c>
      <c r="BA58">
        <v>1409.5610349999999</v>
      </c>
      <c r="BB58">
        <v>1397.8431399999999</v>
      </c>
      <c r="BC58">
        <v>1392.021606</v>
      </c>
      <c r="BD58">
        <v>1396.4892580000001</v>
      </c>
      <c r="BE58">
        <v>1392.4133300000001</v>
      </c>
      <c r="BF58">
        <v>1386.201904</v>
      </c>
      <c r="BG58">
        <v>1378.6141359999999</v>
      </c>
      <c r="BH58">
        <v>1364.037476</v>
      </c>
      <c r="BI58">
        <v>1347.951538</v>
      </c>
      <c r="BJ58">
        <v>2E-3</v>
      </c>
    </row>
    <row r="59" spans="1:62" x14ac:dyDescent="0.5">
      <c r="A59" s="73"/>
      <c r="B59" s="5">
        <f t="shared" si="8"/>
        <v>2028</v>
      </c>
      <c r="C59" s="85">
        <f t="shared" si="9"/>
        <v>100</v>
      </c>
      <c r="D59" s="85">
        <f t="shared" si="6"/>
        <v>22.427617531967996</v>
      </c>
      <c r="E59" s="85">
        <v>17.316217607999999</v>
      </c>
      <c r="F59" s="85">
        <v>29.603236655999996</v>
      </c>
      <c r="G59" s="85">
        <f t="shared" si="7"/>
        <v>1050.9430085854078</v>
      </c>
      <c r="H59" s="3">
        <v>1079.2095966959998</v>
      </c>
      <c r="I59" s="3">
        <v>1011.2610675839999</v>
      </c>
      <c r="J59" s="74"/>
      <c r="L59" s="30" t="s">
        <v>93</v>
      </c>
      <c r="M59" s="31">
        <v>212420</v>
      </c>
      <c r="N59" s="31">
        <v>233985</v>
      </c>
      <c r="O59" s="31">
        <v>257070</v>
      </c>
      <c r="P59" s="31">
        <v>259800</v>
      </c>
      <c r="Q59" s="31">
        <v>242541</v>
      </c>
      <c r="R59" s="27">
        <f>P59-M59</f>
        <v>47380</v>
      </c>
      <c r="S59" s="27"/>
      <c r="T59" t="s">
        <v>196</v>
      </c>
      <c r="U59" t="s">
        <v>197</v>
      </c>
      <c r="W59" t="s">
        <v>117</v>
      </c>
      <c r="Y59">
        <v>4.4908669999999997</v>
      </c>
      <c r="Z59">
        <v>8.1642890000000001</v>
      </c>
      <c r="AA59">
        <v>11.828792</v>
      </c>
      <c r="AB59">
        <v>11.159649999999999</v>
      </c>
      <c r="AC59">
        <v>11.044896</v>
      </c>
      <c r="AD59">
        <v>11.445683000000001</v>
      </c>
      <c r="AE59">
        <v>11.226205999999999</v>
      </c>
      <c r="AF59">
        <v>11.112157</v>
      </c>
      <c r="AG59">
        <v>11.416966</v>
      </c>
      <c r="AH59">
        <v>11.698912</v>
      </c>
      <c r="AI59">
        <v>12.043514999999999</v>
      </c>
      <c r="AK59">
        <v>12.100771</v>
      </c>
      <c r="AM59">
        <v>12.298519000000001</v>
      </c>
      <c r="AO59">
        <v>12.441579000000001</v>
      </c>
      <c r="AQ59">
        <v>12.710101</v>
      </c>
      <c r="AR59">
        <v>12.790295</v>
      </c>
      <c r="AS59">
        <v>12.869823</v>
      </c>
      <c r="AV59">
        <v>12.827869</v>
      </c>
      <c r="AW59">
        <v>12.900454999999999</v>
      </c>
      <c r="AX59">
        <v>12.895943000000001</v>
      </c>
      <c r="AY59">
        <v>12.832537</v>
      </c>
      <c r="AZ59">
        <v>12.853444</v>
      </c>
      <c r="BA59">
        <v>12.938491000000001</v>
      </c>
      <c r="BB59">
        <v>12.793226000000001</v>
      </c>
      <c r="BC59">
        <v>12.874891</v>
      </c>
      <c r="BD59">
        <v>12.865785000000001</v>
      </c>
      <c r="BE59">
        <v>12.935236</v>
      </c>
      <c r="BF59">
        <v>12.822848</v>
      </c>
      <c r="BG59">
        <v>12.998023999999999</v>
      </c>
      <c r="BH59">
        <v>12.750724999999999</v>
      </c>
      <c r="BI59">
        <v>12.694493</v>
      </c>
      <c r="BJ59">
        <v>3.5000000000000003E-2</v>
      </c>
    </row>
    <row r="60" spans="1:62" x14ac:dyDescent="0.5">
      <c r="A60" s="73"/>
      <c r="B60" s="5">
        <f t="shared" si="8"/>
        <v>2029</v>
      </c>
      <c r="C60" s="85">
        <f t="shared" si="9"/>
        <v>100</v>
      </c>
      <c r="D60" s="85">
        <f t="shared" si="6"/>
        <v>25.352714866943998</v>
      </c>
      <c r="E60" s="85">
        <v>19.618149215999999</v>
      </c>
      <c r="F60" s="85">
        <v>33.403162799999997</v>
      </c>
      <c r="G60" s="85">
        <f t="shared" si="7"/>
        <v>1052.062920759744</v>
      </c>
      <c r="H60" s="3">
        <v>1087.897277496</v>
      </c>
      <c r="I60" s="3">
        <v>1001.7569968799999</v>
      </c>
      <c r="J60" s="74"/>
      <c r="L60" s="5"/>
      <c r="M60" s="28"/>
      <c r="N60" s="38"/>
      <c r="O60" s="38"/>
      <c r="P60" s="38"/>
      <c r="Q60" s="38"/>
      <c r="T60" t="s">
        <v>198</v>
      </c>
      <c r="U60" t="s">
        <v>199</v>
      </c>
      <c r="W60" t="s">
        <v>117</v>
      </c>
      <c r="Y60">
        <v>84.553237999999993</v>
      </c>
      <c r="Z60">
        <v>87.441199999999995</v>
      </c>
      <c r="AA60">
        <v>91.386634999999998</v>
      </c>
      <c r="AB60">
        <v>92.558639999999997</v>
      </c>
      <c r="AC60">
        <v>95.075667999999993</v>
      </c>
      <c r="AD60">
        <v>97.244468999999995</v>
      </c>
      <c r="AE60">
        <v>96.599418999999997</v>
      </c>
      <c r="AF60">
        <v>95.370529000000005</v>
      </c>
      <c r="AG60">
        <v>95.493210000000005</v>
      </c>
      <c r="AH60">
        <v>95.526802000000004</v>
      </c>
      <c r="AI60">
        <v>95.015204999999995</v>
      </c>
      <c r="AK60">
        <v>95.255600000000001</v>
      </c>
      <c r="AM60">
        <v>94.871718999999999</v>
      </c>
      <c r="AO60">
        <v>94.932236000000003</v>
      </c>
      <c r="AQ60">
        <v>95.135017000000005</v>
      </c>
      <c r="AR60">
        <v>94.670799000000002</v>
      </c>
      <c r="AS60">
        <v>93.868881000000002</v>
      </c>
      <c r="AV60">
        <v>93.385306999999997</v>
      </c>
      <c r="AW60">
        <v>93.087317999999996</v>
      </c>
      <c r="AX60">
        <v>92.703109999999995</v>
      </c>
      <c r="AY60">
        <v>92.109474000000006</v>
      </c>
      <c r="AZ60">
        <v>92.144951000000006</v>
      </c>
      <c r="BA60">
        <v>92.482123999999999</v>
      </c>
      <c r="BB60">
        <v>92.101578000000003</v>
      </c>
      <c r="BC60">
        <v>92.172950999999998</v>
      </c>
      <c r="BD60">
        <v>93.039046999999997</v>
      </c>
      <c r="BE60">
        <v>93.133255000000005</v>
      </c>
      <c r="BF60">
        <v>93.218964</v>
      </c>
      <c r="BG60">
        <v>93.213898</v>
      </c>
      <c r="BH60">
        <v>92.829193000000004</v>
      </c>
      <c r="BI60">
        <v>92.297989000000001</v>
      </c>
      <c r="BJ60">
        <v>3.0000000000000001E-3</v>
      </c>
    </row>
    <row r="61" spans="1:62" x14ac:dyDescent="0.5">
      <c r="A61" s="73"/>
      <c r="B61" s="5">
        <f t="shared" si="8"/>
        <v>2030</v>
      </c>
      <c r="C61" s="85">
        <f t="shared" si="9"/>
        <v>100</v>
      </c>
      <c r="D61" s="85">
        <f t="shared" si="6"/>
        <v>28.77374146176</v>
      </c>
      <c r="E61" s="85">
        <v>22.227467135999998</v>
      </c>
      <c r="F61" s="85">
        <v>37.963703496000001</v>
      </c>
      <c r="G61" s="85">
        <f t="shared" si="7"/>
        <v>1047.9450701064959</v>
      </c>
      <c r="H61" s="3">
        <v>1090.3272452639999</v>
      </c>
      <c r="I61" s="3">
        <v>988.44701651999992</v>
      </c>
      <c r="J61" s="74"/>
      <c r="L61" s="5" t="s">
        <v>94</v>
      </c>
      <c r="M61" s="28">
        <v>16622760</v>
      </c>
      <c r="N61" s="28">
        <v>17237827</v>
      </c>
      <c r="O61" s="28">
        <v>17510554</v>
      </c>
      <c r="P61" s="28">
        <v>16845463</v>
      </c>
      <c r="Q61" s="28">
        <v>15024613</v>
      </c>
      <c r="T61" t="s">
        <v>86</v>
      </c>
      <c r="U61" t="s">
        <v>200</v>
      </c>
      <c r="W61" t="s">
        <v>117</v>
      </c>
      <c r="Y61">
        <v>17.556570000000001</v>
      </c>
      <c r="Z61">
        <v>17.265276</v>
      </c>
      <c r="AA61">
        <v>19.228891000000001</v>
      </c>
      <c r="AB61">
        <v>20.271837000000001</v>
      </c>
      <c r="AC61">
        <v>21.734521999999998</v>
      </c>
      <c r="AD61">
        <v>22.941276999999999</v>
      </c>
      <c r="AE61">
        <v>24.332117</v>
      </c>
      <c r="AF61">
        <v>26.032986000000001</v>
      </c>
      <c r="AG61">
        <v>29.299901999999999</v>
      </c>
      <c r="AH61">
        <v>33.296920999999998</v>
      </c>
      <c r="AI61">
        <v>37.985534999999999</v>
      </c>
      <c r="AK61">
        <v>43.618774000000002</v>
      </c>
      <c r="AM61">
        <v>49.705601000000001</v>
      </c>
      <c r="AO61">
        <v>56.710532999999998</v>
      </c>
      <c r="AQ61">
        <v>64.016502000000003</v>
      </c>
      <c r="AR61">
        <v>71.146293999999997</v>
      </c>
      <c r="AS61">
        <v>78.205582000000007</v>
      </c>
      <c r="AV61">
        <v>85.64743</v>
      </c>
      <c r="AW61">
        <v>93.441376000000005</v>
      </c>
      <c r="AX61">
        <v>100.512291</v>
      </c>
      <c r="AY61">
        <v>107.766998</v>
      </c>
      <c r="AZ61">
        <v>114.183403</v>
      </c>
      <c r="BA61">
        <v>120.376648</v>
      </c>
      <c r="BB61">
        <v>125.59470399999999</v>
      </c>
      <c r="BC61">
        <v>131.179214</v>
      </c>
      <c r="BD61">
        <v>137.285706</v>
      </c>
      <c r="BE61">
        <v>143.63803100000001</v>
      </c>
      <c r="BF61">
        <v>149.99943500000001</v>
      </c>
      <c r="BG61">
        <v>156.15782200000001</v>
      </c>
      <c r="BH61">
        <v>161.31040999999999</v>
      </c>
      <c r="BI61">
        <v>166.29541</v>
      </c>
      <c r="BJ61">
        <v>7.8E-2</v>
      </c>
    </row>
    <row r="62" spans="1:62" x14ac:dyDescent="0.5">
      <c r="A62" s="73"/>
      <c r="B62" s="5">
        <f t="shared" si="8"/>
        <v>2031</v>
      </c>
      <c r="C62" s="85">
        <f t="shared" si="9"/>
        <v>100</v>
      </c>
      <c r="D62" s="85">
        <f t="shared" si="6"/>
        <v>32.805228620927998</v>
      </c>
      <c r="E62" s="85">
        <v>25.407005327999997</v>
      </c>
      <c r="F62" s="85">
        <v>43.191195936</v>
      </c>
      <c r="G62" s="85">
        <f t="shared" si="7"/>
        <v>1049.101042887168</v>
      </c>
      <c r="H62" s="3">
        <v>1095.1202311679999</v>
      </c>
      <c r="I62" s="3">
        <v>984.49718241599999</v>
      </c>
      <c r="J62" s="74"/>
      <c r="L62" s="5" t="s">
        <v>95</v>
      </c>
      <c r="M62" s="28">
        <v>2127669</v>
      </c>
      <c r="N62" s="28">
        <v>2215878</v>
      </c>
      <c r="O62" s="28">
        <v>2231880</v>
      </c>
      <c r="P62" s="28">
        <v>2168253</v>
      </c>
      <c r="Q62" s="28">
        <v>1945689</v>
      </c>
      <c r="T62" t="s">
        <v>201</v>
      </c>
      <c r="U62" t="s">
        <v>202</v>
      </c>
      <c r="W62" t="s">
        <v>117</v>
      </c>
      <c r="Y62">
        <v>6.4210219999999998</v>
      </c>
      <c r="Z62">
        <v>7.9652690000000002</v>
      </c>
      <c r="AA62">
        <v>8.6696279999999994</v>
      </c>
      <c r="AB62">
        <v>8.6367480000000008</v>
      </c>
      <c r="AC62">
        <v>8.9166889999999999</v>
      </c>
      <c r="AD62">
        <v>12.023056</v>
      </c>
      <c r="AE62">
        <v>22.529509000000001</v>
      </c>
      <c r="AF62">
        <v>25.903137000000001</v>
      </c>
      <c r="AG62">
        <v>27.735281000000001</v>
      </c>
      <c r="AH62">
        <v>28.335954999999998</v>
      </c>
      <c r="AI62">
        <v>29.069497999999999</v>
      </c>
      <c r="AK62">
        <v>29.846169</v>
      </c>
      <c r="AM62">
        <v>30.88298</v>
      </c>
      <c r="AO62">
        <v>31.757466999999998</v>
      </c>
      <c r="AQ62">
        <v>32.572226999999998</v>
      </c>
      <c r="AR62">
        <v>32.977989000000001</v>
      </c>
      <c r="AS62">
        <v>33.229019000000001</v>
      </c>
      <c r="AV62">
        <v>33.513634000000003</v>
      </c>
      <c r="AW62">
        <v>33.840282000000002</v>
      </c>
      <c r="AX62">
        <v>33.812919999999998</v>
      </c>
      <c r="AY62">
        <v>33.996341999999999</v>
      </c>
      <c r="AZ62">
        <v>34.019649999999999</v>
      </c>
      <c r="BA62">
        <v>34.066051000000002</v>
      </c>
      <c r="BB62">
        <v>33.864449</v>
      </c>
      <c r="BC62">
        <v>33.760551</v>
      </c>
      <c r="BD62">
        <v>33.841704999999997</v>
      </c>
      <c r="BE62">
        <v>34.030807000000003</v>
      </c>
      <c r="BF62">
        <v>34.016616999999997</v>
      </c>
      <c r="BG62">
        <v>34.102469999999997</v>
      </c>
      <c r="BH62">
        <v>33.976055000000002</v>
      </c>
      <c r="BI62">
        <v>33.945422999999998</v>
      </c>
      <c r="BJ62">
        <v>5.7000000000000002E-2</v>
      </c>
    </row>
    <row r="63" spans="1:62" x14ac:dyDescent="0.5">
      <c r="A63" s="73"/>
      <c r="B63" s="5">
        <f t="shared" si="8"/>
        <v>2032</v>
      </c>
      <c r="C63" s="85">
        <f t="shared" si="9"/>
        <v>100</v>
      </c>
      <c r="D63" s="85">
        <f t="shared" si="6"/>
        <v>37.039500686400004</v>
      </c>
      <c r="E63" s="85">
        <v>28.853007816000002</v>
      </c>
      <c r="F63" s="85">
        <v>48.532077215999998</v>
      </c>
      <c r="G63" s="85">
        <f t="shared" si="7"/>
        <v>1040.6390028762239</v>
      </c>
      <c r="H63" s="3">
        <v>1092.740815272</v>
      </c>
      <c r="I63" s="3">
        <v>967.49607393600002</v>
      </c>
      <c r="J63" s="74"/>
      <c r="L63" s="5" t="s">
        <v>96</v>
      </c>
      <c r="M63" s="28">
        <v>1327585</v>
      </c>
      <c r="N63" s="28">
        <v>1369414</v>
      </c>
      <c r="O63" s="28">
        <v>1258596</v>
      </c>
      <c r="P63" s="28">
        <v>1276164</v>
      </c>
      <c r="Q63" s="28">
        <v>1188617</v>
      </c>
      <c r="T63" t="s">
        <v>203</v>
      </c>
      <c r="U63" t="s">
        <v>204</v>
      </c>
      <c r="W63" t="s">
        <v>117</v>
      </c>
      <c r="Y63">
        <v>38.230083</v>
      </c>
      <c r="Z63">
        <v>44.712924999999998</v>
      </c>
      <c r="AA63">
        <v>49.728920000000002</v>
      </c>
      <c r="AB63">
        <v>51.747523999999999</v>
      </c>
      <c r="AC63">
        <v>54.482360999999997</v>
      </c>
      <c r="AD63">
        <v>57.558208</v>
      </c>
      <c r="AE63">
        <v>65.373244999999997</v>
      </c>
      <c r="AF63">
        <v>69.464759999999998</v>
      </c>
      <c r="AG63">
        <v>73.385277000000002</v>
      </c>
      <c r="AH63">
        <v>76.523292999999995</v>
      </c>
      <c r="AI63">
        <v>80.064269999999993</v>
      </c>
      <c r="AK63">
        <v>83.697211999999993</v>
      </c>
      <c r="AM63">
        <v>87.160331999999997</v>
      </c>
      <c r="AO63">
        <v>90.699462999999994</v>
      </c>
      <c r="AQ63">
        <v>94.301895000000002</v>
      </c>
      <c r="AR63">
        <v>97.072533000000007</v>
      </c>
      <c r="AS63">
        <v>99.534408999999997</v>
      </c>
      <c r="AV63">
        <v>102.27067599999999</v>
      </c>
      <c r="AW63">
        <v>105.310638</v>
      </c>
      <c r="AX63">
        <v>107.627495</v>
      </c>
      <c r="AY63">
        <v>110.396355</v>
      </c>
      <c r="AZ63">
        <v>113.710945</v>
      </c>
      <c r="BA63">
        <v>117.099045</v>
      </c>
      <c r="BB63">
        <v>119.583725</v>
      </c>
      <c r="BC63">
        <v>122.523651</v>
      </c>
      <c r="BD63">
        <v>126.234009</v>
      </c>
      <c r="BE63">
        <v>129.938919</v>
      </c>
      <c r="BF63">
        <v>133.15231299999999</v>
      </c>
      <c r="BG63">
        <v>136.45765700000001</v>
      </c>
      <c r="BH63">
        <v>138.81463600000001</v>
      </c>
      <c r="BI63">
        <v>141.199387</v>
      </c>
      <c r="BJ63">
        <v>4.4999999999999998E-2</v>
      </c>
    </row>
    <row r="64" spans="1:62" x14ac:dyDescent="0.5">
      <c r="A64" s="73"/>
      <c r="B64" s="5">
        <f t="shared" si="8"/>
        <v>2033</v>
      </c>
      <c r="C64" s="85">
        <f t="shared" si="9"/>
        <v>100</v>
      </c>
      <c r="D64" s="85">
        <f t="shared" si="6"/>
        <v>41.972967124607997</v>
      </c>
      <c r="E64" s="85">
        <v>32.849976431999998</v>
      </c>
      <c r="F64" s="85">
        <v>54.780242519999994</v>
      </c>
      <c r="G64" s="85">
        <f t="shared" si="7"/>
        <v>1037.4643953820798</v>
      </c>
      <c r="H64" s="3">
        <v>1094.7928766159998</v>
      </c>
      <c r="I64" s="3">
        <v>956.98402749599995</v>
      </c>
      <c r="J64" s="74"/>
      <c r="L64" s="5" t="s">
        <v>97</v>
      </c>
      <c r="M64" s="28">
        <v>6549</v>
      </c>
      <c r="N64" s="28">
        <v>5756</v>
      </c>
      <c r="O64" s="28">
        <v>4473</v>
      </c>
      <c r="P64" s="28">
        <v>3830</v>
      </c>
      <c r="Q64" s="28">
        <v>2926</v>
      </c>
      <c r="T64" t="s">
        <v>205</v>
      </c>
      <c r="U64" t="s">
        <v>206</v>
      </c>
      <c r="W64" t="s">
        <v>117</v>
      </c>
      <c r="Y64">
        <v>1.5506169999999999</v>
      </c>
      <c r="Z64">
        <v>1.712882</v>
      </c>
      <c r="AA64">
        <v>1.823342</v>
      </c>
      <c r="AB64">
        <v>1.852841</v>
      </c>
      <c r="AC64">
        <v>1.89994</v>
      </c>
      <c r="AD64">
        <v>1.9501820000000001</v>
      </c>
      <c r="AE64">
        <v>1.9580919999999999</v>
      </c>
      <c r="AF64">
        <v>1.9462740000000001</v>
      </c>
      <c r="AG64">
        <v>1.965581</v>
      </c>
      <c r="AH64">
        <v>1.9831859999999999</v>
      </c>
      <c r="AI64">
        <v>1.993506</v>
      </c>
      <c r="AK64">
        <v>2.015288</v>
      </c>
      <c r="AM64">
        <v>2.0268130000000002</v>
      </c>
      <c r="AO64">
        <v>2.0475819999999998</v>
      </c>
      <c r="AQ64">
        <v>2.070459</v>
      </c>
      <c r="AR64">
        <v>2.0789740000000001</v>
      </c>
      <c r="AS64">
        <v>2.0802930000000002</v>
      </c>
      <c r="AV64">
        <v>2.0890939999999998</v>
      </c>
      <c r="AW64">
        <v>2.1030340000000001</v>
      </c>
      <c r="AX64">
        <v>2.1105130000000001</v>
      </c>
      <c r="AY64">
        <v>2.1180189999999999</v>
      </c>
      <c r="AZ64">
        <v>2.1384569999999998</v>
      </c>
      <c r="BA64">
        <v>2.164418</v>
      </c>
      <c r="BB64">
        <v>2.172533</v>
      </c>
      <c r="BC64">
        <v>2.1907199999999998</v>
      </c>
      <c r="BD64">
        <v>2.2259380000000002</v>
      </c>
      <c r="BE64">
        <v>2.2497240000000001</v>
      </c>
      <c r="BF64">
        <v>2.270378</v>
      </c>
      <c r="BG64">
        <v>2.2912249999999998</v>
      </c>
      <c r="BH64">
        <v>2.2985890000000002</v>
      </c>
      <c r="BI64">
        <v>2.3037709999999998</v>
      </c>
      <c r="BJ64">
        <v>1.2999999999999999E-2</v>
      </c>
    </row>
    <row r="65" spans="1:62" x14ac:dyDescent="0.5">
      <c r="A65" s="73"/>
      <c r="B65" s="5">
        <f t="shared" si="8"/>
        <v>2034</v>
      </c>
      <c r="C65" s="85">
        <f t="shared" si="9"/>
        <v>100</v>
      </c>
      <c r="D65" s="85">
        <f t="shared" si="6"/>
        <v>47.331550557695998</v>
      </c>
      <c r="E65" s="85">
        <v>37.071281855999999</v>
      </c>
      <c r="F65" s="85">
        <v>61.735389311999995</v>
      </c>
      <c r="G65" s="85">
        <f t="shared" si="7"/>
        <v>1038.442541955648</v>
      </c>
      <c r="H65" s="3">
        <v>1099.688665896</v>
      </c>
      <c r="I65" s="3">
        <v>952.46240642399994</v>
      </c>
      <c r="J65" s="74"/>
      <c r="L65" s="5" t="s">
        <v>98</v>
      </c>
      <c r="M65" s="5" t="s">
        <v>90</v>
      </c>
      <c r="N65" s="5" t="s">
        <v>90</v>
      </c>
      <c r="O65" s="5" t="s">
        <v>90</v>
      </c>
      <c r="P65" s="5" t="s">
        <v>90</v>
      </c>
      <c r="Q65" s="5" t="s">
        <v>90</v>
      </c>
      <c r="T65" t="s">
        <v>207</v>
      </c>
      <c r="U65" t="s">
        <v>208</v>
      </c>
      <c r="W65" t="s">
        <v>117</v>
      </c>
      <c r="Y65">
        <v>2.1177999999999999E-2</v>
      </c>
      <c r="Z65">
        <v>2.2572999999999999E-2</v>
      </c>
      <c r="AA65">
        <v>2.6973E-2</v>
      </c>
      <c r="AB65">
        <v>3.083E-2</v>
      </c>
      <c r="AC65">
        <v>3.5799999999999998E-2</v>
      </c>
      <c r="AD65">
        <v>4.2916999999999997E-2</v>
      </c>
      <c r="AE65">
        <v>4.9709999999999997E-2</v>
      </c>
      <c r="AF65">
        <v>5.6707E-2</v>
      </c>
      <c r="AG65">
        <v>6.6063999999999998E-2</v>
      </c>
      <c r="AH65">
        <v>7.5953999999999994E-2</v>
      </c>
      <c r="AI65">
        <v>8.6904999999999996E-2</v>
      </c>
      <c r="AK65">
        <v>9.7598000000000004E-2</v>
      </c>
      <c r="AM65">
        <v>0.107878</v>
      </c>
      <c r="AO65">
        <v>0.11797000000000001</v>
      </c>
      <c r="AQ65">
        <v>0.12748699999999999</v>
      </c>
      <c r="AR65">
        <v>0.135245</v>
      </c>
      <c r="AS65">
        <v>0.14177100000000001</v>
      </c>
      <c r="AV65">
        <v>0.14812400000000001</v>
      </c>
      <c r="AW65">
        <v>0.15437300000000001</v>
      </c>
      <c r="AX65">
        <v>0.159111</v>
      </c>
      <c r="AY65">
        <v>0.163937</v>
      </c>
      <c r="AZ65">
        <v>0.169488</v>
      </c>
      <c r="BA65">
        <v>0.17494499999999999</v>
      </c>
      <c r="BB65">
        <v>0.17871699999999999</v>
      </c>
      <c r="BC65">
        <v>0.18296000000000001</v>
      </c>
      <c r="BD65">
        <v>0.18808800000000001</v>
      </c>
      <c r="BE65">
        <v>0.19286</v>
      </c>
      <c r="BF65">
        <v>0.19730900000000001</v>
      </c>
      <c r="BG65">
        <v>0.20133400000000001</v>
      </c>
      <c r="BH65">
        <v>0.20386799999999999</v>
      </c>
      <c r="BI65">
        <v>0.20594599999999999</v>
      </c>
      <c r="BJ65">
        <v>7.9000000000000001E-2</v>
      </c>
    </row>
    <row r="66" spans="1:62" x14ac:dyDescent="0.5">
      <c r="A66" s="73"/>
      <c r="B66" s="5">
        <f t="shared" si="8"/>
        <v>2035</v>
      </c>
      <c r="C66" s="85">
        <f t="shared" si="9"/>
        <v>100</v>
      </c>
      <c r="D66" s="85">
        <f t="shared" si="6"/>
        <v>52.562841119807999</v>
      </c>
      <c r="E66" s="85">
        <v>41.170843655999995</v>
      </c>
      <c r="F66" s="85">
        <v>68.555452943999995</v>
      </c>
      <c r="G66" s="85">
        <f t="shared" si="7"/>
        <v>1028.3276070908159</v>
      </c>
      <c r="H66" s="3">
        <v>1096.190399376</v>
      </c>
      <c r="I66" s="3">
        <v>933.05868715199995</v>
      </c>
      <c r="J66" s="74"/>
      <c r="L66" s="5" t="s">
        <v>99</v>
      </c>
      <c r="M66" s="5">
        <v>555</v>
      </c>
      <c r="N66" s="5">
        <v>715</v>
      </c>
      <c r="O66" s="28">
        <v>336527</v>
      </c>
      <c r="P66" s="28">
        <v>336527</v>
      </c>
      <c r="Q66" s="28">
        <v>336527</v>
      </c>
      <c r="T66" t="s">
        <v>209</v>
      </c>
      <c r="U66" t="s">
        <v>210</v>
      </c>
      <c r="W66" t="s">
        <v>117</v>
      </c>
      <c r="Y66">
        <v>1420.3289789999999</v>
      </c>
      <c r="Z66">
        <v>1565.9731449999999</v>
      </c>
      <c r="AA66">
        <v>1661.9248050000001</v>
      </c>
      <c r="AB66">
        <v>1672.181885</v>
      </c>
      <c r="AC66">
        <v>1705.62915</v>
      </c>
      <c r="AD66">
        <v>1744.589966</v>
      </c>
      <c r="AE66">
        <v>1745.740356</v>
      </c>
      <c r="AF66">
        <v>1728.607788</v>
      </c>
      <c r="AG66">
        <v>1741.2054439999999</v>
      </c>
      <c r="AH66">
        <v>1749.741943</v>
      </c>
      <c r="AI66">
        <v>1754.443481</v>
      </c>
      <c r="AK66">
        <v>1767.3876949999999</v>
      </c>
      <c r="AM66">
        <v>1771.337524</v>
      </c>
      <c r="AO66">
        <v>1781.8222659999999</v>
      </c>
      <c r="AQ66">
        <v>1792.896851</v>
      </c>
      <c r="AR66">
        <v>1790.175293</v>
      </c>
      <c r="AS66">
        <v>1781.5512699999999</v>
      </c>
      <c r="AV66">
        <v>1779.159668</v>
      </c>
      <c r="AW66">
        <v>1781.034058</v>
      </c>
      <c r="AX66">
        <v>1776.681519</v>
      </c>
      <c r="AY66">
        <v>1773.0083010000001</v>
      </c>
      <c r="AZ66">
        <v>1779.040894</v>
      </c>
      <c r="BA66">
        <v>1788.862793</v>
      </c>
      <c r="BB66">
        <v>1784.1320800000001</v>
      </c>
      <c r="BC66">
        <v>1786.906616</v>
      </c>
      <c r="BD66">
        <v>1802.1695560000001</v>
      </c>
      <c r="BE66">
        <v>1808.5322269999999</v>
      </c>
      <c r="BF66">
        <v>1811.8797609999999</v>
      </c>
      <c r="BG66">
        <v>1814.036621</v>
      </c>
      <c r="BH66">
        <v>1806.220947</v>
      </c>
      <c r="BI66">
        <v>1796.894043</v>
      </c>
      <c r="BJ66">
        <v>8.0000000000000002E-3</v>
      </c>
    </row>
    <row r="67" spans="1:62" x14ac:dyDescent="0.5">
      <c r="A67" s="73"/>
      <c r="B67" s="5">
        <f t="shared" si="8"/>
        <v>2036</v>
      </c>
      <c r="C67" s="85">
        <f t="shared" si="9"/>
        <v>100</v>
      </c>
      <c r="D67" s="85">
        <f t="shared" si="6"/>
        <v>57.608764593215994</v>
      </c>
      <c r="E67" s="85">
        <v>45.157375752</v>
      </c>
      <c r="F67" s="85">
        <v>75.088598927999996</v>
      </c>
      <c r="G67" s="85">
        <f t="shared" si="7"/>
        <v>1014.9591608209919</v>
      </c>
      <c r="H67" s="3">
        <v>1087.823871072</v>
      </c>
      <c r="I67" s="3">
        <v>912.66831758399985</v>
      </c>
      <c r="J67" s="74"/>
      <c r="L67" s="5" t="s">
        <v>100</v>
      </c>
      <c r="M67" s="28">
        <v>3734699</v>
      </c>
      <c r="N67" s="28">
        <v>3084014</v>
      </c>
      <c r="O67" s="28">
        <v>3012625</v>
      </c>
      <c r="P67" s="28">
        <v>4214381</v>
      </c>
      <c r="Q67" s="28">
        <v>5319377</v>
      </c>
      <c r="T67" t="s">
        <v>211</v>
      </c>
      <c r="U67" t="s">
        <v>212</v>
      </c>
      <c r="W67" t="s">
        <v>117</v>
      </c>
      <c r="Y67">
        <v>488.03567500000003</v>
      </c>
      <c r="Z67">
        <v>590.26989700000001</v>
      </c>
      <c r="AA67">
        <v>676.17871100000002</v>
      </c>
      <c r="AB67">
        <v>742.86669900000004</v>
      </c>
      <c r="AC67">
        <v>815.11462400000005</v>
      </c>
      <c r="AD67">
        <v>859.07550000000003</v>
      </c>
      <c r="AE67">
        <v>880.19122300000004</v>
      </c>
      <c r="AF67">
        <v>865.23999000000003</v>
      </c>
      <c r="AG67">
        <v>867.27618399999994</v>
      </c>
      <c r="AH67">
        <v>867.50140399999998</v>
      </c>
      <c r="AI67">
        <v>865.68102999999996</v>
      </c>
      <c r="AK67">
        <v>867.12780799999996</v>
      </c>
      <c r="AM67">
        <v>865.35058600000002</v>
      </c>
      <c r="AO67">
        <v>871.668274</v>
      </c>
      <c r="AQ67">
        <v>879.01007100000004</v>
      </c>
      <c r="AR67">
        <v>881.92541500000004</v>
      </c>
      <c r="AS67">
        <v>879.974243</v>
      </c>
      <c r="AV67">
        <v>882.29431199999999</v>
      </c>
      <c r="AW67">
        <v>879.45251499999995</v>
      </c>
      <c r="AX67">
        <v>879.05676300000005</v>
      </c>
      <c r="AY67">
        <v>875.25372300000004</v>
      </c>
      <c r="AZ67">
        <v>878.10180700000001</v>
      </c>
      <c r="BA67">
        <v>879.563354</v>
      </c>
      <c r="BB67">
        <v>877.23388699999998</v>
      </c>
      <c r="BC67">
        <v>876.53173800000002</v>
      </c>
      <c r="BD67">
        <v>881.152649</v>
      </c>
      <c r="BE67">
        <v>879.71234100000004</v>
      </c>
      <c r="BF67">
        <v>878.29901099999995</v>
      </c>
      <c r="BG67">
        <v>873.47399900000005</v>
      </c>
      <c r="BH67">
        <v>864.29571499999997</v>
      </c>
      <c r="BI67">
        <v>854.819031</v>
      </c>
      <c r="BJ67">
        <v>1.9E-2</v>
      </c>
    </row>
    <row r="68" spans="1:62" x14ac:dyDescent="0.5">
      <c r="A68" s="73"/>
      <c r="B68" s="5">
        <f t="shared" si="8"/>
        <v>2037</v>
      </c>
      <c r="C68" s="85">
        <f t="shared" si="9"/>
        <v>100</v>
      </c>
      <c r="D68" s="85">
        <f t="shared" si="6"/>
        <v>62.801372806079996</v>
      </c>
      <c r="E68" s="85">
        <v>49.213331063999995</v>
      </c>
      <c r="F68" s="85">
        <v>81.876892943999991</v>
      </c>
      <c r="G68" s="85">
        <f t="shared" si="7"/>
        <v>1005.1463412708479</v>
      </c>
      <c r="H68" s="3">
        <v>1080.6786564239999</v>
      </c>
      <c r="I68" s="3">
        <v>899.11059115199998</v>
      </c>
      <c r="J68" s="74"/>
      <c r="L68" s="30" t="s">
        <v>101</v>
      </c>
      <c r="M68" s="31">
        <v>23819817</v>
      </c>
      <c r="N68" s="31">
        <v>23913604</v>
      </c>
      <c r="O68" s="31">
        <v>24354655</v>
      </c>
      <c r="P68" s="31">
        <v>24837799</v>
      </c>
      <c r="Q68" s="31">
        <v>23772268</v>
      </c>
      <c r="R68" s="27">
        <f>P68-M68</f>
        <v>1017982</v>
      </c>
      <c r="S68" s="27"/>
      <c r="T68" t="s">
        <v>213</v>
      </c>
      <c r="U68" t="s">
        <v>214</v>
      </c>
      <c r="W68" t="s">
        <v>117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R68">
        <v>0</v>
      </c>
      <c r="AS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137</v>
      </c>
    </row>
    <row r="69" spans="1:62" x14ac:dyDescent="0.5">
      <c r="A69" s="73"/>
      <c r="B69" s="5">
        <f t="shared" si="8"/>
        <v>2038</v>
      </c>
      <c r="C69" s="85">
        <f t="shared" si="9"/>
        <v>100</v>
      </c>
      <c r="D69" s="85">
        <f t="shared" si="6"/>
        <v>68.096584865663999</v>
      </c>
      <c r="E69" s="85">
        <v>53.535001775999994</v>
      </c>
      <c r="F69" s="85">
        <v>88.53880728</v>
      </c>
      <c r="G69" s="85">
        <f t="shared" si="7"/>
        <v>1000.5137131877759</v>
      </c>
      <c r="H69" s="3">
        <v>1079.241456792</v>
      </c>
      <c r="I69" s="3">
        <v>889.9920731279999</v>
      </c>
      <c r="J69" s="74"/>
      <c r="L69" s="5"/>
      <c r="M69" s="28"/>
      <c r="N69" s="38">
        <f>(N68-M68)/M68</f>
        <v>3.9373518276819676E-3</v>
      </c>
      <c r="O69" s="38">
        <f>(O68-N68)/N68</f>
        <v>1.8443518593015087E-2</v>
      </c>
      <c r="P69" s="38">
        <f>(P68-O68)/O68</f>
        <v>1.9837850300076103E-2</v>
      </c>
      <c r="Q69" s="38">
        <f>(Q68-P68)/P68</f>
        <v>-4.2899574153088205E-2</v>
      </c>
      <c r="T69" t="s">
        <v>215</v>
      </c>
      <c r="U69" t="s">
        <v>216</v>
      </c>
      <c r="W69" t="s">
        <v>117</v>
      </c>
      <c r="Y69">
        <v>640.85925299999997</v>
      </c>
      <c r="Z69">
        <v>757.55432099999996</v>
      </c>
      <c r="AA69">
        <v>858.87194799999997</v>
      </c>
      <c r="AB69">
        <v>929.12475600000005</v>
      </c>
      <c r="AC69">
        <v>1008.304443</v>
      </c>
      <c r="AD69">
        <v>1062.28125</v>
      </c>
      <c r="AE69">
        <v>1102.259644</v>
      </c>
      <c r="AF69">
        <v>1095.126587</v>
      </c>
      <c r="AG69">
        <v>1106.638428</v>
      </c>
      <c r="AH69">
        <v>1114.9423830000001</v>
      </c>
      <c r="AI69">
        <v>1121.939453</v>
      </c>
      <c r="AK69">
        <v>1133.7592770000001</v>
      </c>
      <c r="AM69">
        <v>1142.404297</v>
      </c>
      <c r="AO69">
        <v>1160.375</v>
      </c>
      <c r="AQ69">
        <v>1179.9438479999999</v>
      </c>
      <c r="AR69">
        <v>1192.797607</v>
      </c>
      <c r="AS69">
        <v>1199.9038089999999</v>
      </c>
      <c r="AV69">
        <v>1212.176514</v>
      </c>
      <c r="AW69">
        <v>1220.2901609999999</v>
      </c>
      <c r="AX69">
        <v>1228.878052</v>
      </c>
      <c r="AY69">
        <v>1234.6373289999999</v>
      </c>
      <c r="AZ69">
        <v>1247.3220209999999</v>
      </c>
      <c r="BA69">
        <v>1258.8652340000001</v>
      </c>
      <c r="BB69">
        <v>1263.522827</v>
      </c>
      <c r="BC69">
        <v>1271.416626</v>
      </c>
      <c r="BD69">
        <v>1286.8330080000001</v>
      </c>
      <c r="BE69">
        <v>1295.8310550000001</v>
      </c>
      <c r="BF69">
        <v>1303.976807</v>
      </c>
      <c r="BG69">
        <v>1308.896362</v>
      </c>
      <c r="BH69">
        <v>1306.479126</v>
      </c>
      <c r="BI69">
        <v>1303.7613530000001</v>
      </c>
      <c r="BJ69">
        <v>2.4E-2</v>
      </c>
    </row>
    <row r="70" spans="1:62" x14ac:dyDescent="0.5">
      <c r="A70" s="73"/>
      <c r="B70" s="5">
        <f t="shared" si="8"/>
        <v>2039</v>
      </c>
      <c r="C70" s="85">
        <f t="shared" si="9"/>
        <v>100</v>
      </c>
      <c r="D70" s="85">
        <f t="shared" si="6"/>
        <v>73.007382249792002</v>
      </c>
      <c r="E70" s="85">
        <v>57.543873383999994</v>
      </c>
      <c r="F70" s="85">
        <v>94.71576969600001</v>
      </c>
      <c r="G70" s="85">
        <f t="shared" si="7"/>
        <v>992.25636797395202</v>
      </c>
      <c r="H70" s="3">
        <v>1073.467681608</v>
      </c>
      <c r="I70" s="3">
        <v>878.24817768000003</v>
      </c>
      <c r="J70" s="74"/>
      <c r="L70" s="121" t="s">
        <v>102</v>
      </c>
      <c r="M70" s="29">
        <v>24032237</v>
      </c>
      <c r="N70" s="29">
        <v>24147589</v>
      </c>
      <c r="O70" s="29">
        <v>24611725</v>
      </c>
      <c r="P70" s="29">
        <v>25097599</v>
      </c>
      <c r="Q70" s="29">
        <v>24018809</v>
      </c>
    </row>
    <row r="71" spans="1:62" x14ac:dyDescent="0.5">
      <c r="A71" s="73"/>
      <c r="B71" s="5">
        <f t="shared" si="8"/>
        <v>2040</v>
      </c>
      <c r="C71" s="85">
        <f t="shared" si="9"/>
        <v>100</v>
      </c>
      <c r="D71" s="85">
        <f t="shared" si="6"/>
        <v>77.620160078783996</v>
      </c>
      <c r="E71" s="85">
        <v>61.330576919999999</v>
      </c>
      <c r="F71" s="85">
        <v>100.488228744</v>
      </c>
      <c r="G71" s="85">
        <f t="shared" si="7"/>
        <v>980.52294380140802</v>
      </c>
      <c r="H71" s="3">
        <v>1066.2051359760001</v>
      </c>
      <c r="I71" s="3">
        <v>860.23832786399998</v>
      </c>
      <c r="J71" s="74"/>
    </row>
    <row r="72" spans="1:62" x14ac:dyDescent="0.5">
      <c r="A72" s="73"/>
      <c r="B72" s="5">
        <f t="shared" si="8"/>
        <v>2041</v>
      </c>
      <c r="C72" s="85">
        <f t="shared" si="9"/>
        <v>100</v>
      </c>
      <c r="D72" s="85">
        <f t="shared" si="6"/>
        <v>81.147773845247997</v>
      </c>
      <c r="E72" s="85">
        <v>64.379479391999993</v>
      </c>
      <c r="F72" s="85">
        <v>104.68787952</v>
      </c>
      <c r="G72" s="85">
        <f t="shared" si="7"/>
        <v>976.87030982111992</v>
      </c>
      <c r="H72" s="3">
        <v>1067.827379736</v>
      </c>
      <c r="I72" s="3">
        <v>849.18057705599983</v>
      </c>
      <c r="J72" s="74"/>
    </row>
    <row r="73" spans="1:62" x14ac:dyDescent="0.5">
      <c r="A73" s="73"/>
      <c r="B73" s="5">
        <f t="shared" si="8"/>
        <v>2042</v>
      </c>
      <c r="C73" s="85">
        <f t="shared" si="9"/>
        <v>100</v>
      </c>
      <c r="D73" s="85">
        <f t="shared" si="6"/>
        <v>85.245625005312007</v>
      </c>
      <c r="E73" s="85">
        <v>67.129149888000001</v>
      </c>
      <c r="F73" s="85">
        <v>110.67836892</v>
      </c>
      <c r="G73" s="85">
        <f t="shared" si="7"/>
        <v>975.26947082841593</v>
      </c>
      <c r="H73" s="3">
        <v>1064.1157766880001</v>
      </c>
      <c r="I73" s="3">
        <v>850.54292606399986</v>
      </c>
      <c r="J73" s="74"/>
      <c r="T73" s="43" t="s">
        <v>103</v>
      </c>
    </row>
    <row r="74" spans="1:62" x14ac:dyDescent="0.5">
      <c r="A74" s="73"/>
      <c r="B74" s="5">
        <f t="shared" si="8"/>
        <v>2043</v>
      </c>
      <c r="C74" s="85">
        <f t="shared" si="9"/>
        <v>100</v>
      </c>
      <c r="D74" s="85">
        <f t="shared" si="6"/>
        <v>88.725489402239987</v>
      </c>
      <c r="E74" s="85">
        <v>69.778263695999996</v>
      </c>
      <c r="F74" s="85">
        <v>115.324479336</v>
      </c>
      <c r="G74" s="85">
        <f t="shared" si="7"/>
        <v>966.54031588953603</v>
      </c>
      <c r="H74" s="3">
        <v>1056.465383664</v>
      </c>
      <c r="I74" s="3">
        <v>840.29935535999994</v>
      </c>
      <c r="J74" s="74"/>
      <c r="T74" s="25" t="s">
        <v>217</v>
      </c>
    </row>
    <row r="75" spans="1:62" x14ac:dyDescent="0.5">
      <c r="A75" s="73"/>
      <c r="B75" s="5">
        <f t="shared" si="8"/>
        <v>2044</v>
      </c>
      <c r="C75" s="85">
        <f t="shared" si="9"/>
        <v>100</v>
      </c>
      <c r="D75" s="85">
        <f t="shared" si="6"/>
        <v>92.425008559487992</v>
      </c>
      <c r="E75" s="85">
        <v>72.825966959999988</v>
      </c>
      <c r="F75" s="85">
        <v>119.93904772800001</v>
      </c>
      <c r="G75" s="85">
        <f t="shared" si="7"/>
        <v>961.8280427279999</v>
      </c>
      <c r="H75" s="3">
        <v>1055.3979347279999</v>
      </c>
      <c r="I75" s="3">
        <v>830.47030972799985</v>
      </c>
      <c r="J75" s="74"/>
      <c r="T75" t="s">
        <v>110</v>
      </c>
      <c r="U75" t="s">
        <v>218</v>
      </c>
      <c r="V75" t="s">
        <v>111</v>
      </c>
      <c r="W75">
        <v>2019</v>
      </c>
      <c r="X75">
        <v>2020</v>
      </c>
      <c r="Y75">
        <v>2021</v>
      </c>
      <c r="Z75">
        <v>2022</v>
      </c>
      <c r="AA75">
        <v>2023</v>
      </c>
      <c r="AB75">
        <v>2024</v>
      </c>
      <c r="AC75">
        <v>2025</v>
      </c>
      <c r="AD75">
        <v>2026</v>
      </c>
      <c r="AE75">
        <v>2027</v>
      </c>
      <c r="AF75">
        <v>2028</v>
      </c>
      <c r="AG75">
        <v>2029</v>
      </c>
      <c r="AH75">
        <v>2030</v>
      </c>
      <c r="AI75">
        <v>2031</v>
      </c>
      <c r="AK75">
        <v>2032</v>
      </c>
      <c r="AM75">
        <v>2033</v>
      </c>
      <c r="AO75">
        <v>2034</v>
      </c>
      <c r="AQ75">
        <v>2035</v>
      </c>
      <c r="AR75">
        <v>2036</v>
      </c>
      <c r="AS75">
        <v>2037</v>
      </c>
      <c r="AV75">
        <v>2038</v>
      </c>
      <c r="AW75">
        <v>2039</v>
      </c>
      <c r="AX75">
        <v>2040</v>
      </c>
      <c r="AY75">
        <v>2041</v>
      </c>
      <c r="AZ75">
        <v>2042</v>
      </c>
      <c r="BA75">
        <v>2043</v>
      </c>
      <c r="BB75">
        <v>2044</v>
      </c>
      <c r="BC75">
        <v>2045</v>
      </c>
      <c r="BD75">
        <v>2046</v>
      </c>
      <c r="BE75">
        <v>2047</v>
      </c>
      <c r="BF75">
        <v>2048</v>
      </c>
      <c r="BG75">
        <v>2049</v>
      </c>
      <c r="BH75">
        <v>2050</v>
      </c>
      <c r="BI75" t="s">
        <v>112</v>
      </c>
    </row>
    <row r="76" spans="1:62" x14ac:dyDescent="0.5">
      <c r="A76" s="73"/>
      <c r="B76" s="5">
        <f t="shared" si="8"/>
        <v>2045</v>
      </c>
      <c r="C76" s="85">
        <f t="shared" si="9"/>
        <v>100</v>
      </c>
      <c r="D76" s="85">
        <f t="shared" si="6"/>
        <v>96.911765059391982</v>
      </c>
      <c r="E76" s="85">
        <v>76.204911239999987</v>
      </c>
      <c r="F76" s="85">
        <v>125.98100215199999</v>
      </c>
      <c r="G76" s="85">
        <f t="shared" si="7"/>
        <v>961.69899704505588</v>
      </c>
      <c r="H76" s="3">
        <v>1058.0806611599999</v>
      </c>
      <c r="I76" s="3">
        <v>826.39396857599991</v>
      </c>
      <c r="J76" s="74"/>
      <c r="U76" t="s">
        <v>219</v>
      </c>
    </row>
    <row r="77" spans="1:62" x14ac:dyDescent="0.5">
      <c r="A77" s="73"/>
      <c r="B77" s="5">
        <f t="shared" si="8"/>
        <v>2046</v>
      </c>
      <c r="C77" s="85">
        <f t="shared" si="9"/>
        <v>100</v>
      </c>
      <c r="D77" s="85">
        <f t="shared" si="6"/>
        <v>100.87987808889599</v>
      </c>
      <c r="E77" s="85">
        <v>79.295726135999985</v>
      </c>
      <c r="F77" s="85">
        <v>131.180706792</v>
      </c>
      <c r="G77" s="85">
        <f t="shared" si="7"/>
        <v>955.72210588147198</v>
      </c>
      <c r="H77" s="3">
        <v>1055.327331792</v>
      </c>
      <c r="I77" s="3">
        <v>815.89169258399988</v>
      </c>
      <c r="J77" s="74"/>
      <c r="T77" t="s">
        <v>220</v>
      </c>
      <c r="U77" t="s">
        <v>221</v>
      </c>
      <c r="V77" t="s">
        <v>117</v>
      </c>
      <c r="X77">
        <v>569.86737100000005</v>
      </c>
      <c r="Y77">
        <v>626.50512700000002</v>
      </c>
      <c r="Z77">
        <v>692.69946300000004</v>
      </c>
      <c r="AA77">
        <v>723.51776099999995</v>
      </c>
      <c r="AB77">
        <v>728.05542000000003</v>
      </c>
      <c r="AC77">
        <v>743.69574</v>
      </c>
      <c r="AD77">
        <v>746.23290999999995</v>
      </c>
      <c r="AE77">
        <v>735.54193099999998</v>
      </c>
      <c r="AF77">
        <v>738.69519000000003</v>
      </c>
      <c r="AG77">
        <v>736.55084199999999</v>
      </c>
      <c r="AH77">
        <v>732.222351</v>
      </c>
      <c r="AI77">
        <v>728.69494599999996</v>
      </c>
      <c r="AK77">
        <v>716.64489700000001</v>
      </c>
      <c r="AM77">
        <v>708.01800500000002</v>
      </c>
      <c r="AO77">
        <v>703.50488299999995</v>
      </c>
      <c r="AQ77">
        <v>690.42968800000006</v>
      </c>
      <c r="AR77">
        <v>674.13885500000004</v>
      </c>
      <c r="AS77">
        <v>662.72711200000003</v>
      </c>
      <c r="AV77">
        <v>652.72460899999999</v>
      </c>
      <c r="AW77">
        <v>640.75885000000005</v>
      </c>
      <c r="AX77">
        <v>625.90753199999995</v>
      </c>
      <c r="AY77">
        <v>615.13714600000003</v>
      </c>
      <c r="AZ77">
        <v>614.86377000000005</v>
      </c>
      <c r="BA77">
        <v>605.34796100000005</v>
      </c>
      <c r="BB77">
        <v>596.06781000000001</v>
      </c>
      <c r="BC77">
        <v>591.83337400000005</v>
      </c>
      <c r="BD77">
        <v>582.637878</v>
      </c>
      <c r="BE77">
        <v>574.96380599999998</v>
      </c>
      <c r="BF77">
        <v>565.98736599999995</v>
      </c>
      <c r="BG77">
        <v>555.08123799999998</v>
      </c>
      <c r="BH77">
        <v>540.79486099999997</v>
      </c>
      <c r="BI77">
        <v>-2E-3</v>
      </c>
    </row>
    <row r="78" spans="1:62" x14ac:dyDescent="0.5">
      <c r="A78" s="73"/>
      <c r="B78" s="5">
        <f t="shared" si="8"/>
        <v>2047</v>
      </c>
      <c r="C78" s="85">
        <f t="shared" si="9"/>
        <v>100</v>
      </c>
      <c r="D78" s="85">
        <f t="shared" si="6"/>
        <v>105.061290908736</v>
      </c>
      <c r="E78" s="85">
        <v>82.483577351999998</v>
      </c>
      <c r="F78" s="85">
        <v>136.75692724799998</v>
      </c>
      <c r="G78" s="85">
        <f t="shared" si="7"/>
        <v>949.38653295532799</v>
      </c>
      <c r="H78" s="3">
        <v>1050.4846438320001</v>
      </c>
      <c r="I78" s="3">
        <v>807.46033883999985</v>
      </c>
      <c r="J78" s="74"/>
      <c r="T78" t="s">
        <v>222</v>
      </c>
      <c r="U78" t="s">
        <v>223</v>
      </c>
      <c r="V78" t="s">
        <v>117</v>
      </c>
      <c r="X78">
        <v>1.3103E-2</v>
      </c>
      <c r="Y78">
        <v>1.2233000000000001E-2</v>
      </c>
      <c r="Z78">
        <v>1.2729000000000001E-2</v>
      </c>
      <c r="AA78">
        <v>1.2713E-2</v>
      </c>
      <c r="AB78">
        <v>1.2557E-2</v>
      </c>
      <c r="AC78">
        <v>1.2768E-2</v>
      </c>
      <c r="AD78">
        <v>1.2834E-2</v>
      </c>
      <c r="AE78">
        <v>1.247E-2</v>
      </c>
      <c r="AF78">
        <v>1.2584E-2</v>
      </c>
      <c r="AG78">
        <v>1.2593E-2</v>
      </c>
      <c r="AH78">
        <v>1.2763999999999999E-2</v>
      </c>
      <c r="AI78">
        <v>1.2621E-2</v>
      </c>
      <c r="AK78">
        <v>1.2208999999999999E-2</v>
      </c>
      <c r="AM78">
        <v>1.1804E-2</v>
      </c>
      <c r="AO78">
        <v>1.1561999999999999E-2</v>
      </c>
      <c r="AQ78">
        <v>1.1552E-2</v>
      </c>
      <c r="AR78">
        <v>1.1087E-2</v>
      </c>
      <c r="AS78">
        <v>1.0801E-2</v>
      </c>
      <c r="AV78">
        <v>1.0347E-2</v>
      </c>
      <c r="AW78">
        <v>9.9670000000000002E-3</v>
      </c>
      <c r="AX78">
        <v>9.5689999999999994E-3</v>
      </c>
      <c r="AY78">
        <v>9.4389999999999995E-3</v>
      </c>
      <c r="AZ78">
        <v>9.3489999999999997E-3</v>
      </c>
      <c r="BA78">
        <v>9.1450000000000004E-3</v>
      </c>
      <c r="BB78">
        <v>8.9429999999999996E-3</v>
      </c>
      <c r="BC78">
        <v>8.8260000000000005E-3</v>
      </c>
      <c r="BD78">
        <v>8.6549999999999995E-3</v>
      </c>
      <c r="BE78">
        <v>8.5120000000000005E-3</v>
      </c>
      <c r="BF78">
        <v>8.3440000000000007E-3</v>
      </c>
      <c r="BG78">
        <v>8.1150000000000007E-3</v>
      </c>
      <c r="BH78">
        <v>7.8820000000000001E-3</v>
      </c>
      <c r="BI78">
        <v>-1.7000000000000001E-2</v>
      </c>
    </row>
    <row r="79" spans="1:62" x14ac:dyDescent="0.5">
      <c r="A79" s="73"/>
      <c r="B79" s="5">
        <f t="shared" si="8"/>
        <v>2048</v>
      </c>
      <c r="C79" s="85">
        <f t="shared" si="9"/>
        <v>100</v>
      </c>
      <c r="D79" s="85">
        <f t="shared" si="6"/>
        <v>109.40202360748799</v>
      </c>
      <c r="E79" s="85">
        <v>85.766633015999986</v>
      </c>
      <c r="F79" s="85">
        <v>142.582475784</v>
      </c>
      <c r="G79" s="85">
        <f t="shared" si="7"/>
        <v>941.58823998143987</v>
      </c>
      <c r="H79" s="3">
        <v>1045.6437390239998</v>
      </c>
      <c r="I79" s="3">
        <v>795.51032786400003</v>
      </c>
      <c r="J79" s="74"/>
      <c r="T79" t="s">
        <v>224</v>
      </c>
      <c r="U79" t="s">
        <v>225</v>
      </c>
      <c r="V79" t="s">
        <v>117</v>
      </c>
      <c r="X79">
        <v>569.880493</v>
      </c>
      <c r="Y79">
        <v>626.51733400000001</v>
      </c>
      <c r="Z79">
        <v>692.712219</v>
      </c>
      <c r="AA79">
        <v>723.53045699999996</v>
      </c>
      <c r="AB79">
        <v>728.067993</v>
      </c>
      <c r="AC79">
        <v>743.70849599999997</v>
      </c>
      <c r="AD79">
        <v>746.24572799999999</v>
      </c>
      <c r="AE79">
        <v>735.55438200000003</v>
      </c>
      <c r="AF79">
        <v>738.707764</v>
      </c>
      <c r="AG79">
        <v>736.56341599999996</v>
      </c>
      <c r="AH79">
        <v>732.23510699999997</v>
      </c>
      <c r="AI79">
        <v>728.707581</v>
      </c>
      <c r="AK79">
        <v>716.657104</v>
      </c>
      <c r="AM79">
        <v>708.02978499999995</v>
      </c>
      <c r="AO79">
        <v>703.51641800000004</v>
      </c>
      <c r="AQ79">
        <v>690.44122300000004</v>
      </c>
      <c r="AR79">
        <v>674.14996299999996</v>
      </c>
      <c r="AS79">
        <v>662.73791500000004</v>
      </c>
      <c r="AV79">
        <v>652.73498500000005</v>
      </c>
      <c r="AW79">
        <v>640.76879899999994</v>
      </c>
      <c r="AX79">
        <v>625.91711399999997</v>
      </c>
      <c r="AY79">
        <v>615.14660600000002</v>
      </c>
      <c r="AZ79">
        <v>614.873108</v>
      </c>
      <c r="BA79">
        <v>605.35711700000002</v>
      </c>
      <c r="BB79">
        <v>596.07678199999998</v>
      </c>
      <c r="BC79">
        <v>591.84222399999999</v>
      </c>
      <c r="BD79">
        <v>582.64654499999995</v>
      </c>
      <c r="BE79">
        <v>574.97229000000004</v>
      </c>
      <c r="BF79">
        <v>565.99572799999999</v>
      </c>
      <c r="BG79">
        <v>555.08935499999995</v>
      </c>
      <c r="BH79">
        <v>540.80273399999999</v>
      </c>
      <c r="BI79">
        <v>-2E-3</v>
      </c>
    </row>
    <row r="80" spans="1:62" x14ac:dyDescent="0.5">
      <c r="A80" s="73"/>
      <c r="B80" s="5">
        <f t="shared" si="8"/>
        <v>2049</v>
      </c>
      <c r="C80" s="85">
        <f t="shared" si="9"/>
        <v>100</v>
      </c>
      <c r="D80" s="85">
        <f t="shared" si="6"/>
        <v>113.42057077363198</v>
      </c>
      <c r="E80" s="85">
        <v>89.022468815999986</v>
      </c>
      <c r="F80" s="85">
        <v>147.67175236799997</v>
      </c>
      <c r="G80" s="85">
        <f t="shared" si="7"/>
        <v>934.33205340633594</v>
      </c>
      <c r="H80" s="3">
        <v>1041.4941619680001</v>
      </c>
      <c r="I80" s="3">
        <v>783.89293946399982</v>
      </c>
      <c r="J80" s="74"/>
      <c r="T80" t="s">
        <v>226</v>
      </c>
      <c r="U80" t="s">
        <v>227</v>
      </c>
      <c r="V80" t="s">
        <v>117</v>
      </c>
      <c r="X80">
        <v>10.624518</v>
      </c>
      <c r="Y80">
        <v>11.62697</v>
      </c>
      <c r="Z80">
        <v>13.039735</v>
      </c>
      <c r="AA80">
        <v>13.7195</v>
      </c>
      <c r="AB80">
        <v>13.902756999999999</v>
      </c>
      <c r="AC80">
        <v>14.270775</v>
      </c>
      <c r="AD80">
        <v>14.407562</v>
      </c>
      <c r="AE80">
        <v>14.27139</v>
      </c>
      <c r="AF80">
        <v>14.416613</v>
      </c>
      <c r="AG80">
        <v>14.451218000000001</v>
      </c>
      <c r="AH80">
        <v>14.473697</v>
      </c>
      <c r="AI80">
        <v>14.491439</v>
      </c>
      <c r="AK80">
        <v>14.338372</v>
      </c>
      <c r="AM80">
        <v>14.262093999999999</v>
      </c>
      <c r="AO80">
        <v>14.26052</v>
      </c>
      <c r="AQ80">
        <v>14.089009000000001</v>
      </c>
      <c r="AR80">
        <v>13.857037999999999</v>
      </c>
      <c r="AS80">
        <v>13.716974</v>
      </c>
      <c r="AV80">
        <v>13.603691</v>
      </c>
      <c r="AW80">
        <v>13.441924</v>
      </c>
      <c r="AX80">
        <v>13.221558999999999</v>
      </c>
      <c r="AY80">
        <v>13.075504</v>
      </c>
      <c r="AZ80">
        <v>13.145415</v>
      </c>
      <c r="BA80">
        <v>13.022741999999999</v>
      </c>
      <c r="BB80">
        <v>12.904287999999999</v>
      </c>
      <c r="BC80">
        <v>12.899387000000001</v>
      </c>
      <c r="BD80">
        <v>12.789885999999999</v>
      </c>
      <c r="BE80">
        <v>12.715790999999999</v>
      </c>
      <c r="BF80">
        <v>12.615297</v>
      </c>
      <c r="BG80">
        <v>12.4726</v>
      </c>
      <c r="BH80">
        <v>12.245346</v>
      </c>
      <c r="BI80">
        <v>5.0000000000000001E-3</v>
      </c>
    </row>
    <row r="81" spans="1:61" x14ac:dyDescent="0.5">
      <c r="A81" s="73"/>
      <c r="B81" s="5">
        <f t="shared" si="8"/>
        <v>2050</v>
      </c>
      <c r="C81" s="85">
        <f t="shared" si="9"/>
        <v>100</v>
      </c>
      <c r="D81" s="85">
        <f t="shared" si="6"/>
        <v>117.100388403648</v>
      </c>
      <c r="E81" s="85">
        <v>92.389571352000004</v>
      </c>
      <c r="F81" s="85">
        <v>151.79057387999998</v>
      </c>
      <c r="G81" s="85">
        <f t="shared" si="7"/>
        <v>923.65342605907199</v>
      </c>
      <c r="H81" s="3">
        <v>1036.2316816079999</v>
      </c>
      <c r="I81" s="3">
        <v>765.61087499999996</v>
      </c>
      <c r="J81" s="74"/>
      <c r="T81" t="s">
        <v>228</v>
      </c>
      <c r="U81" t="s">
        <v>229</v>
      </c>
      <c r="V81" t="s">
        <v>117</v>
      </c>
      <c r="X81">
        <v>0.27159</v>
      </c>
      <c r="Y81">
        <v>0.30840600000000001</v>
      </c>
      <c r="Z81">
        <v>0.31242300000000001</v>
      </c>
      <c r="AA81">
        <v>0.31845099999999998</v>
      </c>
      <c r="AB81">
        <v>0.319693</v>
      </c>
      <c r="AC81">
        <v>0.33405000000000001</v>
      </c>
      <c r="AD81">
        <v>0.349217</v>
      </c>
      <c r="AE81">
        <v>0.36396699999999998</v>
      </c>
      <c r="AF81">
        <v>0.38982299999999998</v>
      </c>
      <c r="AG81">
        <v>0.41518899999999997</v>
      </c>
      <c r="AH81">
        <v>0.44275999999999999</v>
      </c>
      <c r="AI81">
        <v>0.46755799999999997</v>
      </c>
      <c r="AK81">
        <v>0.48869600000000002</v>
      </c>
      <c r="AM81">
        <v>0.50850700000000004</v>
      </c>
      <c r="AO81">
        <v>0.52926600000000001</v>
      </c>
      <c r="AQ81">
        <v>0.54226700000000005</v>
      </c>
      <c r="AR81">
        <v>0.54876100000000005</v>
      </c>
      <c r="AS81">
        <v>0.55686999999999998</v>
      </c>
      <c r="AV81">
        <v>0.56318400000000002</v>
      </c>
      <c r="AW81">
        <v>0.56629300000000005</v>
      </c>
      <c r="AX81">
        <v>0.56620599999999999</v>
      </c>
      <c r="AY81">
        <v>0.565141</v>
      </c>
      <c r="AZ81">
        <v>0.57473399999999997</v>
      </c>
      <c r="BA81">
        <v>0.57500200000000001</v>
      </c>
      <c r="BB81">
        <v>0.57503000000000004</v>
      </c>
      <c r="BC81">
        <v>0.58027899999999999</v>
      </c>
      <c r="BD81">
        <v>0.58031900000000003</v>
      </c>
      <c r="BE81">
        <v>0.58191999999999999</v>
      </c>
      <c r="BF81">
        <v>0.58279000000000003</v>
      </c>
      <c r="BG81">
        <v>0.58043699999999998</v>
      </c>
      <c r="BH81">
        <v>0.57487100000000002</v>
      </c>
      <c r="BI81">
        <v>2.5000000000000001E-2</v>
      </c>
    </row>
    <row r="82" spans="1:61" ht="14.7" thickBot="1" x14ac:dyDescent="0.55000000000000004">
      <c r="A82" s="75"/>
      <c r="B82" s="76"/>
      <c r="C82" s="76"/>
      <c r="D82" s="76"/>
      <c r="E82" s="76"/>
      <c r="F82" s="76"/>
      <c r="G82" s="76"/>
      <c r="H82" s="76"/>
      <c r="I82" s="76"/>
      <c r="J82" s="77"/>
      <c r="T82" t="s">
        <v>230</v>
      </c>
      <c r="U82" t="s">
        <v>231</v>
      </c>
      <c r="V82" t="s">
        <v>117</v>
      </c>
      <c r="X82">
        <v>6.3795479999999998</v>
      </c>
      <c r="Y82">
        <v>7.0540209999999997</v>
      </c>
      <c r="Z82">
        <v>7.4578819999999997</v>
      </c>
      <c r="AA82">
        <v>7.4296189999999998</v>
      </c>
      <c r="AB82">
        <v>7.3239299999999998</v>
      </c>
      <c r="AC82">
        <v>7.5860019999999997</v>
      </c>
      <c r="AD82">
        <v>7.6539289999999998</v>
      </c>
      <c r="AE82">
        <v>8.0607760000000006</v>
      </c>
      <c r="AF82">
        <v>8.8150539999999999</v>
      </c>
      <c r="AG82">
        <v>9.7220060000000004</v>
      </c>
      <c r="AH82">
        <v>10.860832</v>
      </c>
      <c r="AI82">
        <v>12.026312000000001</v>
      </c>
      <c r="AK82">
        <v>13.354737</v>
      </c>
      <c r="AM82">
        <v>14.748517</v>
      </c>
      <c r="AO82">
        <v>16.303948999999999</v>
      </c>
      <c r="AQ82">
        <v>17.862808000000001</v>
      </c>
      <c r="AR82">
        <v>19.140993000000002</v>
      </c>
      <c r="AS82">
        <v>20.533617</v>
      </c>
      <c r="AV82">
        <v>21.775034000000002</v>
      </c>
      <c r="AW82">
        <v>22.957129999999999</v>
      </c>
      <c r="AX82">
        <v>24.139111</v>
      </c>
      <c r="AY82">
        <v>25.027391000000001</v>
      </c>
      <c r="AZ82">
        <v>26.565161</v>
      </c>
      <c r="BA82">
        <v>27.683142</v>
      </c>
      <c r="BB82">
        <v>28.826635</v>
      </c>
      <c r="BC82">
        <v>30.375671000000001</v>
      </c>
      <c r="BD82">
        <v>31.640369</v>
      </c>
      <c r="BE82">
        <v>33.021667000000001</v>
      </c>
      <c r="BF82">
        <v>34.590397000000003</v>
      </c>
      <c r="BG82">
        <v>35.662643000000003</v>
      </c>
      <c r="BH82">
        <v>36.797024</v>
      </c>
      <c r="BI82">
        <v>0.06</v>
      </c>
    </row>
    <row r="83" spans="1:61" x14ac:dyDescent="0.5">
      <c r="T83" t="s">
        <v>232</v>
      </c>
      <c r="U83" t="s">
        <v>233</v>
      </c>
      <c r="V83" t="s">
        <v>117</v>
      </c>
      <c r="X83">
        <v>9.258286</v>
      </c>
      <c r="Y83">
        <v>8.6795270000000002</v>
      </c>
      <c r="Z83">
        <v>10.767825</v>
      </c>
      <c r="AA83">
        <v>12.110853000000001</v>
      </c>
      <c r="AB83">
        <v>13.505728</v>
      </c>
      <c r="AC83">
        <v>14.880070999999999</v>
      </c>
      <c r="AD83">
        <v>16.653288</v>
      </c>
      <c r="AE83">
        <v>18.158677999999998</v>
      </c>
      <c r="AF83">
        <v>20.479620000000001</v>
      </c>
      <c r="AG83">
        <v>23.224674</v>
      </c>
      <c r="AH83">
        <v>26.452656000000001</v>
      </c>
      <c r="AI83">
        <v>30.376861999999999</v>
      </c>
      <c r="AK83">
        <v>34.080460000000002</v>
      </c>
      <c r="AM83">
        <v>38.823292000000002</v>
      </c>
      <c r="AO83">
        <v>44.043883999999998</v>
      </c>
      <c r="AQ83">
        <v>49.203690000000002</v>
      </c>
      <c r="AR83">
        <v>54.452114000000002</v>
      </c>
      <c r="AS83">
        <v>59.677849000000002</v>
      </c>
      <c r="AV83">
        <v>64.906654000000003</v>
      </c>
      <c r="AW83">
        <v>69.582320999999993</v>
      </c>
      <c r="AX83">
        <v>73.932593999999995</v>
      </c>
      <c r="AY83">
        <v>77.118117999999996</v>
      </c>
      <c r="AZ83">
        <v>81.386962999999994</v>
      </c>
      <c r="BA83">
        <v>84.820999</v>
      </c>
      <c r="BB83">
        <v>88.133117999999996</v>
      </c>
      <c r="BC83">
        <v>92.482192999999995</v>
      </c>
      <c r="BD83">
        <v>96.334038000000007</v>
      </c>
      <c r="BE83">
        <v>100.408035</v>
      </c>
      <c r="BF83">
        <v>104.614784</v>
      </c>
      <c r="BG83">
        <v>108.549156</v>
      </c>
      <c r="BH83">
        <v>111.39387499999999</v>
      </c>
      <c r="BI83">
        <v>8.5999999999999993E-2</v>
      </c>
    </row>
    <row r="84" spans="1:61" x14ac:dyDescent="0.5">
      <c r="T84" t="s">
        <v>234</v>
      </c>
      <c r="U84" t="s">
        <v>235</v>
      </c>
      <c r="V84" t="s">
        <v>117</v>
      </c>
      <c r="X84">
        <v>2.9950619999999999</v>
      </c>
      <c r="Y84">
        <v>4.5107520000000001</v>
      </c>
      <c r="Z84">
        <v>5.3615789999999999</v>
      </c>
      <c r="AA84">
        <v>6.2788120000000003</v>
      </c>
      <c r="AB84">
        <v>7.1524489999999998</v>
      </c>
      <c r="AC84">
        <v>8.5759460000000001</v>
      </c>
      <c r="AD84">
        <v>9.8885360000000002</v>
      </c>
      <c r="AE84">
        <v>11.531231</v>
      </c>
      <c r="AF84">
        <v>13.811090999999999</v>
      </c>
      <c r="AG84">
        <v>14.539073</v>
      </c>
      <c r="AH84">
        <v>14.985950000000001</v>
      </c>
      <c r="AI84">
        <v>15.133742</v>
      </c>
      <c r="AK84">
        <v>15.414116999999999</v>
      </c>
      <c r="AM84">
        <v>15.516397</v>
      </c>
      <c r="AO84">
        <v>15.664353999999999</v>
      </c>
      <c r="AQ84">
        <v>15.710196</v>
      </c>
      <c r="AR84">
        <v>15.419157</v>
      </c>
      <c r="AS84">
        <v>15.278904000000001</v>
      </c>
      <c r="AV84">
        <v>14.992343</v>
      </c>
      <c r="AW84">
        <v>14.655806999999999</v>
      </c>
      <c r="AX84">
        <v>14.330812</v>
      </c>
      <c r="AY84">
        <v>13.837934000000001</v>
      </c>
      <c r="AZ84">
        <v>13.694374</v>
      </c>
      <c r="BA84">
        <v>13.27521</v>
      </c>
      <c r="BB84">
        <v>12.870208</v>
      </c>
      <c r="BC84">
        <v>12.621359999999999</v>
      </c>
      <c r="BD84">
        <v>12.223825</v>
      </c>
      <c r="BE84">
        <v>11.861295</v>
      </c>
      <c r="BF84">
        <v>11.546652999999999</v>
      </c>
      <c r="BG84">
        <v>11.04867</v>
      </c>
      <c r="BH84">
        <v>10.608636000000001</v>
      </c>
      <c r="BI84">
        <v>4.2999999999999997E-2</v>
      </c>
    </row>
    <row r="85" spans="1:61" x14ac:dyDescent="0.5">
      <c r="T85" t="s">
        <v>236</v>
      </c>
      <c r="U85" t="s">
        <v>237</v>
      </c>
      <c r="V85" t="s">
        <v>117</v>
      </c>
      <c r="X85">
        <v>0.85411199999999998</v>
      </c>
      <c r="Y85">
        <v>1.021361</v>
      </c>
      <c r="Z85">
        <v>0.899393</v>
      </c>
      <c r="AA85">
        <v>0.83841900000000003</v>
      </c>
      <c r="AB85">
        <v>0.79023900000000002</v>
      </c>
      <c r="AC85">
        <v>0.777841</v>
      </c>
      <c r="AD85">
        <v>0.79219899999999999</v>
      </c>
      <c r="AE85">
        <v>0.82531100000000002</v>
      </c>
      <c r="AF85">
        <v>0.89089600000000002</v>
      </c>
      <c r="AG85">
        <v>0.978603</v>
      </c>
      <c r="AH85">
        <v>1.093987</v>
      </c>
      <c r="AI85">
        <v>1.1767399999999999</v>
      </c>
      <c r="AK85">
        <v>1.2419830000000001</v>
      </c>
      <c r="AM85">
        <v>1.2955749999999999</v>
      </c>
      <c r="AO85">
        <v>1.352282</v>
      </c>
      <c r="AQ85">
        <v>1.3965339999999999</v>
      </c>
      <c r="AR85">
        <v>1.4125179999999999</v>
      </c>
      <c r="AS85">
        <v>1.431583</v>
      </c>
      <c r="AV85">
        <v>1.4383319999999999</v>
      </c>
      <c r="AW85">
        <v>1.4387399999999999</v>
      </c>
      <c r="AX85">
        <v>1.4351389999999999</v>
      </c>
      <c r="AY85">
        <v>1.4145719999999999</v>
      </c>
      <c r="AZ85">
        <v>1.4246319999999999</v>
      </c>
      <c r="BA85">
        <v>1.408952</v>
      </c>
      <c r="BB85">
        <v>1.3929400000000001</v>
      </c>
      <c r="BC85">
        <v>1.3924319999999999</v>
      </c>
      <c r="BD85">
        <v>1.377121</v>
      </c>
      <c r="BE85">
        <v>1.365073</v>
      </c>
      <c r="BF85">
        <v>1.3557239999999999</v>
      </c>
      <c r="BG85">
        <v>1.330516</v>
      </c>
      <c r="BH85">
        <v>1.304549</v>
      </c>
      <c r="BI85">
        <v>1.4E-2</v>
      </c>
    </row>
    <row r="86" spans="1:61" x14ac:dyDescent="0.5">
      <c r="T86" t="s">
        <v>238</v>
      </c>
      <c r="U86" t="s">
        <v>239</v>
      </c>
      <c r="V86" t="s">
        <v>117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R86">
        <v>0</v>
      </c>
      <c r="AS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137</v>
      </c>
    </row>
    <row r="87" spans="1:61" x14ac:dyDescent="0.5">
      <c r="T87" t="s">
        <v>240</v>
      </c>
      <c r="U87" t="s">
        <v>241</v>
      </c>
      <c r="V87" t="s">
        <v>117</v>
      </c>
      <c r="X87">
        <v>15.873362</v>
      </c>
      <c r="Y87">
        <v>19.092797999999998</v>
      </c>
      <c r="Z87">
        <v>22.892761</v>
      </c>
      <c r="AA87">
        <v>25.730732</v>
      </c>
      <c r="AB87">
        <v>27.984905000000001</v>
      </c>
      <c r="AC87">
        <v>30.203074999999998</v>
      </c>
      <c r="AD87">
        <v>32.473526</v>
      </c>
      <c r="AE87">
        <v>34.565162999999998</v>
      </c>
      <c r="AF87">
        <v>37.686771</v>
      </c>
      <c r="AG87">
        <v>39.942996999999998</v>
      </c>
      <c r="AH87">
        <v>42.065125000000002</v>
      </c>
      <c r="AI87">
        <v>43.958480999999999</v>
      </c>
      <c r="AK87">
        <v>45.455298999999997</v>
      </c>
      <c r="AM87">
        <v>47.062336000000002</v>
      </c>
      <c r="AO87">
        <v>48.897410999999998</v>
      </c>
      <c r="AQ87">
        <v>50.318061999999998</v>
      </c>
      <c r="AR87">
        <v>51.244148000000003</v>
      </c>
      <c r="AS87">
        <v>52.511764999999997</v>
      </c>
      <c r="AV87">
        <v>53.706482000000001</v>
      </c>
      <c r="AW87">
        <v>54.724818999999997</v>
      </c>
      <c r="AX87">
        <v>55.579979000000002</v>
      </c>
      <c r="AY87">
        <v>56.819386000000002</v>
      </c>
      <c r="AZ87">
        <v>58.992828000000003</v>
      </c>
      <c r="BA87">
        <v>60.282085000000002</v>
      </c>
      <c r="BB87">
        <v>61.632313000000003</v>
      </c>
      <c r="BC87">
        <v>63.647880999999998</v>
      </c>
      <c r="BD87">
        <v>65.150702999999993</v>
      </c>
      <c r="BE87">
        <v>66.856133</v>
      </c>
      <c r="BF87">
        <v>68.568770999999998</v>
      </c>
      <c r="BG87">
        <v>69.813453999999993</v>
      </c>
      <c r="BH87">
        <v>70.773430000000005</v>
      </c>
      <c r="BI87">
        <v>5.0999999999999997E-2</v>
      </c>
    </row>
    <row r="88" spans="1:61" x14ac:dyDescent="0.5">
      <c r="D88" s="126"/>
      <c r="T88" t="s">
        <v>242</v>
      </c>
      <c r="U88" t="s">
        <v>243</v>
      </c>
      <c r="V88" t="s">
        <v>117</v>
      </c>
      <c r="X88">
        <v>4.3507999999999998E-2</v>
      </c>
      <c r="Y88">
        <v>4.6609999999999999E-2</v>
      </c>
      <c r="Z88">
        <v>5.4321000000000001E-2</v>
      </c>
      <c r="AA88">
        <v>5.8013000000000002E-2</v>
      </c>
      <c r="AB88">
        <v>5.9482E-2</v>
      </c>
      <c r="AC88">
        <v>6.1496000000000002E-2</v>
      </c>
      <c r="AD88">
        <v>6.2408999999999999E-2</v>
      </c>
      <c r="AE88">
        <v>6.2107999999999997E-2</v>
      </c>
      <c r="AF88">
        <v>6.318E-2</v>
      </c>
      <c r="AG88">
        <v>6.368E-2</v>
      </c>
      <c r="AH88">
        <v>6.4215999999999995E-2</v>
      </c>
      <c r="AI88">
        <v>6.4544000000000004E-2</v>
      </c>
      <c r="AK88">
        <v>6.4157000000000006E-2</v>
      </c>
      <c r="AM88">
        <v>6.4139000000000002E-2</v>
      </c>
      <c r="AO88">
        <v>6.4460000000000003E-2</v>
      </c>
      <c r="AQ88">
        <v>6.4075999999999994E-2</v>
      </c>
      <c r="AR88">
        <v>6.3442999999999999E-2</v>
      </c>
      <c r="AS88">
        <v>6.3158000000000006E-2</v>
      </c>
      <c r="AV88">
        <v>6.2959000000000001E-2</v>
      </c>
      <c r="AW88">
        <v>6.2511999999999998E-2</v>
      </c>
      <c r="AX88">
        <v>6.1834E-2</v>
      </c>
      <c r="AY88">
        <v>6.1421999999999997E-2</v>
      </c>
      <c r="AZ88">
        <v>6.2038999999999997E-2</v>
      </c>
      <c r="BA88">
        <v>6.1771E-2</v>
      </c>
      <c r="BB88">
        <v>6.1518000000000003E-2</v>
      </c>
      <c r="BC88">
        <v>6.1846999999999999E-2</v>
      </c>
      <c r="BD88">
        <v>6.1683000000000002E-2</v>
      </c>
      <c r="BE88">
        <v>6.1693999999999999E-2</v>
      </c>
      <c r="BF88">
        <v>6.1631999999999999E-2</v>
      </c>
      <c r="BG88">
        <v>6.1317999999999998E-2</v>
      </c>
      <c r="BH88">
        <v>6.0585E-2</v>
      </c>
      <c r="BI88">
        <v>1.0999999999999999E-2</v>
      </c>
    </row>
    <row r="89" spans="1:61" x14ac:dyDescent="0.5">
      <c r="D89" s="126"/>
      <c r="T89" t="s">
        <v>244</v>
      </c>
      <c r="U89" t="s">
        <v>245</v>
      </c>
      <c r="V89" t="s">
        <v>117</v>
      </c>
      <c r="X89">
        <v>0.28451700000000002</v>
      </c>
      <c r="Y89">
        <v>0.30780400000000002</v>
      </c>
      <c r="Z89">
        <v>0.35386099999999998</v>
      </c>
      <c r="AA89">
        <v>0.37706000000000001</v>
      </c>
      <c r="AB89">
        <v>0.38636500000000001</v>
      </c>
      <c r="AC89">
        <v>0.40060200000000001</v>
      </c>
      <c r="AD89">
        <v>0.40766599999999997</v>
      </c>
      <c r="AE89">
        <v>0.407084</v>
      </c>
      <c r="AF89">
        <v>0.41540700000000003</v>
      </c>
      <c r="AG89">
        <v>0.420012</v>
      </c>
      <c r="AH89">
        <v>0.42543799999999998</v>
      </c>
      <c r="AI89">
        <v>0.42870200000000003</v>
      </c>
      <c r="AK89">
        <v>0.42771399999999998</v>
      </c>
      <c r="AM89">
        <v>0.42905700000000002</v>
      </c>
      <c r="AO89">
        <v>0.43270900000000001</v>
      </c>
      <c r="AQ89">
        <v>0.432116</v>
      </c>
      <c r="AR89">
        <v>0.42930000000000001</v>
      </c>
      <c r="AS89">
        <v>0.42888100000000001</v>
      </c>
      <c r="AV89">
        <v>0.42869699999999999</v>
      </c>
      <c r="AW89">
        <v>0.42686499999999999</v>
      </c>
      <c r="AX89">
        <v>0.42366599999999999</v>
      </c>
      <c r="AY89">
        <v>0.42188999999999999</v>
      </c>
      <c r="AZ89">
        <v>0.42747600000000002</v>
      </c>
      <c r="BA89">
        <v>0.42685699999999999</v>
      </c>
      <c r="BB89">
        <v>0.42638799999999999</v>
      </c>
      <c r="BC89">
        <v>0.43007499999999999</v>
      </c>
      <c r="BD89">
        <v>0.43029400000000001</v>
      </c>
      <c r="BE89">
        <v>0.431695</v>
      </c>
      <c r="BF89">
        <v>0.43284400000000001</v>
      </c>
      <c r="BG89">
        <v>0.43171799999999999</v>
      </c>
      <c r="BH89">
        <v>0.42789199999999999</v>
      </c>
      <c r="BI89">
        <v>1.4E-2</v>
      </c>
    </row>
    <row r="90" spans="1:61" x14ac:dyDescent="0.5">
      <c r="D90" s="126"/>
      <c r="T90" t="s">
        <v>246</v>
      </c>
      <c r="U90" t="s">
        <v>247</v>
      </c>
      <c r="V90" t="s">
        <v>117</v>
      </c>
      <c r="X90">
        <v>7.4667999999999998E-2</v>
      </c>
      <c r="Y90">
        <v>6.4105999999999996E-2</v>
      </c>
      <c r="Z90">
        <v>8.2085000000000005E-2</v>
      </c>
      <c r="AA90">
        <v>8.7884000000000004E-2</v>
      </c>
      <c r="AB90">
        <v>9.1132000000000005E-2</v>
      </c>
      <c r="AC90">
        <v>9.4353000000000006E-2</v>
      </c>
      <c r="AD90">
        <v>9.6361000000000002E-2</v>
      </c>
      <c r="AE90">
        <v>9.5708000000000001E-2</v>
      </c>
      <c r="AF90">
        <v>9.8336000000000007E-2</v>
      </c>
      <c r="AG90">
        <v>0.100434</v>
      </c>
      <c r="AH90">
        <v>0.10267</v>
      </c>
      <c r="AI90">
        <v>0.10573</v>
      </c>
      <c r="AK90">
        <v>0.10518</v>
      </c>
      <c r="AM90">
        <v>0.106615</v>
      </c>
      <c r="AO90">
        <v>0.10792499999999999</v>
      </c>
      <c r="AQ90">
        <v>0.10818999999999999</v>
      </c>
      <c r="AR90">
        <v>0.10878599999999999</v>
      </c>
      <c r="AS90">
        <v>0.109032</v>
      </c>
      <c r="AV90">
        <v>0.10958900000000001</v>
      </c>
      <c r="AW90">
        <v>0.10907500000000001</v>
      </c>
      <c r="AX90">
        <v>0.10809000000000001</v>
      </c>
      <c r="AY90">
        <v>0.10838</v>
      </c>
      <c r="AZ90">
        <v>0.110025</v>
      </c>
      <c r="BA90">
        <v>0.11056199999999999</v>
      </c>
      <c r="BB90">
        <v>0.11092100000000001</v>
      </c>
      <c r="BC90">
        <v>0.112195</v>
      </c>
      <c r="BD90">
        <v>0.11296299999999999</v>
      </c>
      <c r="BE90">
        <v>0.113774</v>
      </c>
      <c r="BF90">
        <v>0.11418</v>
      </c>
      <c r="BG90">
        <v>0.114843</v>
      </c>
      <c r="BH90">
        <v>0.113759</v>
      </c>
      <c r="BI90">
        <v>1.4E-2</v>
      </c>
    </row>
    <row r="91" spans="1:61" x14ac:dyDescent="0.5">
      <c r="D91" s="126"/>
      <c r="T91" t="s">
        <v>246</v>
      </c>
      <c r="U91" t="s">
        <v>248</v>
      </c>
      <c r="V91" t="s">
        <v>117</v>
      </c>
      <c r="X91">
        <v>7.0632E-2</v>
      </c>
      <c r="Y91">
        <v>7.6259999999999994E-2</v>
      </c>
      <c r="Z91">
        <v>8.7165999999999993E-2</v>
      </c>
      <c r="AA91">
        <v>9.2685000000000003E-2</v>
      </c>
      <c r="AB91">
        <v>9.4730999999999996E-2</v>
      </c>
      <c r="AC91">
        <v>9.7952999999999998E-2</v>
      </c>
      <c r="AD91">
        <v>9.9552000000000002E-2</v>
      </c>
      <c r="AE91">
        <v>9.9213999999999997E-2</v>
      </c>
      <c r="AF91">
        <v>0.101034</v>
      </c>
      <c r="AG91">
        <v>0.101951</v>
      </c>
      <c r="AH91">
        <v>0.103101</v>
      </c>
      <c r="AI91">
        <v>0.103785</v>
      </c>
      <c r="AK91">
        <v>0.10337300000000001</v>
      </c>
      <c r="AM91">
        <v>0.10355300000000001</v>
      </c>
      <c r="AO91">
        <v>0.104284</v>
      </c>
      <c r="AQ91">
        <v>0.103973</v>
      </c>
      <c r="AR91">
        <v>0.10309400000000001</v>
      </c>
      <c r="AS91">
        <v>0.102822</v>
      </c>
      <c r="AV91">
        <v>0.102632</v>
      </c>
      <c r="AW91">
        <v>0.10205400000000001</v>
      </c>
      <c r="AX91">
        <v>0.101122</v>
      </c>
      <c r="AY91">
        <v>0.100564</v>
      </c>
      <c r="AZ91">
        <v>0.10174</v>
      </c>
      <c r="BA91">
        <v>0.101435</v>
      </c>
      <c r="BB91">
        <v>0.101175</v>
      </c>
      <c r="BC91">
        <v>0.101865</v>
      </c>
      <c r="BD91">
        <v>0.101753</v>
      </c>
      <c r="BE91">
        <v>0.101922</v>
      </c>
      <c r="BF91">
        <v>0.101947</v>
      </c>
      <c r="BG91">
        <v>0.101534</v>
      </c>
      <c r="BH91">
        <v>0.100471</v>
      </c>
      <c r="BI91">
        <v>1.2E-2</v>
      </c>
    </row>
    <row r="92" spans="1:61" x14ac:dyDescent="0.5">
      <c r="D92" s="126"/>
      <c r="T92" t="s">
        <v>249</v>
      </c>
      <c r="U92" t="s">
        <v>250</v>
      </c>
      <c r="V92" t="s">
        <v>117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  <c r="AM92">
        <v>0</v>
      </c>
      <c r="AO92">
        <v>0</v>
      </c>
      <c r="AQ92">
        <v>0</v>
      </c>
      <c r="AR92">
        <v>0</v>
      </c>
      <c r="AS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137</v>
      </c>
    </row>
    <row r="93" spans="1:61" x14ac:dyDescent="0.5">
      <c r="D93" s="126"/>
      <c r="T93" t="s">
        <v>251</v>
      </c>
      <c r="U93" t="s">
        <v>252</v>
      </c>
      <c r="V93" t="s">
        <v>117</v>
      </c>
      <c r="X93">
        <v>2.2459E-2</v>
      </c>
      <c r="Y93">
        <v>2.3869000000000001E-2</v>
      </c>
      <c r="Z93">
        <v>2.9286E-2</v>
      </c>
      <c r="AA93">
        <v>3.4757999999999997E-2</v>
      </c>
      <c r="AB93">
        <v>4.0150999999999999E-2</v>
      </c>
      <c r="AC93">
        <v>4.8250000000000001E-2</v>
      </c>
      <c r="AD93">
        <v>5.6251000000000002E-2</v>
      </c>
      <c r="AE93">
        <v>6.4057000000000003E-2</v>
      </c>
      <c r="AF93">
        <v>7.3980000000000004E-2</v>
      </c>
      <c r="AG93">
        <v>8.3887000000000003E-2</v>
      </c>
      <c r="AH93">
        <v>9.4203999999999996E-2</v>
      </c>
      <c r="AI93">
        <v>0.104237</v>
      </c>
      <c r="AK93">
        <v>0.11264299999999999</v>
      </c>
      <c r="AM93">
        <v>0.121044</v>
      </c>
      <c r="AO93">
        <v>0.12939700000000001</v>
      </c>
      <c r="AQ93">
        <v>0.135464</v>
      </c>
      <c r="AR93">
        <v>0.140204</v>
      </c>
      <c r="AS93">
        <v>0.14504900000000001</v>
      </c>
      <c r="AV93">
        <v>0.14957899999999999</v>
      </c>
      <c r="AW93">
        <v>0.15301699999999999</v>
      </c>
      <c r="AX93">
        <v>0.155414</v>
      </c>
      <c r="AY93">
        <v>0.158275</v>
      </c>
      <c r="AZ93">
        <v>0.16356999999999999</v>
      </c>
      <c r="BA93">
        <v>0.166515</v>
      </c>
      <c r="BB93">
        <v>0.16939399999999999</v>
      </c>
      <c r="BC93">
        <v>0.173813</v>
      </c>
      <c r="BD93">
        <v>0.176928</v>
      </c>
      <c r="BE93">
        <v>0.18052299999999999</v>
      </c>
      <c r="BF93">
        <v>0.18381800000000001</v>
      </c>
      <c r="BG93">
        <v>0.186586</v>
      </c>
      <c r="BH93">
        <v>0.18773599999999999</v>
      </c>
      <c r="BI93">
        <v>7.2999999999999995E-2</v>
      </c>
    </row>
    <row r="94" spans="1:61" x14ac:dyDescent="0.5">
      <c r="D94" s="126"/>
      <c r="T94" t="s">
        <v>253</v>
      </c>
      <c r="U94" t="s">
        <v>254</v>
      </c>
      <c r="V94" t="s">
        <v>117</v>
      </c>
      <c r="X94">
        <v>46.752265999999999</v>
      </c>
      <c r="Y94">
        <v>52.812480999999998</v>
      </c>
      <c r="Z94">
        <v>61.338318000000001</v>
      </c>
      <c r="AA94">
        <v>67.076790000000003</v>
      </c>
      <c r="AB94">
        <v>71.651566000000003</v>
      </c>
      <c r="AC94">
        <v>77.330414000000005</v>
      </c>
      <c r="AD94">
        <v>82.940505999999999</v>
      </c>
      <c r="AE94">
        <v>88.504683999999997</v>
      </c>
      <c r="AF94">
        <v>97.241814000000005</v>
      </c>
      <c r="AG94">
        <v>104.043724</v>
      </c>
      <c r="AH94">
        <v>111.164635</v>
      </c>
      <c r="AI94">
        <v>118.43813299999999</v>
      </c>
      <c r="AK94">
        <v>125.186722</v>
      </c>
      <c r="AM94">
        <v>133.04113799999999</v>
      </c>
      <c r="AO94">
        <v>141.89044200000001</v>
      </c>
      <c r="AQ94">
        <v>149.96639999999999</v>
      </c>
      <c r="AR94">
        <v>156.919556</v>
      </c>
      <c r="AS94">
        <v>164.556488</v>
      </c>
      <c r="AV94">
        <v>171.83918800000001</v>
      </c>
      <c r="AW94">
        <v>178.220551</v>
      </c>
      <c r="AX94">
        <v>184.05552700000001</v>
      </c>
      <c r="AY94">
        <v>188.70858799999999</v>
      </c>
      <c r="AZ94">
        <v>196.648956</v>
      </c>
      <c r="BA94">
        <v>201.935272</v>
      </c>
      <c r="BB94">
        <v>207.203934</v>
      </c>
      <c r="BC94">
        <v>214.87901299999999</v>
      </c>
      <c r="BD94">
        <v>220.979874</v>
      </c>
      <c r="BE94">
        <v>227.699524</v>
      </c>
      <c r="BF94">
        <v>234.768845</v>
      </c>
      <c r="BG94">
        <v>240.35348500000001</v>
      </c>
      <c r="BH94">
        <v>244.588165</v>
      </c>
      <c r="BI94">
        <v>5.7000000000000002E-2</v>
      </c>
    </row>
    <row r="95" spans="1:61" x14ac:dyDescent="0.5">
      <c r="D95" s="126"/>
      <c r="T95" t="s">
        <v>255</v>
      </c>
      <c r="U95" t="s">
        <v>256</v>
      </c>
      <c r="V95" t="s">
        <v>155</v>
      </c>
      <c r="X95">
        <v>7.5818659999999998</v>
      </c>
      <c r="Y95">
        <v>7.774203</v>
      </c>
      <c r="Z95">
        <v>8.1345100000000006</v>
      </c>
      <c r="AA95">
        <v>8.4842119999999994</v>
      </c>
      <c r="AB95">
        <v>8.9595870000000009</v>
      </c>
      <c r="AC95">
        <v>9.4186049999999994</v>
      </c>
      <c r="AD95">
        <v>10.002639</v>
      </c>
      <c r="AE95">
        <v>10.740088999999999</v>
      </c>
      <c r="AF95">
        <v>11.632498</v>
      </c>
      <c r="AG95">
        <v>12.377212999999999</v>
      </c>
      <c r="AH95">
        <v>13.180539</v>
      </c>
      <c r="AI95">
        <v>13.980846</v>
      </c>
      <c r="AK95">
        <v>14.870540999999999</v>
      </c>
      <c r="AM95">
        <v>15.818064</v>
      </c>
      <c r="AO95">
        <v>16.783688000000001</v>
      </c>
      <c r="AQ95">
        <v>17.844484000000001</v>
      </c>
      <c r="AR95">
        <v>18.881639</v>
      </c>
      <c r="AS95">
        <v>19.890923000000001</v>
      </c>
      <c r="AV95">
        <v>20.839748</v>
      </c>
      <c r="AW95">
        <v>21.761032</v>
      </c>
      <c r="AX95">
        <v>22.723671</v>
      </c>
      <c r="AY95">
        <v>23.475445000000001</v>
      </c>
      <c r="AZ95">
        <v>24.232112999999998</v>
      </c>
      <c r="BA95">
        <v>25.013897</v>
      </c>
      <c r="BB95">
        <v>25.794712000000001</v>
      </c>
      <c r="BC95">
        <v>26.636091</v>
      </c>
      <c r="BD95">
        <v>27.497837000000001</v>
      </c>
      <c r="BE95">
        <v>28.367699000000002</v>
      </c>
      <c r="BF95">
        <v>29.318085</v>
      </c>
      <c r="BG95">
        <v>30.216308999999999</v>
      </c>
      <c r="BH95">
        <v>31.142223000000001</v>
      </c>
      <c r="BI95">
        <v>4.8000000000000001E-2</v>
      </c>
    </row>
    <row r="96" spans="1:61" x14ac:dyDescent="0.5">
      <c r="D96" s="126"/>
      <c r="T96" t="s">
        <v>257</v>
      </c>
      <c r="U96" t="s">
        <v>258</v>
      </c>
      <c r="V96" t="s">
        <v>117</v>
      </c>
      <c r="X96">
        <v>616.63275099999998</v>
      </c>
      <c r="Y96">
        <v>679.32983400000001</v>
      </c>
      <c r="Z96">
        <v>754.05053699999996</v>
      </c>
      <c r="AA96">
        <v>790.60723900000005</v>
      </c>
      <c r="AB96">
        <v>799.71954300000004</v>
      </c>
      <c r="AC96">
        <v>821.03894000000003</v>
      </c>
      <c r="AD96">
        <v>829.18621800000005</v>
      </c>
      <c r="AE96">
        <v>824.05908199999999</v>
      </c>
      <c r="AF96">
        <v>835.94958499999996</v>
      </c>
      <c r="AG96">
        <v>840.60711700000002</v>
      </c>
      <c r="AH96">
        <v>843.399719</v>
      </c>
      <c r="AI96">
        <v>847.14569100000006</v>
      </c>
      <c r="AK96">
        <v>841.84381099999996</v>
      </c>
      <c r="AM96">
        <v>841.07092299999999</v>
      </c>
      <c r="AO96">
        <v>845.40686000000005</v>
      </c>
      <c r="AQ96">
        <v>840.40759300000002</v>
      </c>
      <c r="AR96">
        <v>831.06951900000001</v>
      </c>
      <c r="AS96">
        <v>827.29443400000002</v>
      </c>
      <c r="AV96">
        <v>824.57415800000001</v>
      </c>
      <c r="AW96">
        <v>818.98937999999998</v>
      </c>
      <c r="AX96">
        <v>809.97265600000003</v>
      </c>
      <c r="AY96">
        <v>803.85522500000002</v>
      </c>
      <c r="AZ96">
        <v>811.52209500000004</v>
      </c>
      <c r="BA96">
        <v>807.29235800000004</v>
      </c>
      <c r="BB96">
        <v>803.28070100000002</v>
      </c>
      <c r="BC96">
        <v>806.72125200000005</v>
      </c>
      <c r="BD96">
        <v>803.62640399999998</v>
      </c>
      <c r="BE96">
        <v>802.67181400000004</v>
      </c>
      <c r="BF96">
        <v>800.76458700000001</v>
      </c>
      <c r="BG96">
        <v>795.44287099999997</v>
      </c>
      <c r="BH96">
        <v>785.39086899999995</v>
      </c>
      <c r="BI96">
        <v>8.0000000000000002E-3</v>
      </c>
    </row>
    <row r="97" spans="4:61" x14ac:dyDescent="0.5">
      <c r="D97" s="126"/>
      <c r="T97" t="s">
        <v>259</v>
      </c>
      <c r="U97" t="s">
        <v>260</v>
      </c>
      <c r="V97" t="s">
        <v>117</v>
      </c>
      <c r="X97">
        <v>694.41668700000002</v>
      </c>
      <c r="Y97">
        <v>729.033142</v>
      </c>
      <c r="Z97">
        <v>747.52587900000003</v>
      </c>
      <c r="AA97">
        <v>760.55346699999996</v>
      </c>
      <c r="AB97">
        <v>753.44787599999995</v>
      </c>
      <c r="AC97">
        <v>756.43194600000004</v>
      </c>
      <c r="AD97">
        <v>743.88934300000005</v>
      </c>
      <c r="AE97">
        <v>720.60968000000003</v>
      </c>
      <c r="AF97">
        <v>714.26611300000002</v>
      </c>
      <c r="AG97">
        <v>702.75506600000006</v>
      </c>
      <c r="AH97">
        <v>687.96002199999998</v>
      </c>
      <c r="AI97">
        <v>685.81243900000004</v>
      </c>
      <c r="AK97">
        <v>673.43566899999996</v>
      </c>
      <c r="AM97">
        <v>666.95916699999998</v>
      </c>
      <c r="AO97">
        <v>664.97552499999995</v>
      </c>
      <c r="AQ97">
        <v>650.171875</v>
      </c>
      <c r="AR97">
        <v>637.16625999999997</v>
      </c>
      <c r="AS97">
        <v>629.09832800000004</v>
      </c>
      <c r="AV97">
        <v>625.99951199999998</v>
      </c>
      <c r="AW97">
        <v>621.09204099999999</v>
      </c>
      <c r="AX97">
        <v>610.066956</v>
      </c>
      <c r="AY97">
        <v>604.94982900000002</v>
      </c>
      <c r="AZ97">
        <v>607.18066399999998</v>
      </c>
      <c r="BA97">
        <v>601.97875999999997</v>
      </c>
      <c r="BB97">
        <v>597.13671899999997</v>
      </c>
      <c r="BC97">
        <v>595.51434300000005</v>
      </c>
      <c r="BD97">
        <v>589.62023899999997</v>
      </c>
      <c r="BE97">
        <v>585.18042000000003</v>
      </c>
      <c r="BF97">
        <v>576.98730499999999</v>
      </c>
      <c r="BG97">
        <v>571.20159899999999</v>
      </c>
      <c r="BH97">
        <v>559.22082499999999</v>
      </c>
      <c r="BI97">
        <v>-7.0000000000000001E-3</v>
      </c>
    </row>
    <row r="98" spans="4:61" x14ac:dyDescent="0.5">
      <c r="D98" s="126"/>
      <c r="T98" t="s">
        <v>261</v>
      </c>
      <c r="U98" t="s">
        <v>262</v>
      </c>
      <c r="V98" t="s">
        <v>117</v>
      </c>
      <c r="X98">
        <v>5.8921390000000002</v>
      </c>
      <c r="Y98">
        <v>8.6571029999999993</v>
      </c>
      <c r="Z98">
        <v>10.680002999999999</v>
      </c>
      <c r="AA98">
        <v>10.387370000000001</v>
      </c>
      <c r="AB98">
        <v>10.114292000000001</v>
      </c>
      <c r="AC98">
        <v>10.149561</v>
      </c>
      <c r="AD98">
        <v>9.8172329999999999</v>
      </c>
      <c r="AE98">
        <v>9.4405769999999993</v>
      </c>
      <c r="AF98">
        <v>9.5782310000000006</v>
      </c>
      <c r="AG98">
        <v>9.5831389999999992</v>
      </c>
      <c r="AH98">
        <v>9.7861560000000001</v>
      </c>
      <c r="AI98">
        <v>9.6385559999999995</v>
      </c>
      <c r="AK98">
        <v>9.4237000000000002</v>
      </c>
      <c r="AM98">
        <v>9.1397709999999996</v>
      </c>
      <c r="AO98">
        <v>9.1016940000000002</v>
      </c>
      <c r="AQ98">
        <v>9.2362380000000002</v>
      </c>
      <c r="AR98">
        <v>8.8845159999999996</v>
      </c>
      <c r="AS98">
        <v>8.7926909999999996</v>
      </c>
      <c r="AV98">
        <v>8.5362449999999992</v>
      </c>
      <c r="AW98">
        <v>8.3839489999999994</v>
      </c>
      <c r="AX98">
        <v>8.1633770000000005</v>
      </c>
      <c r="AY98">
        <v>8.1629100000000001</v>
      </c>
      <c r="AZ98">
        <v>8.2330900000000007</v>
      </c>
      <c r="BA98">
        <v>8.1496689999999994</v>
      </c>
      <c r="BB98">
        <v>8.084975</v>
      </c>
      <c r="BC98">
        <v>8.099259</v>
      </c>
      <c r="BD98">
        <v>8.0287670000000002</v>
      </c>
      <c r="BE98">
        <v>8.0033809999999992</v>
      </c>
      <c r="BF98">
        <v>7.9215819999999999</v>
      </c>
      <c r="BG98">
        <v>7.7830709999999996</v>
      </c>
      <c r="BH98">
        <v>7.6503610000000002</v>
      </c>
      <c r="BI98">
        <v>8.9999999999999993E-3</v>
      </c>
    </row>
    <row r="99" spans="4:61" x14ac:dyDescent="0.5">
      <c r="D99" s="126"/>
      <c r="T99" t="s">
        <v>263</v>
      </c>
      <c r="U99" t="s">
        <v>264</v>
      </c>
      <c r="V99" t="s">
        <v>117</v>
      </c>
      <c r="X99">
        <v>700.30883800000004</v>
      </c>
      <c r="Y99">
        <v>737.690247</v>
      </c>
      <c r="Z99">
        <v>758.205872</v>
      </c>
      <c r="AA99">
        <v>770.94085700000005</v>
      </c>
      <c r="AB99">
        <v>763.56219499999997</v>
      </c>
      <c r="AC99">
        <v>766.58148200000005</v>
      </c>
      <c r="AD99">
        <v>753.70660399999997</v>
      </c>
      <c r="AE99">
        <v>730.05023200000005</v>
      </c>
      <c r="AF99">
        <v>723.84436000000005</v>
      </c>
      <c r="AG99">
        <v>712.33819600000004</v>
      </c>
      <c r="AH99">
        <v>697.74615500000004</v>
      </c>
      <c r="AI99">
        <v>695.45098900000005</v>
      </c>
      <c r="AK99">
        <v>682.859375</v>
      </c>
      <c r="AM99">
        <v>676.09893799999998</v>
      </c>
      <c r="AO99">
        <v>674.07720900000004</v>
      </c>
      <c r="AQ99">
        <v>659.408142</v>
      </c>
      <c r="AR99">
        <v>646.05078100000003</v>
      </c>
      <c r="AS99">
        <v>637.89099099999999</v>
      </c>
      <c r="AV99">
        <v>634.53576699999996</v>
      </c>
      <c r="AW99">
        <v>629.47601299999997</v>
      </c>
      <c r="AX99">
        <v>618.23034700000005</v>
      </c>
      <c r="AY99">
        <v>613.11273200000005</v>
      </c>
      <c r="AZ99">
        <v>615.41375700000003</v>
      </c>
      <c r="BA99">
        <v>610.12841800000001</v>
      </c>
      <c r="BB99">
        <v>605.22167999999999</v>
      </c>
      <c r="BC99">
        <v>603.61358600000005</v>
      </c>
      <c r="BD99">
        <v>597.64898700000003</v>
      </c>
      <c r="BE99">
        <v>593.18377699999996</v>
      </c>
      <c r="BF99">
        <v>584.90887499999997</v>
      </c>
      <c r="BG99">
        <v>578.98468000000003</v>
      </c>
      <c r="BH99">
        <v>566.871216</v>
      </c>
      <c r="BI99">
        <v>-7.0000000000000001E-3</v>
      </c>
    </row>
    <row r="100" spans="4:61" x14ac:dyDescent="0.5">
      <c r="D100" s="126"/>
      <c r="T100" t="s">
        <v>265</v>
      </c>
      <c r="U100" t="s">
        <v>266</v>
      </c>
      <c r="V100" t="s">
        <v>117</v>
      </c>
      <c r="X100">
        <v>70.301506000000003</v>
      </c>
      <c r="Y100">
        <v>67.634124999999997</v>
      </c>
      <c r="Z100">
        <v>69.451735999999997</v>
      </c>
      <c r="AA100">
        <v>70.725845000000007</v>
      </c>
      <c r="AB100">
        <v>70.180878000000007</v>
      </c>
      <c r="AC100">
        <v>70.596382000000006</v>
      </c>
      <c r="AD100">
        <v>69.840278999999995</v>
      </c>
      <c r="AE100">
        <v>67.919028999999995</v>
      </c>
      <c r="AF100">
        <v>67.545158000000001</v>
      </c>
      <c r="AG100">
        <v>66.684814000000003</v>
      </c>
      <c r="AH100">
        <v>65.493378000000007</v>
      </c>
      <c r="AI100">
        <v>65.484306000000004</v>
      </c>
      <c r="AK100">
        <v>64.569901000000002</v>
      </c>
      <c r="AM100">
        <v>64.176376000000005</v>
      </c>
      <c r="AO100">
        <v>64.244727999999995</v>
      </c>
      <c r="AQ100">
        <v>63.100085999999997</v>
      </c>
      <c r="AR100">
        <v>62.102004999999998</v>
      </c>
      <c r="AS100">
        <v>61.557537000000004</v>
      </c>
      <c r="AV100">
        <v>61.458030999999998</v>
      </c>
      <c r="AW100">
        <v>61.178764000000001</v>
      </c>
      <c r="AX100">
        <v>60.318947000000001</v>
      </c>
      <c r="AY100">
        <v>59.977898000000003</v>
      </c>
      <c r="AZ100">
        <v>60.389572000000001</v>
      </c>
      <c r="BA100">
        <v>60.053637999999999</v>
      </c>
      <c r="BB100">
        <v>59.756324999999997</v>
      </c>
      <c r="BC100">
        <v>59.803283999999998</v>
      </c>
      <c r="BD100">
        <v>59.413685000000001</v>
      </c>
      <c r="BE100">
        <v>59.174343</v>
      </c>
      <c r="BF100">
        <v>58.590815999999997</v>
      </c>
      <c r="BG100">
        <v>58.195312000000001</v>
      </c>
      <c r="BH100">
        <v>57.193286999999998</v>
      </c>
      <c r="BI100">
        <v>-7.0000000000000001E-3</v>
      </c>
    </row>
    <row r="101" spans="4:61" x14ac:dyDescent="0.5">
      <c r="D101" s="126"/>
      <c r="T101" t="s">
        <v>267</v>
      </c>
      <c r="U101" t="s">
        <v>268</v>
      </c>
      <c r="V101" t="s">
        <v>117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</v>
      </c>
      <c r="AM101">
        <v>0</v>
      </c>
      <c r="AO101">
        <v>0</v>
      </c>
      <c r="AQ101">
        <v>0</v>
      </c>
      <c r="AR101">
        <v>0</v>
      </c>
      <c r="AS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137</v>
      </c>
    </row>
    <row r="102" spans="4:61" x14ac:dyDescent="0.5">
      <c r="D102" s="126"/>
      <c r="T102" t="s">
        <v>269</v>
      </c>
      <c r="U102" t="s">
        <v>270</v>
      </c>
      <c r="V102" t="s">
        <v>117</v>
      </c>
      <c r="X102">
        <v>1.3044739999999999</v>
      </c>
      <c r="Y102">
        <v>1.573949</v>
      </c>
      <c r="Z102">
        <v>1.753301</v>
      </c>
      <c r="AA102">
        <v>1.900277</v>
      </c>
      <c r="AB102">
        <v>2.1403789999999998</v>
      </c>
      <c r="AC102">
        <v>2.402679</v>
      </c>
      <c r="AD102">
        <v>2.6910590000000001</v>
      </c>
      <c r="AE102">
        <v>2.9541909999999998</v>
      </c>
      <c r="AF102">
        <v>3.344786</v>
      </c>
      <c r="AG102">
        <v>3.7788680000000001</v>
      </c>
      <c r="AH102">
        <v>4.1619679999999999</v>
      </c>
      <c r="AI102">
        <v>4.6684210000000004</v>
      </c>
      <c r="AK102">
        <v>5.1929860000000003</v>
      </c>
      <c r="AM102">
        <v>5.7696870000000002</v>
      </c>
      <c r="AO102">
        <v>6.4046409999999998</v>
      </c>
      <c r="AQ102">
        <v>6.9428109999999998</v>
      </c>
      <c r="AR102">
        <v>7.4290060000000002</v>
      </c>
      <c r="AS102">
        <v>7.9542219999999997</v>
      </c>
      <c r="AV102">
        <v>8.4929430000000004</v>
      </c>
      <c r="AW102">
        <v>9.0032739999999993</v>
      </c>
      <c r="AX102">
        <v>9.4308350000000001</v>
      </c>
      <c r="AY102">
        <v>9.8674750000000007</v>
      </c>
      <c r="AZ102">
        <v>10.457433999999999</v>
      </c>
      <c r="BA102">
        <v>10.910880000000001</v>
      </c>
      <c r="BB102">
        <v>11.368016000000001</v>
      </c>
      <c r="BC102">
        <v>11.916388</v>
      </c>
      <c r="BD102">
        <v>12.376396</v>
      </c>
      <c r="BE102">
        <v>12.868812999999999</v>
      </c>
      <c r="BF102">
        <v>13.319292000000001</v>
      </c>
      <c r="BG102">
        <v>13.757477</v>
      </c>
      <c r="BH102">
        <v>14.082344000000001</v>
      </c>
      <c r="BI102">
        <v>8.3000000000000004E-2</v>
      </c>
    </row>
    <row r="103" spans="4:61" x14ac:dyDescent="0.5">
      <c r="D103" s="126"/>
      <c r="T103" t="s">
        <v>271</v>
      </c>
      <c r="U103" t="s">
        <v>272</v>
      </c>
      <c r="V103" t="s">
        <v>117</v>
      </c>
      <c r="X103">
        <v>3.2936939999999999</v>
      </c>
      <c r="Y103">
        <v>4.2184439999999999</v>
      </c>
      <c r="Z103">
        <v>5.0141470000000004</v>
      </c>
      <c r="AA103">
        <v>5.911435</v>
      </c>
      <c r="AB103">
        <v>6.7653040000000004</v>
      </c>
      <c r="AC103">
        <v>7.3607120000000004</v>
      </c>
      <c r="AD103">
        <v>7.7163659999999998</v>
      </c>
      <c r="AE103">
        <v>8.3768209999999996</v>
      </c>
      <c r="AF103">
        <v>9.5041069999999994</v>
      </c>
      <c r="AG103">
        <v>10.852315000000001</v>
      </c>
      <c r="AH103">
        <v>12.627336</v>
      </c>
      <c r="AI103">
        <v>14.517166</v>
      </c>
      <c r="AK103">
        <v>16.613123000000002</v>
      </c>
      <c r="AM103">
        <v>18.857244000000001</v>
      </c>
      <c r="AO103">
        <v>21.418533</v>
      </c>
      <c r="AQ103">
        <v>23.947642999999999</v>
      </c>
      <c r="AR103">
        <v>26.315048000000001</v>
      </c>
      <c r="AS103">
        <v>28.916654999999999</v>
      </c>
      <c r="AV103">
        <v>31.473120000000002</v>
      </c>
      <c r="AW103">
        <v>33.976868000000003</v>
      </c>
      <c r="AX103">
        <v>36.310890000000001</v>
      </c>
      <c r="AY103">
        <v>37.835495000000002</v>
      </c>
      <c r="AZ103">
        <v>40.036358</v>
      </c>
      <c r="BA103">
        <v>41.706054999999999</v>
      </c>
      <c r="BB103">
        <v>43.423423999999997</v>
      </c>
      <c r="BC103">
        <v>45.652653000000001</v>
      </c>
      <c r="BD103">
        <v>47.546894000000002</v>
      </c>
      <c r="BE103">
        <v>49.609413000000004</v>
      </c>
      <c r="BF103">
        <v>51.752625000000002</v>
      </c>
      <c r="BG103">
        <v>53.622356000000003</v>
      </c>
      <c r="BH103">
        <v>55.241802</v>
      </c>
      <c r="BI103">
        <v>9.9000000000000005E-2</v>
      </c>
    </row>
    <row r="104" spans="4:61" x14ac:dyDescent="0.5">
      <c r="D104" s="126"/>
      <c r="T104" t="s">
        <v>273</v>
      </c>
      <c r="U104" t="s">
        <v>274</v>
      </c>
      <c r="V104" t="s">
        <v>117</v>
      </c>
      <c r="X104">
        <v>0.399482</v>
      </c>
      <c r="Y104">
        <v>0.431778</v>
      </c>
      <c r="Z104">
        <v>0.44354399999999999</v>
      </c>
      <c r="AA104">
        <v>0.46359299999999998</v>
      </c>
      <c r="AB104">
        <v>0.48083100000000001</v>
      </c>
      <c r="AC104">
        <v>0.48107699999999998</v>
      </c>
      <c r="AD104">
        <v>0.477574</v>
      </c>
      <c r="AE104">
        <v>0.52489699999999995</v>
      </c>
      <c r="AF104">
        <v>0.59181399999999995</v>
      </c>
      <c r="AG104">
        <v>0.66020299999999998</v>
      </c>
      <c r="AH104">
        <v>0.72740000000000005</v>
      </c>
      <c r="AI104">
        <v>0.80666000000000004</v>
      </c>
      <c r="AK104">
        <v>0.88040099999999999</v>
      </c>
      <c r="AM104">
        <v>0.95729900000000001</v>
      </c>
      <c r="AO104">
        <v>1.0482389999999999</v>
      </c>
      <c r="AQ104">
        <v>1.1314470000000001</v>
      </c>
      <c r="AR104">
        <v>1.2169049999999999</v>
      </c>
      <c r="AS104">
        <v>1.319321</v>
      </c>
      <c r="AV104">
        <v>1.4373579999999999</v>
      </c>
      <c r="AW104">
        <v>1.5657479999999999</v>
      </c>
      <c r="AX104">
        <v>1.697918</v>
      </c>
      <c r="AY104">
        <v>1.8490120000000001</v>
      </c>
      <c r="AZ104">
        <v>2.0502769999999999</v>
      </c>
      <c r="BA104">
        <v>2.2502369999999998</v>
      </c>
      <c r="BB104">
        <v>2.4796779999999998</v>
      </c>
      <c r="BC104">
        <v>2.7696489999999998</v>
      </c>
      <c r="BD104">
        <v>3.083904</v>
      </c>
      <c r="BE104">
        <v>3.453875</v>
      </c>
      <c r="BF104">
        <v>3.8668369999999999</v>
      </c>
      <c r="BG104">
        <v>4.3293020000000002</v>
      </c>
      <c r="BH104">
        <v>4.8227929999999999</v>
      </c>
      <c r="BI104">
        <v>8.6999999999999994E-2</v>
      </c>
    </row>
    <row r="105" spans="4:61" x14ac:dyDescent="0.5">
      <c r="D105" s="126"/>
      <c r="T105" t="s">
        <v>275</v>
      </c>
      <c r="U105" t="s">
        <v>276</v>
      </c>
      <c r="V105" t="s">
        <v>117</v>
      </c>
      <c r="X105">
        <v>2.954491</v>
      </c>
      <c r="Y105">
        <v>3.6777920000000002</v>
      </c>
      <c r="Z105">
        <v>3.7977650000000001</v>
      </c>
      <c r="AA105">
        <v>3.6381730000000001</v>
      </c>
      <c r="AB105">
        <v>3.363</v>
      </c>
      <c r="AC105">
        <v>6.0198179999999999</v>
      </c>
      <c r="AD105">
        <v>16.050008999999999</v>
      </c>
      <c r="AE105">
        <v>18.254598999999999</v>
      </c>
      <c r="AF105">
        <v>18.447358999999999</v>
      </c>
      <c r="AG105">
        <v>18.404022000000001</v>
      </c>
      <c r="AH105">
        <v>18.505185999999998</v>
      </c>
      <c r="AI105">
        <v>18.840202000000001</v>
      </c>
      <c r="AK105">
        <v>19.165609</v>
      </c>
      <c r="AM105">
        <v>19.527521</v>
      </c>
      <c r="AO105">
        <v>19.983194000000001</v>
      </c>
      <c r="AQ105">
        <v>20.127341999999999</v>
      </c>
      <c r="AR105">
        <v>20.135895000000001</v>
      </c>
      <c r="AS105">
        <v>20.262671999999998</v>
      </c>
      <c r="AV105">
        <v>20.376107999999999</v>
      </c>
      <c r="AW105">
        <v>20.406866000000001</v>
      </c>
      <c r="AX105">
        <v>20.283273999999999</v>
      </c>
      <c r="AY105">
        <v>20.103483000000001</v>
      </c>
      <c r="AZ105">
        <v>20.236837000000001</v>
      </c>
      <c r="BA105">
        <v>20.088068</v>
      </c>
      <c r="BB105">
        <v>19.938061000000001</v>
      </c>
      <c r="BC105">
        <v>19.943868999999999</v>
      </c>
      <c r="BD105">
        <v>19.773969999999998</v>
      </c>
      <c r="BE105">
        <v>19.635418000000001</v>
      </c>
      <c r="BF105">
        <v>19.437853</v>
      </c>
      <c r="BG105">
        <v>19.187719000000001</v>
      </c>
      <c r="BH105">
        <v>18.784081</v>
      </c>
      <c r="BI105">
        <v>6.4000000000000001E-2</v>
      </c>
    </row>
    <row r="106" spans="4:61" x14ac:dyDescent="0.5">
      <c r="D106" s="126"/>
      <c r="T106" t="s">
        <v>277</v>
      </c>
      <c r="U106" t="s">
        <v>278</v>
      </c>
      <c r="V106" t="s">
        <v>117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R106">
        <v>0</v>
      </c>
      <c r="AS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 t="s">
        <v>137</v>
      </c>
    </row>
    <row r="107" spans="4:61" x14ac:dyDescent="0.5">
      <c r="D107" s="126"/>
      <c r="T107" t="s">
        <v>279</v>
      </c>
      <c r="U107" t="s">
        <v>280</v>
      </c>
      <c r="V107" t="s">
        <v>117</v>
      </c>
      <c r="X107">
        <v>23.812677000000001</v>
      </c>
      <c r="Y107">
        <v>27.750001999999999</v>
      </c>
      <c r="Z107">
        <v>29.575678</v>
      </c>
      <c r="AA107">
        <v>31.139191</v>
      </c>
      <c r="AB107">
        <v>31.749941</v>
      </c>
      <c r="AC107">
        <v>33.463588999999999</v>
      </c>
      <c r="AD107">
        <v>40.598843000000002</v>
      </c>
      <c r="AE107">
        <v>43.013171999999997</v>
      </c>
      <c r="AF107">
        <v>44.256058000000003</v>
      </c>
      <c r="AG107">
        <v>45.107914000000001</v>
      </c>
      <c r="AH107">
        <v>46.121009999999998</v>
      </c>
      <c r="AI107">
        <v>47.489894999999997</v>
      </c>
      <c r="AK107">
        <v>48.556454000000002</v>
      </c>
      <c r="AM107">
        <v>49.834549000000003</v>
      </c>
      <c r="AO107">
        <v>51.499358999999998</v>
      </c>
      <c r="AQ107">
        <v>52.381762999999999</v>
      </c>
      <c r="AR107">
        <v>52.908957999999998</v>
      </c>
      <c r="AS107">
        <v>53.856811999999998</v>
      </c>
      <c r="AV107">
        <v>54.889248000000002</v>
      </c>
      <c r="AW107">
        <v>55.787543999999997</v>
      </c>
      <c r="AX107">
        <v>56.267558999999999</v>
      </c>
      <c r="AY107">
        <v>56.885624</v>
      </c>
      <c r="AZ107">
        <v>58.419659000000003</v>
      </c>
      <c r="BA107">
        <v>59.157851999999998</v>
      </c>
      <c r="BB107">
        <v>59.957515999999998</v>
      </c>
      <c r="BC107">
        <v>61.235976999999998</v>
      </c>
      <c r="BD107">
        <v>62.024932999999997</v>
      </c>
      <c r="BE107">
        <v>62.984420999999998</v>
      </c>
      <c r="BF107">
        <v>63.768982000000001</v>
      </c>
      <c r="BG107">
        <v>64.452468999999994</v>
      </c>
      <c r="BH107">
        <v>64.700333000000001</v>
      </c>
      <c r="BI107">
        <v>3.4000000000000002E-2</v>
      </c>
    </row>
    <row r="108" spans="4:61" x14ac:dyDescent="0.5">
      <c r="D108" s="126"/>
      <c r="T108" t="s">
        <v>281</v>
      </c>
      <c r="U108" t="s">
        <v>282</v>
      </c>
      <c r="V108" t="s">
        <v>117</v>
      </c>
      <c r="X108">
        <v>9.3512999999999999E-2</v>
      </c>
      <c r="Y108">
        <v>9.9172999999999997E-2</v>
      </c>
      <c r="Z108">
        <v>0.101558</v>
      </c>
      <c r="AA108">
        <v>0.103238</v>
      </c>
      <c r="AB108">
        <v>0.102369</v>
      </c>
      <c r="AC108">
        <v>0.103328</v>
      </c>
      <c r="AD108">
        <v>0.103778</v>
      </c>
      <c r="AE108">
        <v>0.101685</v>
      </c>
      <c r="AF108">
        <v>0.101586</v>
      </c>
      <c r="AG108">
        <v>0.100797</v>
      </c>
      <c r="AH108">
        <v>9.9393999999999996E-2</v>
      </c>
      <c r="AI108">
        <v>9.9867999999999998E-2</v>
      </c>
      <c r="AK108">
        <v>9.9104999999999999E-2</v>
      </c>
      <c r="AM108">
        <v>9.9102999999999997E-2</v>
      </c>
      <c r="AO108">
        <v>9.9864999999999995E-2</v>
      </c>
      <c r="AQ108">
        <v>9.8921999999999996E-2</v>
      </c>
      <c r="AR108">
        <v>9.7983000000000001E-2</v>
      </c>
      <c r="AS108">
        <v>9.7812999999999997E-2</v>
      </c>
      <c r="AV108">
        <v>9.8253999999999994E-2</v>
      </c>
      <c r="AW108">
        <v>9.8459000000000005E-2</v>
      </c>
      <c r="AX108">
        <v>9.7764000000000004E-2</v>
      </c>
      <c r="AY108">
        <v>9.7725000000000006E-2</v>
      </c>
      <c r="AZ108">
        <v>9.8982000000000001E-2</v>
      </c>
      <c r="BA108">
        <v>9.9006999999999998E-2</v>
      </c>
      <c r="BB108">
        <v>9.9110000000000004E-2</v>
      </c>
      <c r="BC108">
        <v>9.9853999999999998E-2</v>
      </c>
      <c r="BD108">
        <v>9.9872000000000002E-2</v>
      </c>
      <c r="BE108">
        <v>0.10015</v>
      </c>
      <c r="BF108">
        <v>9.9931000000000006E-2</v>
      </c>
      <c r="BG108">
        <v>9.9873000000000003E-2</v>
      </c>
      <c r="BH108">
        <v>9.8863999999999994E-2</v>
      </c>
      <c r="BI108">
        <v>2E-3</v>
      </c>
    </row>
    <row r="109" spans="4:61" x14ac:dyDescent="0.5">
      <c r="D109" s="126"/>
      <c r="T109" t="s">
        <v>283</v>
      </c>
      <c r="U109" t="s">
        <v>284</v>
      </c>
      <c r="V109" t="s">
        <v>117</v>
      </c>
      <c r="X109">
        <v>0.51579399999999997</v>
      </c>
      <c r="Y109">
        <v>0.54751099999999997</v>
      </c>
      <c r="Z109">
        <v>0.56086000000000003</v>
      </c>
      <c r="AA109">
        <v>0.57042599999999999</v>
      </c>
      <c r="AB109">
        <v>0.56582100000000002</v>
      </c>
      <c r="AC109">
        <v>0.57134200000000002</v>
      </c>
      <c r="AD109">
        <v>0.57396800000000003</v>
      </c>
      <c r="AE109">
        <v>0.56281099999999995</v>
      </c>
      <c r="AF109">
        <v>0.56282699999999997</v>
      </c>
      <c r="AG109">
        <v>0.55905899999999997</v>
      </c>
      <c r="AH109">
        <v>0.55209299999999994</v>
      </c>
      <c r="AI109">
        <v>0.55478700000000003</v>
      </c>
      <c r="AK109">
        <v>0.551176</v>
      </c>
      <c r="AM109">
        <v>0.55152199999999996</v>
      </c>
      <c r="AO109">
        <v>0.556226</v>
      </c>
      <c r="AQ109">
        <v>0.55206900000000003</v>
      </c>
      <c r="AR109">
        <v>0.5474</v>
      </c>
      <c r="AS109">
        <v>0.54708299999999999</v>
      </c>
      <c r="AV109">
        <v>0.54975300000000005</v>
      </c>
      <c r="AW109">
        <v>0.55123999999999995</v>
      </c>
      <c r="AX109">
        <v>0.54811200000000004</v>
      </c>
      <c r="AY109">
        <v>0.54817899999999997</v>
      </c>
      <c r="AZ109">
        <v>0.55603000000000002</v>
      </c>
      <c r="BA109">
        <v>0.55680799999999997</v>
      </c>
      <c r="BB109">
        <v>0.55815899999999996</v>
      </c>
      <c r="BC109">
        <v>0.56346300000000005</v>
      </c>
      <c r="BD109">
        <v>0.564577</v>
      </c>
      <c r="BE109">
        <v>0.56720099999999996</v>
      </c>
      <c r="BF109">
        <v>0.56781300000000001</v>
      </c>
      <c r="BG109">
        <v>0.56811400000000001</v>
      </c>
      <c r="BH109">
        <v>0.56398099999999995</v>
      </c>
      <c r="BI109">
        <v>3.0000000000000001E-3</v>
      </c>
    </row>
    <row r="110" spans="4:61" x14ac:dyDescent="0.5">
      <c r="D110" s="126"/>
      <c r="T110" t="s">
        <v>285</v>
      </c>
      <c r="U110" t="s">
        <v>286</v>
      </c>
      <c r="V110" t="s">
        <v>117</v>
      </c>
      <c r="X110">
        <v>0.126112</v>
      </c>
      <c r="Y110">
        <v>0.147705</v>
      </c>
      <c r="Z110">
        <v>0.154671</v>
      </c>
      <c r="AA110">
        <v>0.16392200000000001</v>
      </c>
      <c r="AB110">
        <v>0.167265</v>
      </c>
      <c r="AC110">
        <v>0.17339099999999999</v>
      </c>
      <c r="AD110">
        <v>0.177089</v>
      </c>
      <c r="AE110">
        <v>0.17866599999999999</v>
      </c>
      <c r="AF110">
        <v>0.18476300000000001</v>
      </c>
      <c r="AG110">
        <v>0.18970000000000001</v>
      </c>
      <c r="AH110">
        <v>0.195518</v>
      </c>
      <c r="AI110">
        <v>0.199516</v>
      </c>
      <c r="AK110">
        <v>0.20411499999999999</v>
      </c>
      <c r="AM110">
        <v>0.208928</v>
      </c>
      <c r="AO110">
        <v>0.21638499999999999</v>
      </c>
      <c r="AQ110">
        <v>0.22461300000000001</v>
      </c>
      <c r="AR110">
        <v>0.22914200000000001</v>
      </c>
      <c r="AS110">
        <v>0.235601</v>
      </c>
      <c r="AV110">
        <v>0.24108199999999999</v>
      </c>
      <c r="AW110">
        <v>0.24652299999999999</v>
      </c>
      <c r="AX110">
        <v>0.25249199999999999</v>
      </c>
      <c r="AY110">
        <v>0.25792199999999998</v>
      </c>
      <c r="AZ110">
        <v>0.27000600000000002</v>
      </c>
      <c r="BA110">
        <v>0.278312</v>
      </c>
      <c r="BB110">
        <v>0.28800999999999999</v>
      </c>
      <c r="BC110">
        <v>0.301539</v>
      </c>
      <c r="BD110">
        <v>0.31331700000000001</v>
      </c>
      <c r="BE110">
        <v>0.32619999999999999</v>
      </c>
      <c r="BF110">
        <v>0.34104400000000001</v>
      </c>
      <c r="BG110">
        <v>0.35120099999999999</v>
      </c>
      <c r="BH110">
        <v>0.36361900000000003</v>
      </c>
      <c r="BI110">
        <v>3.5999999999999997E-2</v>
      </c>
    </row>
    <row r="111" spans="4:61" x14ac:dyDescent="0.5">
      <c r="D111" s="126"/>
      <c r="T111" t="s">
        <v>287</v>
      </c>
      <c r="U111" t="s">
        <v>288</v>
      </c>
      <c r="V111" t="s">
        <v>117</v>
      </c>
      <c r="X111">
        <v>0.333285</v>
      </c>
      <c r="Y111">
        <v>0.353406</v>
      </c>
      <c r="Z111">
        <v>0.36175099999999999</v>
      </c>
      <c r="AA111">
        <v>0.36762099999999998</v>
      </c>
      <c r="AB111">
        <v>0.36442999999999998</v>
      </c>
      <c r="AC111">
        <v>0.36778100000000002</v>
      </c>
      <c r="AD111">
        <v>0.36936200000000002</v>
      </c>
      <c r="AE111">
        <v>0.361904</v>
      </c>
      <c r="AF111">
        <v>0.361564</v>
      </c>
      <c r="AG111">
        <v>0.35878599999999999</v>
      </c>
      <c r="AH111">
        <v>0.35387200000000002</v>
      </c>
      <c r="AI111">
        <v>0.35560900000000001</v>
      </c>
      <c r="AK111">
        <v>0.35294700000000001</v>
      </c>
      <c r="AM111">
        <v>0.35299900000000001</v>
      </c>
      <c r="AO111">
        <v>0.355767</v>
      </c>
      <c r="AQ111">
        <v>0.35253000000000001</v>
      </c>
      <c r="AR111">
        <v>0.34923799999999999</v>
      </c>
      <c r="AS111">
        <v>0.34869</v>
      </c>
      <c r="AV111">
        <v>0.35027900000000001</v>
      </c>
      <c r="AW111">
        <v>0.35103499999999999</v>
      </c>
      <c r="AX111">
        <v>0.348611</v>
      </c>
      <c r="AY111">
        <v>0.34849000000000002</v>
      </c>
      <c r="AZ111">
        <v>0.35303400000000001</v>
      </c>
      <c r="BA111">
        <v>0.35316700000000001</v>
      </c>
      <c r="BB111">
        <v>0.35359200000000002</v>
      </c>
      <c r="BC111">
        <v>0.35631499999999999</v>
      </c>
      <c r="BD111">
        <v>0.35645399999999999</v>
      </c>
      <c r="BE111">
        <v>0.35751699999999997</v>
      </c>
      <c r="BF111">
        <v>0.35683599999999999</v>
      </c>
      <c r="BG111">
        <v>0.35665400000000003</v>
      </c>
      <c r="BH111">
        <v>0.353155</v>
      </c>
      <c r="BI111">
        <v>2E-3</v>
      </c>
    </row>
    <row r="112" spans="4:61" x14ac:dyDescent="0.5">
      <c r="D112" s="126"/>
      <c r="T112" t="s">
        <v>289</v>
      </c>
      <c r="U112" t="s">
        <v>290</v>
      </c>
      <c r="V112" t="s">
        <v>117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</v>
      </c>
      <c r="AM112">
        <v>0</v>
      </c>
      <c r="AO112">
        <v>0</v>
      </c>
      <c r="AQ112">
        <v>0</v>
      </c>
      <c r="AR112">
        <v>0</v>
      </c>
      <c r="AS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137</v>
      </c>
    </row>
    <row r="113" spans="4:61" x14ac:dyDescent="0.5">
      <c r="D113" s="126"/>
      <c r="T113" t="s">
        <v>291</v>
      </c>
      <c r="U113" t="s">
        <v>292</v>
      </c>
      <c r="V113" t="s">
        <v>117</v>
      </c>
      <c r="X113">
        <v>5.6999999999999998E-4</v>
      </c>
      <c r="Y113">
        <v>8.0199999999999998E-4</v>
      </c>
      <c r="Z113">
        <v>1.088E-3</v>
      </c>
      <c r="AA113">
        <v>1.4530000000000001E-3</v>
      </c>
      <c r="AB113">
        <v>1.8799999999999999E-3</v>
      </c>
      <c r="AC113">
        <v>2.5279999999999999E-3</v>
      </c>
      <c r="AD113">
        <v>3.202E-3</v>
      </c>
      <c r="AE113">
        <v>3.9439999999999996E-3</v>
      </c>
      <c r="AF113">
        <v>4.9119999999999997E-3</v>
      </c>
      <c r="AG113">
        <v>5.9909999999999998E-3</v>
      </c>
      <c r="AH113">
        <v>7.1539999999999998E-3</v>
      </c>
      <c r="AI113">
        <v>8.515E-3</v>
      </c>
      <c r="AK113">
        <v>9.8569999999999994E-3</v>
      </c>
      <c r="AM113">
        <v>1.1287E-2</v>
      </c>
      <c r="AO113">
        <v>1.2817E-2</v>
      </c>
      <c r="AQ113">
        <v>1.4116E-2</v>
      </c>
      <c r="AR113">
        <v>1.5303000000000001E-2</v>
      </c>
      <c r="AS113">
        <v>1.6531000000000001E-2</v>
      </c>
      <c r="AV113">
        <v>1.7753000000000001E-2</v>
      </c>
      <c r="AW113">
        <v>1.8865E-2</v>
      </c>
      <c r="AX113">
        <v>1.9755999999999999E-2</v>
      </c>
      <c r="AY113">
        <v>2.0688999999999999E-2</v>
      </c>
      <c r="AZ113">
        <v>2.1912000000000001E-2</v>
      </c>
      <c r="BA113">
        <v>2.2860999999999999E-2</v>
      </c>
      <c r="BB113">
        <v>2.3809E-2</v>
      </c>
      <c r="BC113">
        <v>2.4927000000000001E-2</v>
      </c>
      <c r="BD113">
        <v>2.5831E-2</v>
      </c>
      <c r="BE113">
        <v>2.6804000000000001E-2</v>
      </c>
      <c r="BF113">
        <v>2.7733000000000001E-2</v>
      </c>
      <c r="BG113">
        <v>2.8580000000000001E-2</v>
      </c>
      <c r="BH113">
        <v>2.9187000000000001E-2</v>
      </c>
      <c r="BI113">
        <v>0.14000000000000001</v>
      </c>
    </row>
    <row r="114" spans="4:61" x14ac:dyDescent="0.5">
      <c r="D114" s="126"/>
      <c r="T114" t="s">
        <v>293</v>
      </c>
      <c r="U114" t="s">
        <v>294</v>
      </c>
      <c r="V114" t="s">
        <v>117</v>
      </c>
      <c r="X114">
        <v>103.135597</v>
      </c>
      <c r="Y114">
        <v>106.434692</v>
      </c>
      <c r="Z114">
        <v>111.216095</v>
      </c>
      <c r="AA114">
        <v>114.985191</v>
      </c>
      <c r="AB114">
        <v>115.88209500000001</v>
      </c>
      <c r="AC114">
        <v>121.542625</v>
      </c>
      <c r="AD114">
        <v>138.60154700000001</v>
      </c>
      <c r="AE114">
        <v>142.251724</v>
      </c>
      <c r="AF114">
        <v>144.90493799999999</v>
      </c>
      <c r="AG114">
        <v>146.70245399999999</v>
      </c>
      <c r="AH114">
        <v>148.84429900000001</v>
      </c>
      <c r="AI114">
        <v>153.02494799999999</v>
      </c>
      <c r="AK114">
        <v>156.195694</v>
      </c>
      <c r="AM114">
        <v>160.34651199999999</v>
      </c>
      <c r="AO114">
        <v>165.83976699999999</v>
      </c>
      <c r="AQ114">
        <v>168.87333699999999</v>
      </c>
      <c r="AR114">
        <v>171.346878</v>
      </c>
      <c r="AS114">
        <v>175.11293000000001</v>
      </c>
      <c r="AV114">
        <v>179.383926</v>
      </c>
      <c r="AW114">
        <v>183.185181</v>
      </c>
      <c r="AX114">
        <v>185.57615699999999</v>
      </c>
      <c r="AY114">
        <v>187.79199199999999</v>
      </c>
      <c r="AZ114">
        <v>192.890106</v>
      </c>
      <c r="BA114">
        <v>195.47688299999999</v>
      </c>
      <c r="BB114">
        <v>198.24569700000001</v>
      </c>
      <c r="BC114">
        <v>202.66790800000001</v>
      </c>
      <c r="BD114">
        <v>205.57983400000001</v>
      </c>
      <c r="BE114">
        <v>209.104141</v>
      </c>
      <c r="BF114">
        <v>212.12977599999999</v>
      </c>
      <c r="BG114">
        <v>214.949051</v>
      </c>
      <c r="BH114">
        <v>216.23344399999999</v>
      </c>
      <c r="BI114">
        <v>2.5000000000000001E-2</v>
      </c>
    </row>
    <row r="115" spans="4:61" x14ac:dyDescent="0.5">
      <c r="D115" s="126"/>
      <c r="T115" t="s">
        <v>295</v>
      </c>
      <c r="U115" t="s">
        <v>296</v>
      </c>
      <c r="V115" t="s">
        <v>155</v>
      </c>
      <c r="X115">
        <v>12.836679</v>
      </c>
      <c r="Y115">
        <v>12.608878000000001</v>
      </c>
      <c r="Z115">
        <v>12.791959</v>
      </c>
      <c r="AA115">
        <v>12.979096</v>
      </c>
      <c r="AB115">
        <v>13.176741</v>
      </c>
      <c r="AC115">
        <v>13.685320000000001</v>
      </c>
      <c r="AD115">
        <v>15.532925000000001</v>
      </c>
      <c r="AE115">
        <v>16.307623</v>
      </c>
      <c r="AF115">
        <v>16.67972</v>
      </c>
      <c r="AG115">
        <v>17.077476999999998</v>
      </c>
      <c r="AH115">
        <v>17.581617000000001</v>
      </c>
      <c r="AI115">
        <v>18.035273</v>
      </c>
      <c r="AK115">
        <v>18.615666999999998</v>
      </c>
      <c r="AM115">
        <v>19.169991</v>
      </c>
      <c r="AO115">
        <v>19.744781</v>
      </c>
      <c r="AQ115">
        <v>20.388399</v>
      </c>
      <c r="AR115">
        <v>20.962485999999998</v>
      </c>
      <c r="AS115">
        <v>21.539003000000001</v>
      </c>
      <c r="AV115">
        <v>22.039512999999999</v>
      </c>
      <c r="AW115">
        <v>22.541397</v>
      </c>
      <c r="AX115">
        <v>23.087167999999998</v>
      </c>
      <c r="AY115">
        <v>23.447482999999998</v>
      </c>
      <c r="AZ115">
        <v>23.863564</v>
      </c>
      <c r="BA115">
        <v>24.264599</v>
      </c>
      <c r="BB115">
        <v>24.673769</v>
      </c>
      <c r="BC115">
        <v>25.136122</v>
      </c>
      <c r="BD115">
        <v>25.594180999999999</v>
      </c>
      <c r="BE115">
        <v>26.063478</v>
      </c>
      <c r="BF115">
        <v>26.614740000000001</v>
      </c>
      <c r="BG115">
        <v>27.073929</v>
      </c>
      <c r="BH115">
        <v>27.612328000000002</v>
      </c>
      <c r="BI115">
        <v>2.5999999999999999E-2</v>
      </c>
    </row>
    <row r="116" spans="4:61" x14ac:dyDescent="0.5">
      <c r="D116" s="126"/>
      <c r="T116" t="s">
        <v>297</v>
      </c>
      <c r="U116" t="s">
        <v>298</v>
      </c>
      <c r="V116" t="s">
        <v>117</v>
      </c>
      <c r="X116">
        <v>803.44445800000005</v>
      </c>
      <c r="Y116">
        <v>844.12493900000004</v>
      </c>
      <c r="Z116">
        <v>869.42199700000003</v>
      </c>
      <c r="AA116">
        <v>885.92602499999998</v>
      </c>
      <c r="AB116">
        <v>879.44427499999995</v>
      </c>
      <c r="AC116">
        <v>888.12408400000004</v>
      </c>
      <c r="AD116">
        <v>892.30816700000003</v>
      </c>
      <c r="AE116">
        <v>872.30194100000006</v>
      </c>
      <c r="AF116">
        <v>868.74926800000003</v>
      </c>
      <c r="AG116">
        <v>859.04064900000003</v>
      </c>
      <c r="AH116">
        <v>846.59045400000002</v>
      </c>
      <c r="AI116">
        <v>848.47595200000001</v>
      </c>
      <c r="AK116">
        <v>839.05505400000004</v>
      </c>
      <c r="AM116">
        <v>836.44543499999997</v>
      </c>
      <c r="AO116">
        <v>839.91699200000005</v>
      </c>
      <c r="AQ116">
        <v>828.28149399999995</v>
      </c>
      <c r="AR116">
        <v>817.39764400000001</v>
      </c>
      <c r="AS116">
        <v>813.00390600000003</v>
      </c>
      <c r="AV116">
        <v>813.91967799999998</v>
      </c>
      <c r="AW116">
        <v>812.66119400000002</v>
      </c>
      <c r="AX116">
        <v>803.80651899999998</v>
      </c>
      <c r="AY116">
        <v>800.90472399999999</v>
      </c>
      <c r="AZ116">
        <v>808.30383300000005</v>
      </c>
      <c r="BA116">
        <v>805.60528599999998</v>
      </c>
      <c r="BB116">
        <v>803.46740699999998</v>
      </c>
      <c r="BC116">
        <v>806.28149399999995</v>
      </c>
      <c r="BD116">
        <v>803.22882100000004</v>
      </c>
      <c r="BE116">
        <v>802.28790300000003</v>
      </c>
      <c r="BF116">
        <v>797.038635</v>
      </c>
      <c r="BG116">
        <v>793.933716</v>
      </c>
      <c r="BH116">
        <v>783.10467500000004</v>
      </c>
      <c r="BI116">
        <v>-1E-3</v>
      </c>
    </row>
    <row r="117" spans="4:61" x14ac:dyDescent="0.5">
      <c r="D117" s="126"/>
      <c r="T117" t="s">
        <v>299</v>
      </c>
      <c r="U117" t="s">
        <v>300</v>
      </c>
      <c r="V117" t="s">
        <v>155</v>
      </c>
      <c r="X117">
        <v>10.554907999999999</v>
      </c>
      <c r="Y117">
        <v>10.453032</v>
      </c>
      <c r="Z117">
        <v>10.628724</v>
      </c>
      <c r="AA117">
        <v>10.85943</v>
      </c>
      <c r="AB117">
        <v>11.168276000000001</v>
      </c>
      <c r="AC117">
        <v>11.635698</v>
      </c>
      <c r="AD117">
        <v>12.86917</v>
      </c>
      <c r="AE117">
        <v>13.603024</v>
      </c>
      <c r="AF117">
        <v>14.204663</v>
      </c>
      <c r="AG117">
        <v>14.752833000000001</v>
      </c>
      <c r="AH117">
        <v>15.385232999999999</v>
      </c>
      <c r="AI117">
        <v>16.009651000000002</v>
      </c>
      <c r="AK117">
        <v>16.739998</v>
      </c>
      <c r="AM117">
        <v>17.489408000000001</v>
      </c>
      <c r="AO117">
        <v>18.259409000000002</v>
      </c>
      <c r="AQ117">
        <v>19.107199000000001</v>
      </c>
      <c r="AR117">
        <v>19.913436999999998</v>
      </c>
      <c r="AS117">
        <v>20.707782999999999</v>
      </c>
      <c r="AV117">
        <v>21.43573</v>
      </c>
      <c r="AW117">
        <v>22.149704</v>
      </c>
      <c r="AX117">
        <v>22.904727999999999</v>
      </c>
      <c r="AY117">
        <v>23.461493000000001</v>
      </c>
      <c r="AZ117">
        <v>24.048206</v>
      </c>
      <c r="BA117">
        <v>24.639637</v>
      </c>
      <c r="BB117">
        <v>25.234179000000001</v>
      </c>
      <c r="BC117">
        <v>25.886313999999999</v>
      </c>
      <c r="BD117">
        <v>26.546244000000002</v>
      </c>
      <c r="BE117">
        <v>27.215858000000001</v>
      </c>
      <c r="BF117">
        <v>27.969563000000001</v>
      </c>
      <c r="BG117">
        <v>28.646616000000002</v>
      </c>
      <c r="BH117">
        <v>29.379845</v>
      </c>
      <c r="BI117">
        <v>3.5000000000000003E-2</v>
      </c>
    </row>
    <row r="118" spans="4:61" x14ac:dyDescent="0.5">
      <c r="D118" s="126"/>
      <c r="T118" t="s">
        <v>301</v>
      </c>
      <c r="U118" t="s">
        <v>302</v>
      </c>
      <c r="V118" t="s">
        <v>117</v>
      </c>
      <c r="X118">
        <v>9.2147220000000001</v>
      </c>
      <c r="Y118">
        <v>10.021986</v>
      </c>
      <c r="Z118">
        <v>10.850701000000001</v>
      </c>
      <c r="AA118">
        <v>11.488358</v>
      </c>
      <c r="AB118">
        <v>11.958467000000001</v>
      </c>
      <c r="AC118">
        <v>12.642894999999999</v>
      </c>
      <c r="AD118">
        <v>13.306816</v>
      </c>
      <c r="AE118">
        <v>13.730727999999999</v>
      </c>
      <c r="AF118">
        <v>14.489704</v>
      </c>
      <c r="AG118">
        <v>15.188349000000001</v>
      </c>
      <c r="AH118">
        <v>15.872040999999999</v>
      </c>
      <c r="AI118">
        <v>16.70562</v>
      </c>
      <c r="AK118">
        <v>17.32255</v>
      </c>
      <c r="AM118">
        <v>18.014963000000002</v>
      </c>
      <c r="AO118">
        <v>18.781365999999998</v>
      </c>
      <c r="AQ118">
        <v>19.215139000000001</v>
      </c>
      <c r="AR118">
        <v>19.5459</v>
      </c>
      <c r="AS118">
        <v>19.955507000000001</v>
      </c>
      <c r="AV118">
        <v>20.397551</v>
      </c>
      <c r="AW118">
        <v>20.734715999999999</v>
      </c>
      <c r="AX118">
        <v>20.891086999999999</v>
      </c>
      <c r="AY118">
        <v>21.127613</v>
      </c>
      <c r="AZ118">
        <v>21.656072999999999</v>
      </c>
      <c r="BA118">
        <v>21.878454000000001</v>
      </c>
      <c r="BB118">
        <v>22.097593</v>
      </c>
      <c r="BC118">
        <v>22.476832999999999</v>
      </c>
      <c r="BD118">
        <v>22.677852999999999</v>
      </c>
      <c r="BE118">
        <v>22.935199999999998</v>
      </c>
      <c r="BF118">
        <v>23.106038999999999</v>
      </c>
      <c r="BG118">
        <v>23.254397999999998</v>
      </c>
      <c r="BH118">
        <v>23.203377</v>
      </c>
      <c r="BI118">
        <v>3.1E-2</v>
      </c>
    </row>
    <row r="119" spans="4:61" x14ac:dyDescent="0.5">
      <c r="T119" t="s">
        <v>303</v>
      </c>
      <c r="U119" t="s">
        <v>304</v>
      </c>
      <c r="V119" t="s">
        <v>117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</v>
      </c>
      <c r="AM119">
        <v>0</v>
      </c>
      <c r="AO119">
        <v>0</v>
      </c>
      <c r="AQ119">
        <v>0</v>
      </c>
      <c r="AR119">
        <v>0</v>
      </c>
      <c r="AS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137</v>
      </c>
    </row>
    <row r="120" spans="4:61" x14ac:dyDescent="0.5">
      <c r="T120" t="s">
        <v>305</v>
      </c>
      <c r="U120" t="s">
        <v>306</v>
      </c>
      <c r="V120" t="s">
        <v>117</v>
      </c>
      <c r="X120">
        <v>1264.2841800000001</v>
      </c>
      <c r="Y120">
        <v>1355.5382079999999</v>
      </c>
      <c r="Z120">
        <v>1440.225342</v>
      </c>
      <c r="AA120">
        <v>1484.071289</v>
      </c>
      <c r="AB120">
        <v>1481.5032960000001</v>
      </c>
      <c r="AC120">
        <v>1500.127686</v>
      </c>
      <c r="AD120">
        <v>1490.122314</v>
      </c>
      <c r="AE120">
        <v>1456.151611</v>
      </c>
      <c r="AF120">
        <v>1452.9613039999999</v>
      </c>
      <c r="AG120">
        <v>1439.30603</v>
      </c>
      <c r="AH120">
        <v>1420.182495</v>
      </c>
      <c r="AI120">
        <v>1414.5074460000001</v>
      </c>
      <c r="AK120">
        <v>1390.0805660000001</v>
      </c>
      <c r="AM120">
        <v>1374.9770510000001</v>
      </c>
      <c r="AO120">
        <v>1368.4804690000001</v>
      </c>
      <c r="AQ120">
        <v>1340.6015620000001</v>
      </c>
      <c r="AR120">
        <v>1311.3050539999999</v>
      </c>
      <c r="AS120">
        <v>1291.825562</v>
      </c>
      <c r="AV120">
        <v>1278.7242429999999</v>
      </c>
      <c r="AW120">
        <v>1261.8508300000001</v>
      </c>
      <c r="AX120">
        <v>1235.9746090000001</v>
      </c>
      <c r="AY120">
        <v>1220.0870359999999</v>
      </c>
      <c r="AZ120">
        <v>1222.0444339999999</v>
      </c>
      <c r="BA120">
        <v>1207.3266599999999</v>
      </c>
      <c r="BB120">
        <v>1193.2044679999999</v>
      </c>
      <c r="BC120">
        <v>1187.3476559999999</v>
      </c>
      <c r="BD120">
        <v>1172.2581789999999</v>
      </c>
      <c r="BE120">
        <v>1160.1441649999999</v>
      </c>
      <c r="BF120">
        <v>1142.9746090000001</v>
      </c>
      <c r="BG120">
        <v>1126.2829589999999</v>
      </c>
      <c r="BH120">
        <v>1100.015625</v>
      </c>
      <c r="BI120">
        <v>-5.0000000000000001E-3</v>
      </c>
    </row>
    <row r="121" spans="4:61" x14ac:dyDescent="0.5">
      <c r="T121" t="s">
        <v>307</v>
      </c>
      <c r="U121" t="s">
        <v>308</v>
      </c>
      <c r="V121" t="s">
        <v>117</v>
      </c>
      <c r="X121">
        <v>5.9052410000000002</v>
      </c>
      <c r="Y121">
        <v>8.6693350000000002</v>
      </c>
      <c r="Z121">
        <v>10.692731999999999</v>
      </c>
      <c r="AA121">
        <v>10.400084</v>
      </c>
      <c r="AB121">
        <v>10.126849</v>
      </c>
      <c r="AC121">
        <v>10.162330000000001</v>
      </c>
      <c r="AD121">
        <v>9.8300669999999997</v>
      </c>
      <c r="AE121">
        <v>9.4530469999999998</v>
      </c>
      <c r="AF121">
        <v>9.5908149999999992</v>
      </c>
      <c r="AG121">
        <v>9.5957329999999992</v>
      </c>
      <c r="AH121">
        <v>9.7989200000000007</v>
      </c>
      <c r="AI121">
        <v>9.6511759999999995</v>
      </c>
      <c r="AK121">
        <v>9.4359090000000005</v>
      </c>
      <c r="AM121">
        <v>9.1515749999999993</v>
      </c>
      <c r="AO121">
        <v>9.1132559999999998</v>
      </c>
      <c r="AQ121">
        <v>9.2477909999999994</v>
      </c>
      <c r="AR121">
        <v>8.8956029999999995</v>
      </c>
      <c r="AS121">
        <v>8.8034929999999996</v>
      </c>
      <c r="AV121">
        <v>8.5465940000000007</v>
      </c>
      <c r="AW121">
        <v>8.3939160000000008</v>
      </c>
      <c r="AX121">
        <v>8.1729459999999996</v>
      </c>
      <c r="AY121">
        <v>8.1723490000000005</v>
      </c>
      <c r="AZ121">
        <v>8.2424389999999992</v>
      </c>
      <c r="BA121">
        <v>8.1588130000000003</v>
      </c>
      <c r="BB121">
        <v>8.0939180000000004</v>
      </c>
      <c r="BC121">
        <v>8.1080860000000001</v>
      </c>
      <c r="BD121">
        <v>8.0374219999999994</v>
      </c>
      <c r="BE121">
        <v>8.0118930000000006</v>
      </c>
      <c r="BF121">
        <v>7.9299270000000002</v>
      </c>
      <c r="BG121">
        <v>7.7911859999999997</v>
      </c>
      <c r="BH121">
        <v>7.6582429999999997</v>
      </c>
      <c r="BI121">
        <v>8.9999999999999993E-3</v>
      </c>
    </row>
    <row r="122" spans="4:61" x14ac:dyDescent="0.5">
      <c r="T122" t="s">
        <v>309</v>
      </c>
      <c r="U122" t="s">
        <v>310</v>
      </c>
      <c r="V122" t="s">
        <v>117</v>
      </c>
      <c r="X122">
        <v>80.926024999999996</v>
      </c>
      <c r="Y122">
        <v>79.261093000000002</v>
      </c>
      <c r="Z122">
        <v>82.491470000000007</v>
      </c>
      <c r="AA122">
        <v>84.445342999999994</v>
      </c>
      <c r="AB122">
        <v>84.083633000000006</v>
      </c>
      <c r="AC122">
        <v>84.867157000000006</v>
      </c>
      <c r="AD122">
        <v>84.247840999999994</v>
      </c>
      <c r="AE122">
        <v>82.190421999999998</v>
      </c>
      <c r="AF122">
        <v>81.961776999999998</v>
      </c>
      <c r="AG122">
        <v>81.136032</v>
      </c>
      <c r="AH122">
        <v>79.967072000000002</v>
      </c>
      <c r="AI122">
        <v>79.975746000000001</v>
      </c>
      <c r="AK122">
        <v>78.908271999999997</v>
      </c>
      <c r="AM122">
        <v>78.438468999999998</v>
      </c>
      <c r="AO122">
        <v>78.505249000000006</v>
      </c>
      <c r="AQ122">
        <v>77.189094999999995</v>
      </c>
      <c r="AR122">
        <v>75.959045000000003</v>
      </c>
      <c r="AS122">
        <v>75.274512999999999</v>
      </c>
      <c r="AV122">
        <v>75.061722000000003</v>
      </c>
      <c r="AW122">
        <v>74.620688999999999</v>
      </c>
      <c r="AX122">
        <v>73.540512000000007</v>
      </c>
      <c r="AY122">
        <v>73.053405999999995</v>
      </c>
      <c r="AZ122">
        <v>73.534987999999998</v>
      </c>
      <c r="BA122">
        <v>73.076385000000002</v>
      </c>
      <c r="BB122">
        <v>72.660606000000001</v>
      </c>
      <c r="BC122">
        <v>72.702674999999999</v>
      </c>
      <c r="BD122">
        <v>72.203568000000004</v>
      </c>
      <c r="BE122">
        <v>71.890129000000002</v>
      </c>
      <c r="BF122">
        <v>71.206115999999994</v>
      </c>
      <c r="BG122">
        <v>70.667907999999997</v>
      </c>
      <c r="BH122">
        <v>69.438637</v>
      </c>
      <c r="BI122">
        <v>-5.0000000000000001E-3</v>
      </c>
    </row>
    <row r="123" spans="4:61" x14ac:dyDescent="0.5">
      <c r="T123" t="s">
        <v>311</v>
      </c>
      <c r="U123" t="s">
        <v>312</v>
      </c>
      <c r="V123" t="s">
        <v>117</v>
      </c>
      <c r="X123">
        <v>20.507591000000001</v>
      </c>
      <c r="Y123">
        <v>21.834347000000001</v>
      </c>
      <c r="Z123">
        <v>25.305575999999999</v>
      </c>
      <c r="AA123">
        <v>27.670636999999999</v>
      </c>
      <c r="AB123">
        <v>30.055033000000002</v>
      </c>
      <c r="AC123">
        <v>32.563515000000002</v>
      </c>
      <c r="AD123">
        <v>35.063858000000003</v>
      </c>
      <c r="AE123">
        <v>37.914433000000002</v>
      </c>
      <c r="AF123">
        <v>42.533386</v>
      </c>
      <c r="AG123">
        <v>47.993049999999997</v>
      </c>
      <c r="AH123">
        <v>54.545551000000003</v>
      </c>
      <c r="AI123">
        <v>62.056316000000002</v>
      </c>
      <c r="AK123">
        <v>69.729996</v>
      </c>
      <c r="AM123">
        <v>78.707245</v>
      </c>
      <c r="AO123">
        <v>88.700271999999998</v>
      </c>
      <c r="AQ123">
        <v>98.499213999999995</v>
      </c>
      <c r="AR123">
        <v>107.885918</v>
      </c>
      <c r="AS123">
        <v>117.639214</v>
      </c>
      <c r="AV123">
        <v>127.21093</v>
      </c>
      <c r="AW123">
        <v>136.08587600000001</v>
      </c>
      <c r="AX123">
        <v>144.379639</v>
      </c>
      <c r="AY123">
        <v>150.41362000000001</v>
      </c>
      <c r="AZ123">
        <v>159.020645</v>
      </c>
      <c r="BA123">
        <v>165.696091</v>
      </c>
      <c r="BB123">
        <v>172.32621800000001</v>
      </c>
      <c r="BC123">
        <v>181.00718699999999</v>
      </c>
      <c r="BD123">
        <v>188.478027</v>
      </c>
      <c r="BE123">
        <v>196.48983799999999</v>
      </c>
      <c r="BF123">
        <v>204.85987900000001</v>
      </c>
      <c r="BG123">
        <v>212.17205799999999</v>
      </c>
      <c r="BH123">
        <v>218.08990499999999</v>
      </c>
      <c r="BI123">
        <v>8.2000000000000003E-2</v>
      </c>
    </row>
    <row r="124" spans="4:61" x14ac:dyDescent="0.5">
      <c r="T124" t="s">
        <v>313</v>
      </c>
      <c r="U124" t="s">
        <v>314</v>
      </c>
      <c r="V124" t="s">
        <v>117</v>
      </c>
      <c r="X124">
        <v>7.2031479999999997</v>
      </c>
      <c r="Y124">
        <v>9.6416830000000004</v>
      </c>
      <c r="Z124">
        <v>10.502281999999999</v>
      </c>
      <c r="AA124">
        <v>11.218997</v>
      </c>
      <c r="AB124">
        <v>11.786519999999999</v>
      </c>
      <c r="AC124">
        <v>15.854683</v>
      </c>
      <c r="AD124">
        <v>27.208318999999999</v>
      </c>
      <c r="AE124">
        <v>31.136037999999999</v>
      </c>
      <c r="AF124">
        <v>33.741157999999999</v>
      </c>
      <c r="AG124">
        <v>34.581901999999999</v>
      </c>
      <c r="AH124">
        <v>35.312527000000003</v>
      </c>
      <c r="AI124">
        <v>35.957343999999999</v>
      </c>
      <c r="AK124">
        <v>36.702109999999998</v>
      </c>
      <c r="AM124">
        <v>37.296795000000003</v>
      </c>
      <c r="AO124">
        <v>38.048068999999998</v>
      </c>
      <c r="AQ124">
        <v>38.365519999999997</v>
      </c>
      <c r="AR124">
        <v>38.184474999999999</v>
      </c>
      <c r="AS124">
        <v>38.292484000000002</v>
      </c>
      <c r="AV124">
        <v>38.244143999999999</v>
      </c>
      <c r="AW124">
        <v>38.067162000000003</v>
      </c>
      <c r="AX124">
        <v>37.747146999999998</v>
      </c>
      <c r="AY124">
        <v>37.205002</v>
      </c>
      <c r="AZ124">
        <v>37.406120000000001</v>
      </c>
      <c r="BA124">
        <v>37.022464999999997</v>
      </c>
      <c r="BB124">
        <v>36.680885000000004</v>
      </c>
      <c r="BC124">
        <v>36.727310000000003</v>
      </c>
      <c r="BD124">
        <v>36.458820000000003</v>
      </c>
      <c r="BE124">
        <v>36.315662000000003</v>
      </c>
      <c r="BF124">
        <v>36.207065999999998</v>
      </c>
      <c r="BG124">
        <v>35.896210000000004</v>
      </c>
      <c r="BH124">
        <v>35.520054000000002</v>
      </c>
      <c r="BI124">
        <v>5.5E-2</v>
      </c>
    </row>
    <row r="125" spans="4:61" x14ac:dyDescent="0.5">
      <c r="T125" t="s">
        <v>315</v>
      </c>
      <c r="U125" t="s">
        <v>316</v>
      </c>
      <c r="V125" t="s">
        <v>117</v>
      </c>
      <c r="X125">
        <v>39.686039000000001</v>
      </c>
      <c r="Y125">
        <v>46.842799999999997</v>
      </c>
      <c r="Z125">
        <v>52.468440999999999</v>
      </c>
      <c r="AA125">
        <v>56.869923</v>
      </c>
      <c r="AB125">
        <v>59.734848</v>
      </c>
      <c r="AC125">
        <v>63.666663999999997</v>
      </c>
      <c r="AD125">
        <v>73.072372000000001</v>
      </c>
      <c r="AE125">
        <v>77.578339</v>
      </c>
      <c r="AF125">
        <v>81.942824999999999</v>
      </c>
      <c r="AG125">
        <v>85.050910999999999</v>
      </c>
      <c r="AH125">
        <v>88.186126999999999</v>
      </c>
      <c r="AI125">
        <v>91.44838</v>
      </c>
      <c r="AK125">
        <v>94.011757000000003</v>
      </c>
      <c r="AM125">
        <v>96.896889000000002</v>
      </c>
      <c r="AO125">
        <v>100.396767</v>
      </c>
      <c r="AQ125">
        <v>102.69982899999999</v>
      </c>
      <c r="AR125">
        <v>104.15310700000001</v>
      </c>
      <c r="AS125">
        <v>106.368568</v>
      </c>
      <c r="AV125">
        <v>108.595726</v>
      </c>
      <c r="AW125">
        <v>110.51236</v>
      </c>
      <c r="AX125">
        <v>111.847534</v>
      </c>
      <c r="AY125">
        <v>113.705009</v>
      </c>
      <c r="AZ125">
        <v>117.412491</v>
      </c>
      <c r="BA125">
        <v>119.43993399999999</v>
      </c>
      <c r="BB125">
        <v>121.589821</v>
      </c>
      <c r="BC125">
        <v>124.883858</v>
      </c>
      <c r="BD125">
        <v>127.175629</v>
      </c>
      <c r="BE125">
        <v>129.84054599999999</v>
      </c>
      <c r="BF125">
        <v>132.33775299999999</v>
      </c>
      <c r="BG125">
        <v>134.26593</v>
      </c>
      <c r="BH125">
        <v>135.47375500000001</v>
      </c>
      <c r="BI125">
        <v>4.2000000000000003E-2</v>
      </c>
    </row>
    <row r="126" spans="4:61" x14ac:dyDescent="0.5">
      <c r="T126" t="s">
        <v>317</v>
      </c>
      <c r="U126" t="s">
        <v>318</v>
      </c>
      <c r="V126" t="s">
        <v>117</v>
      </c>
      <c r="X126">
        <v>1.54203</v>
      </c>
      <c r="Y126">
        <v>1.6425749999999999</v>
      </c>
      <c r="Z126">
        <v>1.7562739999999999</v>
      </c>
      <c r="AA126">
        <v>1.8208500000000001</v>
      </c>
      <c r="AB126">
        <v>1.8315950000000001</v>
      </c>
      <c r="AC126">
        <v>1.870244</v>
      </c>
      <c r="AD126">
        <v>1.8901859999999999</v>
      </c>
      <c r="AE126">
        <v>1.869181</v>
      </c>
      <c r="AF126">
        <v>1.8886970000000001</v>
      </c>
      <c r="AG126">
        <v>1.8944190000000001</v>
      </c>
      <c r="AH126">
        <v>1.8963019999999999</v>
      </c>
      <c r="AI126">
        <v>1.912541</v>
      </c>
      <c r="AK126">
        <v>1.9077660000000001</v>
      </c>
      <c r="AM126">
        <v>1.915915</v>
      </c>
      <c r="AO126">
        <v>1.937622</v>
      </c>
      <c r="AQ126">
        <v>1.936488</v>
      </c>
      <c r="AR126">
        <v>1.9283870000000001</v>
      </c>
      <c r="AS126">
        <v>1.933079</v>
      </c>
      <c r="AV126">
        <v>1.9432450000000001</v>
      </c>
      <c r="AW126">
        <v>1.9477629999999999</v>
      </c>
      <c r="AX126">
        <v>1.941692</v>
      </c>
      <c r="AY126">
        <v>1.944571</v>
      </c>
      <c r="AZ126">
        <v>1.979331</v>
      </c>
      <c r="BA126">
        <v>1.987919</v>
      </c>
      <c r="BB126">
        <v>1.998874</v>
      </c>
      <c r="BC126">
        <v>2.0271530000000002</v>
      </c>
      <c r="BD126">
        <v>2.0409130000000002</v>
      </c>
      <c r="BE126">
        <v>2.0601509999999998</v>
      </c>
      <c r="BF126">
        <v>2.0762290000000001</v>
      </c>
      <c r="BG126">
        <v>2.0852539999999999</v>
      </c>
      <c r="BH126">
        <v>2.0823260000000001</v>
      </c>
      <c r="BI126">
        <v>0.01</v>
      </c>
    </row>
    <row r="127" spans="4:61" x14ac:dyDescent="0.5">
      <c r="T127" t="s">
        <v>319</v>
      </c>
      <c r="U127" t="s">
        <v>320</v>
      </c>
      <c r="V127" t="s">
        <v>117</v>
      </c>
      <c r="X127">
        <v>2.3029999999999998E-2</v>
      </c>
      <c r="Y127">
        <v>2.4670999999999998E-2</v>
      </c>
      <c r="Z127">
        <v>3.0374000000000002E-2</v>
      </c>
      <c r="AA127">
        <v>3.6212000000000001E-2</v>
      </c>
      <c r="AB127">
        <v>4.2032E-2</v>
      </c>
      <c r="AC127">
        <v>5.0777999999999997E-2</v>
      </c>
      <c r="AD127">
        <v>5.9452999999999999E-2</v>
      </c>
      <c r="AE127">
        <v>6.8002000000000007E-2</v>
      </c>
      <c r="AF127">
        <v>7.8892000000000004E-2</v>
      </c>
      <c r="AG127">
        <v>8.9876999999999999E-2</v>
      </c>
      <c r="AH127">
        <v>0.101358</v>
      </c>
      <c r="AI127">
        <v>0.112752</v>
      </c>
      <c r="AK127">
        <v>0.1225</v>
      </c>
      <c r="AM127">
        <v>0.132331</v>
      </c>
      <c r="AO127">
        <v>0.14221400000000001</v>
      </c>
      <c r="AQ127">
        <v>0.14957999999999999</v>
      </c>
      <c r="AR127">
        <v>0.15550700000000001</v>
      </c>
      <c r="AS127">
        <v>0.16158</v>
      </c>
      <c r="AV127">
        <v>0.16733200000000001</v>
      </c>
      <c r="AW127">
        <v>0.17188100000000001</v>
      </c>
      <c r="AX127">
        <v>0.17516999999999999</v>
      </c>
      <c r="AY127">
        <v>0.17896400000000001</v>
      </c>
      <c r="AZ127">
        <v>0.18548200000000001</v>
      </c>
      <c r="BA127">
        <v>0.18937599999999999</v>
      </c>
      <c r="BB127">
        <v>0.19320300000000001</v>
      </c>
      <c r="BC127">
        <v>0.19874</v>
      </c>
      <c r="BD127">
        <v>0.20275899999999999</v>
      </c>
      <c r="BE127">
        <v>0.20732700000000001</v>
      </c>
      <c r="BF127">
        <v>0.21155199999999999</v>
      </c>
      <c r="BG127">
        <v>0.215165</v>
      </c>
      <c r="BH127">
        <v>0.216923</v>
      </c>
      <c r="BI127">
        <v>7.8E-2</v>
      </c>
    </row>
    <row r="128" spans="4:61" x14ac:dyDescent="0.5">
      <c r="T128" t="s">
        <v>321</v>
      </c>
      <c r="U128" t="s">
        <v>322</v>
      </c>
      <c r="V128" t="s">
        <v>117</v>
      </c>
      <c r="X128">
        <v>1420.0771480000001</v>
      </c>
      <c r="Y128">
        <v>1523.4548339999999</v>
      </c>
      <c r="Z128">
        <v>1623.472534</v>
      </c>
      <c r="AA128">
        <v>1676.533203</v>
      </c>
      <c r="AB128">
        <v>1679.163818</v>
      </c>
      <c r="AC128">
        <v>1709.163086</v>
      </c>
      <c r="AD128">
        <v>1721.494385</v>
      </c>
      <c r="AE128">
        <v>1696.3610839999999</v>
      </c>
      <c r="AF128">
        <v>1704.6988530000001</v>
      </c>
      <c r="AG128">
        <v>1699.6477050000001</v>
      </c>
      <c r="AH128">
        <v>1689.9902340000001</v>
      </c>
      <c r="AI128">
        <v>1695.621582</v>
      </c>
      <c r="AK128">
        <v>1680.8989260000001</v>
      </c>
      <c r="AM128">
        <v>1677.516357</v>
      </c>
      <c r="AO128">
        <v>1685.3238530000001</v>
      </c>
      <c r="AQ128">
        <v>1668.689087</v>
      </c>
      <c r="AR128">
        <v>1648.467163</v>
      </c>
      <c r="AS128">
        <v>1640.2983400000001</v>
      </c>
      <c r="AV128">
        <v>1638.4938959999999</v>
      </c>
      <c r="AW128">
        <v>1631.650635</v>
      </c>
      <c r="AX128">
        <v>1613.7791749999999</v>
      </c>
      <c r="AY128">
        <v>1604.76001</v>
      </c>
      <c r="AZ128">
        <v>1619.825928</v>
      </c>
      <c r="BA128">
        <v>1612.8977050000001</v>
      </c>
      <c r="BB128">
        <v>1606.748047</v>
      </c>
      <c r="BC128">
        <v>1613.002686</v>
      </c>
      <c r="BD128">
        <v>1606.855225</v>
      </c>
      <c r="BE128">
        <v>1604.959717</v>
      </c>
      <c r="BF128">
        <v>1597.8032229999999</v>
      </c>
      <c r="BG128">
        <v>1589.376587</v>
      </c>
      <c r="BH128">
        <v>1568.4956050000001</v>
      </c>
      <c r="BI128">
        <v>3.0000000000000001E-3</v>
      </c>
    </row>
    <row r="129" spans="20:61" x14ac:dyDescent="0.5">
      <c r="T129" t="s">
        <v>323</v>
      </c>
      <c r="U129" t="s">
        <v>324</v>
      </c>
      <c r="V129" t="s">
        <v>117</v>
      </c>
      <c r="X129">
        <v>491.06106599999998</v>
      </c>
      <c r="Y129">
        <v>577.22351100000003</v>
      </c>
      <c r="Z129">
        <v>669.71606399999996</v>
      </c>
      <c r="AA129">
        <v>749.17474400000003</v>
      </c>
      <c r="AB129">
        <v>816.16021699999999</v>
      </c>
      <c r="AC129">
        <v>849.413635</v>
      </c>
      <c r="AD129">
        <v>858.89202899999998</v>
      </c>
      <c r="AE129">
        <v>839.79943800000001</v>
      </c>
      <c r="AF129">
        <v>845.34704599999998</v>
      </c>
      <c r="AG129">
        <v>841.89758300000005</v>
      </c>
      <c r="AH129">
        <v>840.31567399999994</v>
      </c>
      <c r="AI129">
        <v>847.321777</v>
      </c>
      <c r="AK129">
        <v>846.13836700000002</v>
      </c>
      <c r="AM129">
        <v>852.151611</v>
      </c>
      <c r="AO129">
        <v>861.41961700000002</v>
      </c>
      <c r="AQ129">
        <v>858.42895499999997</v>
      </c>
      <c r="AR129">
        <v>851.92260699999997</v>
      </c>
      <c r="AS129">
        <v>849.28241000000003</v>
      </c>
      <c r="AV129">
        <v>847.30883800000004</v>
      </c>
      <c r="AW129">
        <v>846.64514199999996</v>
      </c>
      <c r="AX129">
        <v>835.33288600000003</v>
      </c>
      <c r="AY129">
        <v>828.05334500000004</v>
      </c>
      <c r="AZ129">
        <v>831.90924099999995</v>
      </c>
      <c r="BA129">
        <v>822.79559300000005</v>
      </c>
      <c r="BB129">
        <v>814.00170900000001</v>
      </c>
      <c r="BC129">
        <v>811.25341800000001</v>
      </c>
      <c r="BD129">
        <v>803.26867700000003</v>
      </c>
      <c r="BE129">
        <v>797.51861599999995</v>
      </c>
      <c r="BF129">
        <v>787.64660600000002</v>
      </c>
      <c r="BG129">
        <v>779.11151099999995</v>
      </c>
      <c r="BH129">
        <v>763.01946999999996</v>
      </c>
      <c r="BI129">
        <v>1.4999999999999999E-2</v>
      </c>
    </row>
    <row r="130" spans="20:61" x14ac:dyDescent="0.5">
      <c r="T130" t="s">
        <v>325</v>
      </c>
      <c r="U130" t="s">
        <v>326</v>
      </c>
      <c r="V130" t="s">
        <v>117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R130">
        <v>0</v>
      </c>
      <c r="AS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137</v>
      </c>
    </row>
    <row r="131" spans="20:61" x14ac:dyDescent="0.5">
      <c r="T131" t="s">
        <v>327</v>
      </c>
      <c r="U131" t="s">
        <v>328</v>
      </c>
      <c r="V131" t="s">
        <v>117</v>
      </c>
      <c r="X131">
        <v>646.85412599999995</v>
      </c>
      <c r="Y131">
        <v>745.14001499999995</v>
      </c>
      <c r="Z131">
        <v>852.96313499999997</v>
      </c>
      <c r="AA131">
        <v>941.63671899999997</v>
      </c>
      <c r="AB131">
        <v>1013.820679</v>
      </c>
      <c r="AC131">
        <v>1058.448975</v>
      </c>
      <c r="AD131">
        <v>1090.2641599999999</v>
      </c>
      <c r="AE131">
        <v>1080.009033</v>
      </c>
      <c r="AF131">
        <v>1097.084595</v>
      </c>
      <c r="AG131">
        <v>1102.23938</v>
      </c>
      <c r="AH131">
        <v>1110.1236570000001</v>
      </c>
      <c r="AI131">
        <v>1128.435913</v>
      </c>
      <c r="AK131">
        <v>1136.9567870000001</v>
      </c>
      <c r="AM131">
        <v>1154.690918</v>
      </c>
      <c r="AO131">
        <v>1178.2631839999999</v>
      </c>
      <c r="AQ131">
        <v>1186.516357</v>
      </c>
      <c r="AR131">
        <v>1189.084595</v>
      </c>
      <c r="AS131">
        <v>1197.755249</v>
      </c>
      <c r="AV131">
        <v>1207.078491</v>
      </c>
      <c r="AW131">
        <v>1216.4445800000001</v>
      </c>
      <c r="AX131">
        <v>1213.1376949999999</v>
      </c>
      <c r="AY131">
        <v>1212.7261960000001</v>
      </c>
      <c r="AZ131">
        <v>1229.6906739999999</v>
      </c>
      <c r="BA131">
        <v>1228.3664550000001</v>
      </c>
      <c r="BB131">
        <v>1227.545288</v>
      </c>
      <c r="BC131">
        <v>1236.908447</v>
      </c>
      <c r="BD131">
        <v>1237.865845</v>
      </c>
      <c r="BE131">
        <v>1242.334106</v>
      </c>
      <c r="BF131">
        <v>1242.4750979999999</v>
      </c>
      <c r="BG131">
        <v>1242.205322</v>
      </c>
      <c r="BH131">
        <v>1231.499268</v>
      </c>
      <c r="BI131">
        <v>2.1999999999999999E-2</v>
      </c>
    </row>
    <row r="137" spans="20:61" x14ac:dyDescent="0.5">
      <c r="T137" s="25" t="s">
        <v>329</v>
      </c>
    </row>
    <row r="138" spans="20:61" x14ac:dyDescent="0.5">
      <c r="T138" t="s">
        <v>110</v>
      </c>
      <c r="U138" t="s">
        <v>218</v>
      </c>
      <c r="V138" t="s">
        <v>111</v>
      </c>
      <c r="W138">
        <v>2019</v>
      </c>
      <c r="X138">
        <v>2020</v>
      </c>
      <c r="Y138">
        <v>2021</v>
      </c>
      <c r="Z138">
        <v>2022</v>
      </c>
      <c r="AA138">
        <v>2023</v>
      </c>
      <c r="AB138">
        <v>2024</v>
      </c>
      <c r="AC138">
        <v>2025</v>
      </c>
      <c r="AD138">
        <v>2026</v>
      </c>
      <c r="AE138">
        <v>2027</v>
      </c>
      <c r="AF138">
        <v>2028</v>
      </c>
      <c r="AG138">
        <v>2029</v>
      </c>
      <c r="AH138">
        <v>2030</v>
      </c>
      <c r="AI138">
        <v>2031</v>
      </c>
      <c r="AK138">
        <v>2032</v>
      </c>
      <c r="AM138">
        <v>2033</v>
      </c>
      <c r="AO138">
        <v>2034</v>
      </c>
      <c r="AQ138">
        <v>2035</v>
      </c>
      <c r="AR138">
        <v>2036</v>
      </c>
      <c r="AS138">
        <v>2037</v>
      </c>
      <c r="AV138">
        <v>2038</v>
      </c>
      <c r="AW138">
        <v>2039</v>
      </c>
      <c r="AX138">
        <v>2040</v>
      </c>
      <c r="AY138">
        <v>2041</v>
      </c>
      <c r="AZ138">
        <v>2042</v>
      </c>
      <c r="BA138">
        <v>2043</v>
      </c>
      <c r="BB138">
        <v>2044</v>
      </c>
      <c r="BC138">
        <v>2045</v>
      </c>
      <c r="BD138">
        <v>2046</v>
      </c>
      <c r="BE138">
        <v>2047</v>
      </c>
      <c r="BF138">
        <v>2048</v>
      </c>
      <c r="BG138">
        <v>2049</v>
      </c>
      <c r="BH138">
        <v>2050</v>
      </c>
      <c r="BI138" t="s">
        <v>112</v>
      </c>
    </row>
    <row r="139" spans="20:61" x14ac:dyDescent="0.5">
      <c r="U139" t="s">
        <v>219</v>
      </c>
    </row>
    <row r="140" spans="20:61" x14ac:dyDescent="0.5">
      <c r="T140" t="s">
        <v>330</v>
      </c>
      <c r="U140" t="s">
        <v>331</v>
      </c>
      <c r="V140" t="s">
        <v>117</v>
      </c>
      <c r="X140">
        <v>531.39471400000002</v>
      </c>
      <c r="Y140">
        <v>567.73193400000002</v>
      </c>
      <c r="Z140">
        <v>580.057007</v>
      </c>
      <c r="AA140">
        <v>541.714966</v>
      </c>
      <c r="AB140">
        <v>529.36425799999995</v>
      </c>
      <c r="AC140">
        <v>535.06463599999995</v>
      </c>
      <c r="AD140">
        <v>524.54742399999998</v>
      </c>
      <c r="AE140">
        <v>509.27252199999998</v>
      </c>
      <c r="AF140">
        <v>504.09136999999998</v>
      </c>
      <c r="AG140">
        <v>503.06796300000002</v>
      </c>
      <c r="AH140">
        <v>502.83264200000002</v>
      </c>
      <c r="AI140">
        <v>504.50320399999998</v>
      </c>
      <c r="AK140">
        <v>504.80651899999998</v>
      </c>
      <c r="AM140">
        <v>506.64138800000001</v>
      </c>
      <c r="AO140">
        <v>508.32928500000003</v>
      </c>
      <c r="AQ140">
        <v>506.26516700000002</v>
      </c>
      <c r="AR140">
        <v>500.54849200000001</v>
      </c>
      <c r="AS140">
        <v>496.72778299999999</v>
      </c>
      <c r="AV140">
        <v>493.50750699999998</v>
      </c>
      <c r="AW140">
        <v>489.19607500000001</v>
      </c>
      <c r="AX140">
        <v>481.91125499999998</v>
      </c>
      <c r="AY140">
        <v>478.17953499999999</v>
      </c>
      <c r="AZ140">
        <v>473.52572600000002</v>
      </c>
      <c r="BA140">
        <v>466.77285799999999</v>
      </c>
      <c r="BB140">
        <v>463.05633499999999</v>
      </c>
      <c r="BC140">
        <v>460.820312</v>
      </c>
      <c r="BD140">
        <v>456.63034099999999</v>
      </c>
      <c r="BE140">
        <v>452.06152300000002</v>
      </c>
      <c r="BF140">
        <v>447.579498</v>
      </c>
      <c r="BG140">
        <v>441.67251599999997</v>
      </c>
      <c r="BH140">
        <v>437.35098299999999</v>
      </c>
      <c r="BI140" s="49">
        <v>-6.0000000000000001E-3</v>
      </c>
    </row>
    <row r="141" spans="20:61" x14ac:dyDescent="0.5">
      <c r="T141" t="s">
        <v>332</v>
      </c>
      <c r="U141" t="s">
        <v>333</v>
      </c>
      <c r="V141" t="s">
        <v>117</v>
      </c>
      <c r="X141">
        <v>9.7800000000000005E-3</v>
      </c>
      <c r="Y141">
        <v>1.1143999999999999E-2</v>
      </c>
      <c r="Z141">
        <v>1.0527999999999999E-2</v>
      </c>
      <c r="AA141">
        <v>9.1020000000000007E-3</v>
      </c>
      <c r="AB141">
        <v>8.6979999999999991E-3</v>
      </c>
      <c r="AC141">
        <v>8.7790000000000003E-3</v>
      </c>
      <c r="AD141">
        <v>8.5489999999999993E-3</v>
      </c>
      <c r="AE141">
        <v>8.1600000000000006E-3</v>
      </c>
      <c r="AF141">
        <v>8.0800000000000004E-3</v>
      </c>
      <c r="AG141">
        <v>8.0079999999999995E-3</v>
      </c>
      <c r="AH141">
        <v>7.9959999999999996E-3</v>
      </c>
      <c r="AI141">
        <v>8.0160000000000006E-3</v>
      </c>
      <c r="AK141">
        <v>7.9920000000000008E-3</v>
      </c>
      <c r="AM141">
        <v>8.1030000000000008E-3</v>
      </c>
      <c r="AO141">
        <v>8.1630000000000001E-3</v>
      </c>
      <c r="AQ141">
        <v>8.1139999999999997E-3</v>
      </c>
      <c r="AR141">
        <v>8.038E-3</v>
      </c>
      <c r="AS141">
        <v>7.9780000000000007E-3</v>
      </c>
      <c r="AV141">
        <v>7.9760000000000005E-3</v>
      </c>
      <c r="AW141">
        <v>7.8820000000000001E-3</v>
      </c>
      <c r="AX141">
        <v>7.7600000000000004E-3</v>
      </c>
      <c r="AY141">
        <v>7.6750000000000004E-3</v>
      </c>
      <c r="AZ141">
        <v>7.6049999999999998E-3</v>
      </c>
      <c r="BA141">
        <v>7.4770000000000001E-3</v>
      </c>
      <c r="BB141">
        <v>7.3800000000000003E-3</v>
      </c>
      <c r="BC141">
        <v>7.3359999999999996E-3</v>
      </c>
      <c r="BD141">
        <v>7.2259999999999998E-3</v>
      </c>
      <c r="BE141">
        <v>7.1980000000000004E-3</v>
      </c>
      <c r="BF141">
        <v>7.0809999999999996E-3</v>
      </c>
      <c r="BG141">
        <v>6.9389999999999999E-3</v>
      </c>
      <c r="BH141">
        <v>6.8310000000000003E-3</v>
      </c>
      <c r="BI141" s="49">
        <v>-1.2E-2</v>
      </c>
    </row>
    <row r="142" spans="20:61" x14ac:dyDescent="0.5">
      <c r="T142" t="s">
        <v>334</v>
      </c>
      <c r="U142" t="s">
        <v>335</v>
      </c>
      <c r="V142" t="s">
        <v>117</v>
      </c>
      <c r="X142">
        <v>531.40448000000004</v>
      </c>
      <c r="Y142">
        <v>567.74310300000002</v>
      </c>
      <c r="Z142">
        <v>580.06750499999998</v>
      </c>
      <c r="AA142">
        <v>541.72406000000001</v>
      </c>
      <c r="AB142">
        <v>529.37298599999997</v>
      </c>
      <c r="AC142">
        <v>535.07342500000004</v>
      </c>
      <c r="AD142">
        <v>524.555969</v>
      </c>
      <c r="AE142">
        <v>509.28066999999999</v>
      </c>
      <c r="AF142">
        <v>504.09945699999997</v>
      </c>
      <c r="AG142">
        <v>503.07595800000001</v>
      </c>
      <c r="AH142">
        <v>502.84063700000002</v>
      </c>
      <c r="AI142">
        <v>504.51123000000001</v>
      </c>
      <c r="AK142">
        <v>504.81451399999997</v>
      </c>
      <c r="AM142">
        <v>506.64950599999997</v>
      </c>
      <c r="AO142">
        <v>508.33743299999998</v>
      </c>
      <c r="AQ142">
        <v>506.27328499999999</v>
      </c>
      <c r="AR142">
        <v>500.55651899999998</v>
      </c>
      <c r="AS142">
        <v>496.735748</v>
      </c>
      <c r="AV142">
        <v>493.51547199999999</v>
      </c>
      <c r="AW142">
        <v>489.20394900000002</v>
      </c>
      <c r="AX142">
        <v>481.91900600000002</v>
      </c>
      <c r="AY142">
        <v>478.18722500000001</v>
      </c>
      <c r="AZ142">
        <v>473.53332499999999</v>
      </c>
      <c r="BA142">
        <v>466.78033399999998</v>
      </c>
      <c r="BB142">
        <v>463.06372099999999</v>
      </c>
      <c r="BC142">
        <v>460.82763699999998</v>
      </c>
      <c r="BD142">
        <v>456.63757299999997</v>
      </c>
      <c r="BE142">
        <v>452.06872600000003</v>
      </c>
      <c r="BF142">
        <v>447.58657799999997</v>
      </c>
      <c r="BG142">
        <v>441.67944299999999</v>
      </c>
      <c r="BH142">
        <v>437.35781900000001</v>
      </c>
      <c r="BI142" s="49">
        <v>-6.0000000000000001E-3</v>
      </c>
    </row>
    <row r="143" spans="20:61" x14ac:dyDescent="0.5">
      <c r="T143" t="s">
        <v>336</v>
      </c>
      <c r="U143" t="s">
        <v>337</v>
      </c>
      <c r="V143" t="s">
        <v>117</v>
      </c>
      <c r="X143">
        <v>9.9065919999999998</v>
      </c>
      <c r="Y143">
        <v>10.547173000000001</v>
      </c>
      <c r="Z143">
        <v>10.919288999999999</v>
      </c>
      <c r="AA143">
        <v>10.282641</v>
      </c>
      <c r="AB143">
        <v>10.132533</v>
      </c>
      <c r="AC143">
        <v>10.331469</v>
      </c>
      <c r="AD143">
        <v>10.216529</v>
      </c>
      <c r="AE143">
        <v>9.973668</v>
      </c>
      <c r="AF143">
        <v>9.9371770000000001</v>
      </c>
      <c r="AG143">
        <v>9.9713340000000006</v>
      </c>
      <c r="AH143">
        <v>10.059129</v>
      </c>
      <c r="AI143">
        <v>10.142609999999999</v>
      </c>
      <c r="AK143">
        <v>10.202076</v>
      </c>
      <c r="AM143">
        <v>10.297495</v>
      </c>
      <c r="AO143">
        <v>10.387287000000001</v>
      </c>
      <c r="AQ143">
        <v>10.397653</v>
      </c>
      <c r="AR143">
        <v>10.335508000000001</v>
      </c>
      <c r="AS143">
        <v>10.306111</v>
      </c>
      <c r="AV143">
        <v>10.296602999999999</v>
      </c>
      <c r="AW143">
        <v>10.255489000000001</v>
      </c>
      <c r="AX143">
        <v>10.160069999999999</v>
      </c>
      <c r="AY143">
        <v>10.128346000000001</v>
      </c>
      <c r="AZ143">
        <v>10.07239</v>
      </c>
      <c r="BA143">
        <v>9.9754450000000006</v>
      </c>
      <c r="BB143">
        <v>9.9411450000000006</v>
      </c>
      <c r="BC143">
        <v>9.9417179999999998</v>
      </c>
      <c r="BD143">
        <v>9.8990159999999996</v>
      </c>
      <c r="BE143">
        <v>9.8489400000000007</v>
      </c>
      <c r="BF143">
        <v>9.8024389999999997</v>
      </c>
      <c r="BG143">
        <v>9.7290369999999999</v>
      </c>
      <c r="BH143">
        <v>9.6799730000000004</v>
      </c>
      <c r="BI143" s="49">
        <v>-1E-3</v>
      </c>
    </row>
    <row r="144" spans="20:61" x14ac:dyDescent="0.5">
      <c r="T144" t="s">
        <v>338</v>
      </c>
      <c r="U144" t="s">
        <v>339</v>
      </c>
      <c r="V144" t="s">
        <v>117</v>
      </c>
      <c r="X144">
        <v>0.239172</v>
      </c>
      <c r="Y144">
        <v>0.23924799999999999</v>
      </c>
      <c r="Z144">
        <v>0.22894500000000001</v>
      </c>
      <c r="AA144">
        <v>0.21192</v>
      </c>
      <c r="AB144">
        <v>0.210953</v>
      </c>
      <c r="AC144">
        <v>0.22320899999999999</v>
      </c>
      <c r="AD144">
        <v>0.23282700000000001</v>
      </c>
      <c r="AE144">
        <v>0.24127100000000001</v>
      </c>
      <c r="AF144">
        <v>0.256359</v>
      </c>
      <c r="AG144">
        <v>0.27460200000000001</v>
      </c>
      <c r="AH144">
        <v>0.29667900000000003</v>
      </c>
      <c r="AI144">
        <v>0.31731900000000002</v>
      </c>
      <c r="AK144">
        <v>0.337254</v>
      </c>
      <c r="AM144">
        <v>0.35669899999999999</v>
      </c>
      <c r="AO144">
        <v>0.374448</v>
      </c>
      <c r="AQ144">
        <v>0.38763599999999998</v>
      </c>
      <c r="AR144">
        <v>0.39618799999999998</v>
      </c>
      <c r="AS144">
        <v>0.404389</v>
      </c>
      <c r="AV144">
        <v>0.41189199999999998</v>
      </c>
      <c r="AW144">
        <v>0.41696499999999997</v>
      </c>
      <c r="AX144">
        <v>0.41875699999999999</v>
      </c>
      <c r="AY144">
        <v>0.42181800000000003</v>
      </c>
      <c r="AZ144">
        <v>0.42349199999999998</v>
      </c>
      <c r="BA144">
        <v>0.422962</v>
      </c>
      <c r="BB144">
        <v>0.42466199999999998</v>
      </c>
      <c r="BC144">
        <v>0.427647</v>
      </c>
      <c r="BD144">
        <v>0.42859700000000001</v>
      </c>
      <c r="BE144">
        <v>0.42911899999999997</v>
      </c>
      <c r="BF144">
        <v>0.42971300000000001</v>
      </c>
      <c r="BG144">
        <v>0.42904599999999998</v>
      </c>
      <c r="BH144">
        <v>0.42934299999999997</v>
      </c>
      <c r="BI144" s="49">
        <v>0.02</v>
      </c>
    </row>
    <row r="145" spans="20:61" x14ac:dyDescent="0.5">
      <c r="T145" t="s">
        <v>340</v>
      </c>
      <c r="U145" t="s">
        <v>341</v>
      </c>
      <c r="V145" t="s">
        <v>117</v>
      </c>
      <c r="X145">
        <v>5.2213770000000004</v>
      </c>
      <c r="Y145">
        <v>5.057766</v>
      </c>
      <c r="Z145">
        <v>4.6047849999999997</v>
      </c>
      <c r="AA145">
        <v>3.9006249999999998</v>
      </c>
      <c r="AB145">
        <v>3.6267849999999999</v>
      </c>
      <c r="AC145">
        <v>3.695557</v>
      </c>
      <c r="AD145">
        <v>3.6565820000000002</v>
      </c>
      <c r="AE145">
        <v>3.7813400000000001</v>
      </c>
      <c r="AF145">
        <v>4.0847680000000004</v>
      </c>
      <c r="AG145">
        <v>4.5134069999999999</v>
      </c>
      <c r="AH145">
        <v>5.0438869999999998</v>
      </c>
      <c r="AI145">
        <v>5.6838480000000002</v>
      </c>
      <c r="AK145">
        <v>6.3893040000000001</v>
      </c>
      <c r="AM145">
        <v>7.1449829999999999</v>
      </c>
      <c r="AO145">
        <v>7.9064819999999996</v>
      </c>
      <c r="AQ145">
        <v>8.6322259999999993</v>
      </c>
      <c r="AR145">
        <v>9.2830750000000002</v>
      </c>
      <c r="AS145">
        <v>9.9625450000000004</v>
      </c>
      <c r="AV145">
        <v>10.631107999999999</v>
      </c>
      <c r="AW145">
        <v>11.279968</v>
      </c>
      <c r="AX145">
        <v>11.825613000000001</v>
      </c>
      <c r="AY145">
        <v>12.359634</v>
      </c>
      <c r="AZ145">
        <v>12.885002999999999</v>
      </c>
      <c r="BA145">
        <v>13.355767</v>
      </c>
      <c r="BB145">
        <v>13.90427</v>
      </c>
      <c r="BC145">
        <v>14.499145</v>
      </c>
      <c r="BD145">
        <v>15.045470999999999</v>
      </c>
      <c r="BE145">
        <v>15.601592</v>
      </c>
      <c r="BF145">
        <v>16.167618000000001</v>
      </c>
      <c r="BG145">
        <v>16.660858000000001</v>
      </c>
      <c r="BH145">
        <v>17.260812999999999</v>
      </c>
      <c r="BI145" s="49">
        <v>4.1000000000000002E-2</v>
      </c>
    </row>
    <row r="146" spans="20:61" x14ac:dyDescent="0.5">
      <c r="T146" t="s">
        <v>342</v>
      </c>
      <c r="U146" t="s">
        <v>343</v>
      </c>
      <c r="V146" t="s">
        <v>117</v>
      </c>
      <c r="X146">
        <v>7.6070169999999999</v>
      </c>
      <c r="Y146">
        <v>7.1058899999999996</v>
      </c>
      <c r="Z146">
        <v>7.4315150000000001</v>
      </c>
      <c r="AA146">
        <v>7.0831270000000002</v>
      </c>
      <c r="AB146">
        <v>7.2924300000000004</v>
      </c>
      <c r="AC146">
        <v>7.5989570000000004</v>
      </c>
      <c r="AD146">
        <v>8.0205599999999997</v>
      </c>
      <c r="AE146">
        <v>8.2865739999999999</v>
      </c>
      <c r="AF146">
        <v>9.0359770000000008</v>
      </c>
      <c r="AG146">
        <v>10.059025</v>
      </c>
      <c r="AH146">
        <v>11.181919000000001</v>
      </c>
      <c r="AI146">
        <v>12.734557000000001</v>
      </c>
      <c r="AK146">
        <v>14.379146</v>
      </c>
      <c r="AM146">
        <v>16.531594999999999</v>
      </c>
      <c r="AO146">
        <v>18.800978000000001</v>
      </c>
      <c r="AQ146">
        <v>20.998148</v>
      </c>
      <c r="AR146">
        <v>23.215475000000001</v>
      </c>
      <c r="AS146">
        <v>25.441293999999999</v>
      </c>
      <c r="AV146">
        <v>27.913094000000001</v>
      </c>
      <c r="AW146">
        <v>30.103783</v>
      </c>
      <c r="AX146">
        <v>32.248569000000003</v>
      </c>
      <c r="AY146">
        <v>33.718635999999996</v>
      </c>
      <c r="AZ146">
        <v>35.014988000000002</v>
      </c>
      <c r="BA146">
        <v>36.350608999999999</v>
      </c>
      <c r="BB146">
        <v>37.855232000000001</v>
      </c>
      <c r="BC146">
        <v>39.554985000000002</v>
      </c>
      <c r="BD146">
        <v>41.089058000000001</v>
      </c>
      <c r="BE146">
        <v>42.731979000000003</v>
      </c>
      <c r="BF146">
        <v>44.447929000000002</v>
      </c>
      <c r="BG146">
        <v>46.158915999999998</v>
      </c>
      <c r="BH146">
        <v>47.797111999999998</v>
      </c>
      <c r="BI146" s="49">
        <v>6.3E-2</v>
      </c>
    </row>
    <row r="147" spans="20:61" x14ac:dyDescent="0.5">
      <c r="T147" t="s">
        <v>344</v>
      </c>
      <c r="U147" t="s">
        <v>345</v>
      </c>
      <c r="V147" t="s">
        <v>117</v>
      </c>
      <c r="X147">
        <v>2.6364130000000001</v>
      </c>
      <c r="Y147">
        <v>3.3486669999999998</v>
      </c>
      <c r="Z147">
        <v>3.5544259999999999</v>
      </c>
      <c r="AA147">
        <v>3.6488640000000001</v>
      </c>
      <c r="AB147">
        <v>3.9252539999999998</v>
      </c>
      <c r="AC147">
        <v>4.5371589999999999</v>
      </c>
      <c r="AD147">
        <v>5.0239310000000001</v>
      </c>
      <c r="AE147">
        <v>5.6554359999999999</v>
      </c>
      <c r="AF147">
        <v>6.4993920000000003</v>
      </c>
      <c r="AG147">
        <v>6.7139629999999997</v>
      </c>
      <c r="AH147">
        <v>6.8352069999999996</v>
      </c>
      <c r="AI147">
        <v>6.9551400000000001</v>
      </c>
      <c r="AK147">
        <v>7.1343500000000004</v>
      </c>
      <c r="AM147">
        <v>7.2526200000000003</v>
      </c>
      <c r="AO147">
        <v>7.3289419999999996</v>
      </c>
      <c r="AQ147">
        <v>7.3394690000000002</v>
      </c>
      <c r="AR147">
        <v>7.2438719999999996</v>
      </c>
      <c r="AS147">
        <v>7.1906730000000003</v>
      </c>
      <c r="AV147">
        <v>7.0807510000000002</v>
      </c>
      <c r="AW147">
        <v>6.9821609999999996</v>
      </c>
      <c r="AX147">
        <v>6.7829379999999997</v>
      </c>
      <c r="AY147">
        <v>6.5845859999999998</v>
      </c>
      <c r="AZ147">
        <v>6.3942129999999997</v>
      </c>
      <c r="BA147">
        <v>6.164568</v>
      </c>
      <c r="BB147">
        <v>5.9789099999999999</v>
      </c>
      <c r="BC147">
        <v>5.8052279999999996</v>
      </c>
      <c r="BD147">
        <v>5.6168149999999999</v>
      </c>
      <c r="BE147">
        <v>5.4318780000000002</v>
      </c>
      <c r="BF147">
        <v>5.2472890000000003</v>
      </c>
      <c r="BG147">
        <v>5.0277130000000003</v>
      </c>
      <c r="BH147">
        <v>4.8701840000000001</v>
      </c>
      <c r="BI147" s="49">
        <v>2.1000000000000001E-2</v>
      </c>
    </row>
    <row r="148" spans="20:61" x14ac:dyDescent="0.5">
      <c r="T148" t="s">
        <v>346</v>
      </c>
      <c r="U148" t="s">
        <v>347</v>
      </c>
      <c r="V148" t="s">
        <v>117</v>
      </c>
      <c r="X148">
        <v>0.69705600000000001</v>
      </c>
      <c r="Y148">
        <v>0.66198699999999999</v>
      </c>
      <c r="Z148">
        <v>0.53931099999999998</v>
      </c>
      <c r="AA148">
        <v>0.45388000000000001</v>
      </c>
      <c r="AB148">
        <v>0.41933999999999999</v>
      </c>
      <c r="AC148">
        <v>0.423377</v>
      </c>
      <c r="AD148">
        <v>0.43070599999999998</v>
      </c>
      <c r="AE148">
        <v>0.44527</v>
      </c>
      <c r="AF148">
        <v>0.47664699999999999</v>
      </c>
      <c r="AG148">
        <v>0.52049000000000001</v>
      </c>
      <c r="AH148">
        <v>0.577318</v>
      </c>
      <c r="AI148">
        <v>0.62720500000000001</v>
      </c>
      <c r="AK148">
        <v>0.67055799999999999</v>
      </c>
      <c r="AM148">
        <v>0.71137300000000003</v>
      </c>
      <c r="AO148">
        <v>0.74769399999999997</v>
      </c>
      <c r="AQ148">
        <v>0.77477099999999999</v>
      </c>
      <c r="AR148">
        <v>0.79117800000000005</v>
      </c>
      <c r="AS148">
        <v>0.807338</v>
      </c>
      <c r="AV148">
        <v>0.81993499999999997</v>
      </c>
      <c r="AW148">
        <v>0.82813099999999995</v>
      </c>
      <c r="AX148">
        <v>0.82746200000000003</v>
      </c>
      <c r="AY148">
        <v>0.82589000000000001</v>
      </c>
      <c r="AZ148">
        <v>0.822295</v>
      </c>
      <c r="BA148">
        <v>0.814469</v>
      </c>
      <c r="BB148">
        <v>0.81089999999999995</v>
      </c>
      <c r="BC148">
        <v>0.80944199999999999</v>
      </c>
      <c r="BD148">
        <v>0.80447599999999997</v>
      </c>
      <c r="BE148">
        <v>0.79924799999999996</v>
      </c>
      <c r="BF148">
        <v>0.79400700000000002</v>
      </c>
      <c r="BG148">
        <v>0.78561700000000001</v>
      </c>
      <c r="BH148">
        <v>0.78071900000000005</v>
      </c>
      <c r="BI148" s="49">
        <v>4.0000000000000001E-3</v>
      </c>
    </row>
    <row r="149" spans="20:61" x14ac:dyDescent="0.5">
      <c r="T149" t="s">
        <v>348</v>
      </c>
      <c r="U149" t="s">
        <v>349</v>
      </c>
      <c r="V149" t="s">
        <v>117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</v>
      </c>
      <c r="AM149">
        <v>0</v>
      </c>
      <c r="AO149">
        <v>0</v>
      </c>
      <c r="AQ149">
        <v>0</v>
      </c>
      <c r="AR149">
        <v>0</v>
      </c>
      <c r="AS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137</v>
      </c>
    </row>
    <row r="150" spans="20:61" x14ac:dyDescent="0.5">
      <c r="T150" t="s">
        <v>350</v>
      </c>
      <c r="U150" t="s">
        <v>351</v>
      </c>
      <c r="V150" t="s">
        <v>117</v>
      </c>
      <c r="X150">
        <v>14.315772000000001</v>
      </c>
      <c r="Y150">
        <v>16.029838999999999</v>
      </c>
      <c r="Z150">
        <v>17.293434000000001</v>
      </c>
      <c r="AA150">
        <v>17.019919999999999</v>
      </c>
      <c r="AB150">
        <v>17.588239999999999</v>
      </c>
      <c r="AC150">
        <v>18.873165</v>
      </c>
      <c r="AD150">
        <v>19.588191999999999</v>
      </c>
      <c r="AE150">
        <v>20.297187999999998</v>
      </c>
      <c r="AF150">
        <v>21.545437</v>
      </c>
      <c r="AG150">
        <v>22.704546000000001</v>
      </c>
      <c r="AH150">
        <v>23.915870999999999</v>
      </c>
      <c r="AI150">
        <v>25.263722999999999</v>
      </c>
      <c r="AK150">
        <v>26.535900000000002</v>
      </c>
      <c r="AM150">
        <v>27.938459000000002</v>
      </c>
      <c r="AO150">
        <v>29.321259000000001</v>
      </c>
      <c r="AQ150">
        <v>30.499231000000002</v>
      </c>
      <c r="AR150">
        <v>31.450533</v>
      </c>
      <c r="AS150">
        <v>32.524448</v>
      </c>
      <c r="AV150">
        <v>33.637348000000003</v>
      </c>
      <c r="AW150">
        <v>34.680992000000003</v>
      </c>
      <c r="AX150">
        <v>35.508552999999999</v>
      </c>
      <c r="AY150">
        <v>36.659489000000001</v>
      </c>
      <c r="AZ150">
        <v>37.678306999999997</v>
      </c>
      <c r="BA150">
        <v>38.565551999999997</v>
      </c>
      <c r="BB150">
        <v>39.727200000000003</v>
      </c>
      <c r="BC150">
        <v>41.059798999999998</v>
      </c>
      <c r="BD150">
        <v>42.265675000000002</v>
      </c>
      <c r="BE150">
        <v>43.489764999999998</v>
      </c>
      <c r="BF150">
        <v>44.766632000000001</v>
      </c>
      <c r="BG150">
        <v>45.907646</v>
      </c>
      <c r="BH150">
        <v>47.259444999999999</v>
      </c>
      <c r="BI150" s="49">
        <v>4.1000000000000002E-2</v>
      </c>
    </row>
    <row r="151" spans="20:61" x14ac:dyDescent="0.5">
      <c r="T151" t="s">
        <v>352</v>
      </c>
      <c r="U151" t="s">
        <v>353</v>
      </c>
      <c r="V151" t="s">
        <v>117</v>
      </c>
      <c r="X151">
        <v>4.0117E-2</v>
      </c>
      <c r="Y151">
        <v>4.1491E-2</v>
      </c>
      <c r="Z151">
        <v>4.3747000000000001E-2</v>
      </c>
      <c r="AA151">
        <v>4.1384999999999998E-2</v>
      </c>
      <c r="AB151">
        <v>4.1068E-2</v>
      </c>
      <c r="AC151">
        <v>4.2236000000000003E-2</v>
      </c>
      <c r="AD151">
        <v>4.2097999999999997E-2</v>
      </c>
      <c r="AE151">
        <v>4.1249000000000001E-2</v>
      </c>
      <c r="AF151">
        <v>4.1318000000000001E-2</v>
      </c>
      <c r="AG151">
        <v>4.1616E-2</v>
      </c>
      <c r="AH151">
        <v>4.2308999999999999E-2</v>
      </c>
      <c r="AI151">
        <v>4.2803000000000001E-2</v>
      </c>
      <c r="AK151">
        <v>4.3215000000000003E-2</v>
      </c>
      <c r="AM151">
        <v>4.3806999999999999E-2</v>
      </c>
      <c r="AO151">
        <v>4.4365000000000002E-2</v>
      </c>
      <c r="AQ151">
        <v>4.4575999999999998E-2</v>
      </c>
      <c r="AR151">
        <v>4.4493999999999999E-2</v>
      </c>
      <c r="AS151">
        <v>4.4533000000000003E-2</v>
      </c>
      <c r="AV151">
        <v>4.4696E-2</v>
      </c>
      <c r="AW151">
        <v>4.4691000000000002E-2</v>
      </c>
      <c r="AX151">
        <v>4.4482000000000001E-2</v>
      </c>
      <c r="AY151">
        <v>4.4500999999999999E-2</v>
      </c>
      <c r="AZ151">
        <v>4.4405E-2</v>
      </c>
      <c r="BA151">
        <v>4.4149000000000001E-2</v>
      </c>
      <c r="BB151">
        <v>4.4166999999999998E-2</v>
      </c>
      <c r="BC151">
        <v>4.4353999999999998E-2</v>
      </c>
      <c r="BD151">
        <v>4.4347999999999999E-2</v>
      </c>
      <c r="BE151">
        <v>4.4316000000000001E-2</v>
      </c>
      <c r="BF151">
        <v>4.4313999999999999E-2</v>
      </c>
      <c r="BG151">
        <v>4.4201999999999998E-2</v>
      </c>
      <c r="BH151">
        <v>4.4171000000000002E-2</v>
      </c>
      <c r="BI151" s="49">
        <v>3.0000000000000001E-3</v>
      </c>
    </row>
    <row r="152" spans="20:61" x14ac:dyDescent="0.5">
      <c r="T152" t="s">
        <v>354</v>
      </c>
      <c r="U152" t="s">
        <v>355</v>
      </c>
      <c r="V152" t="s">
        <v>117</v>
      </c>
      <c r="X152">
        <v>0.265241</v>
      </c>
      <c r="Y152">
        <v>0.278831</v>
      </c>
      <c r="Z152">
        <v>0.29446800000000001</v>
      </c>
      <c r="AA152">
        <v>0.28026800000000002</v>
      </c>
      <c r="AB152">
        <v>0.279165</v>
      </c>
      <c r="AC152">
        <v>0.28806399999999999</v>
      </c>
      <c r="AD152">
        <v>0.28812700000000002</v>
      </c>
      <c r="AE152">
        <v>0.28304600000000002</v>
      </c>
      <c r="AF152">
        <v>0.28409099999999998</v>
      </c>
      <c r="AG152">
        <v>0.28674500000000003</v>
      </c>
      <c r="AH152">
        <v>0.292132</v>
      </c>
      <c r="AI152">
        <v>0.29596299999999998</v>
      </c>
      <c r="AK152">
        <v>0.29917199999999999</v>
      </c>
      <c r="AM152">
        <v>0.30364200000000002</v>
      </c>
      <c r="AO152">
        <v>0.30792799999999998</v>
      </c>
      <c r="AQ152">
        <v>0.30977199999999999</v>
      </c>
      <c r="AR152">
        <v>0.309585</v>
      </c>
      <c r="AS152">
        <v>0.31019200000000002</v>
      </c>
      <c r="AV152">
        <v>0.311718</v>
      </c>
      <c r="AW152">
        <v>0.31200899999999998</v>
      </c>
      <c r="AX152">
        <v>0.310946</v>
      </c>
      <c r="AY152">
        <v>0.31146499999999999</v>
      </c>
      <c r="AZ152">
        <v>0.31111800000000001</v>
      </c>
      <c r="BA152">
        <v>0.30964599999999998</v>
      </c>
      <c r="BB152">
        <v>0.31006400000000001</v>
      </c>
      <c r="BC152">
        <v>0.31168699999999999</v>
      </c>
      <c r="BD152">
        <v>0.31192599999999998</v>
      </c>
      <c r="BE152">
        <v>0.31196499999999999</v>
      </c>
      <c r="BF152">
        <v>0.31218499999999999</v>
      </c>
      <c r="BG152">
        <v>0.31169799999999998</v>
      </c>
      <c r="BH152">
        <v>0.31167</v>
      </c>
      <c r="BI152" s="49">
        <v>5.0000000000000001E-3</v>
      </c>
    </row>
    <row r="153" spans="20:61" x14ac:dyDescent="0.5">
      <c r="T153" t="s">
        <v>356</v>
      </c>
      <c r="U153" t="s">
        <v>357</v>
      </c>
      <c r="V153" t="s">
        <v>117</v>
      </c>
      <c r="X153">
        <v>6.3971E-2</v>
      </c>
      <c r="Y153">
        <v>6.0291999999999998E-2</v>
      </c>
      <c r="Z153">
        <v>6.6807000000000005E-2</v>
      </c>
      <c r="AA153">
        <v>6.1142000000000002E-2</v>
      </c>
      <c r="AB153">
        <v>6.012E-2</v>
      </c>
      <c r="AC153">
        <v>6.1474000000000001E-2</v>
      </c>
      <c r="AD153">
        <v>6.0836000000000001E-2</v>
      </c>
      <c r="AE153">
        <v>5.8819999999999997E-2</v>
      </c>
      <c r="AF153">
        <v>5.9101000000000001E-2</v>
      </c>
      <c r="AG153">
        <v>5.9753000000000001E-2</v>
      </c>
      <c r="AH153">
        <v>6.0425E-2</v>
      </c>
      <c r="AI153">
        <v>6.1663000000000003E-2</v>
      </c>
      <c r="AK153">
        <v>6.2126000000000001E-2</v>
      </c>
      <c r="AM153">
        <v>6.3656000000000004E-2</v>
      </c>
      <c r="AO153">
        <v>6.4949999999999994E-2</v>
      </c>
      <c r="AQ153">
        <v>6.5450999999999995E-2</v>
      </c>
      <c r="AR153">
        <v>6.5837999999999994E-2</v>
      </c>
      <c r="AS153">
        <v>6.6021999999999997E-2</v>
      </c>
      <c r="AV153">
        <v>6.6941000000000001E-2</v>
      </c>
      <c r="AW153">
        <v>6.7111000000000004E-2</v>
      </c>
      <c r="AX153">
        <v>6.7490999999999995E-2</v>
      </c>
      <c r="AY153">
        <v>6.7863999999999994E-2</v>
      </c>
      <c r="AZ153">
        <v>6.7942000000000002E-2</v>
      </c>
      <c r="BA153">
        <v>6.8060999999999997E-2</v>
      </c>
      <c r="BB153">
        <v>6.8432999999999994E-2</v>
      </c>
      <c r="BC153">
        <v>6.9192000000000004E-2</v>
      </c>
      <c r="BD153">
        <v>6.9486000000000006E-2</v>
      </c>
      <c r="BE153">
        <v>6.9803000000000004E-2</v>
      </c>
      <c r="BF153">
        <v>7.0152000000000006E-2</v>
      </c>
      <c r="BG153">
        <v>7.0571999999999996E-2</v>
      </c>
      <c r="BH153">
        <v>7.0525000000000004E-2</v>
      </c>
      <c r="BI153" s="49">
        <v>3.0000000000000001E-3</v>
      </c>
    </row>
    <row r="154" spans="20:61" x14ac:dyDescent="0.5">
      <c r="T154" t="s">
        <v>356</v>
      </c>
      <c r="U154" t="s">
        <v>358</v>
      </c>
      <c r="V154" t="s">
        <v>117</v>
      </c>
      <c r="X154">
        <v>6.5411999999999998E-2</v>
      </c>
      <c r="Y154">
        <v>6.9081000000000004E-2</v>
      </c>
      <c r="Z154">
        <v>7.2640999999999997E-2</v>
      </c>
      <c r="AA154">
        <v>6.9078000000000001E-2</v>
      </c>
      <c r="AB154">
        <v>6.8737999999999994E-2</v>
      </c>
      <c r="AC154">
        <v>7.0849999999999996E-2</v>
      </c>
      <c r="AD154">
        <v>7.0792999999999995E-2</v>
      </c>
      <c r="AE154">
        <v>6.9512000000000004E-2</v>
      </c>
      <c r="AF154">
        <v>6.9739999999999996E-2</v>
      </c>
      <c r="AG154">
        <v>7.0365999999999998E-2</v>
      </c>
      <c r="AH154">
        <v>7.1654999999999996E-2</v>
      </c>
      <c r="AI154">
        <v>7.2569999999999996E-2</v>
      </c>
      <c r="AK154">
        <v>7.3336999999999999E-2</v>
      </c>
      <c r="AM154">
        <v>7.4409000000000003E-2</v>
      </c>
      <c r="AO154">
        <v>7.5430999999999998E-2</v>
      </c>
      <c r="AQ154">
        <v>7.5855000000000006E-2</v>
      </c>
      <c r="AR154">
        <v>7.5778999999999999E-2</v>
      </c>
      <c r="AS154">
        <v>7.5898999999999994E-2</v>
      </c>
      <c r="AV154">
        <v>7.6238E-2</v>
      </c>
      <c r="AW154">
        <v>7.6282000000000003E-2</v>
      </c>
      <c r="AX154">
        <v>7.5990000000000002E-2</v>
      </c>
      <c r="AY154">
        <v>7.6092000000000007E-2</v>
      </c>
      <c r="AZ154">
        <v>7.5985999999999998E-2</v>
      </c>
      <c r="BA154">
        <v>7.5603000000000004E-2</v>
      </c>
      <c r="BB154">
        <v>7.5680999999999998E-2</v>
      </c>
      <c r="BC154">
        <v>7.6054999999999998E-2</v>
      </c>
      <c r="BD154">
        <v>7.6090000000000005E-2</v>
      </c>
      <c r="BE154">
        <v>7.6078000000000007E-2</v>
      </c>
      <c r="BF154">
        <v>7.6105999999999993E-2</v>
      </c>
      <c r="BG154">
        <v>7.596E-2</v>
      </c>
      <c r="BH154">
        <v>7.5928999999999996E-2</v>
      </c>
      <c r="BI154" s="49">
        <v>5.0000000000000001E-3</v>
      </c>
    </row>
    <row r="155" spans="20:61" x14ac:dyDescent="0.5">
      <c r="T155" t="s">
        <v>359</v>
      </c>
      <c r="U155" t="s">
        <v>360</v>
      </c>
      <c r="V155" t="s">
        <v>117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M155">
        <v>0</v>
      </c>
      <c r="AO155">
        <v>0</v>
      </c>
      <c r="AQ155">
        <v>0</v>
      </c>
      <c r="AR155">
        <v>0</v>
      </c>
      <c r="AS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137</v>
      </c>
    </row>
    <row r="156" spans="20:61" x14ac:dyDescent="0.5">
      <c r="T156" t="s">
        <v>361</v>
      </c>
      <c r="U156" t="s">
        <v>362</v>
      </c>
      <c r="V156" t="s">
        <v>117</v>
      </c>
      <c r="X156">
        <v>2.0674999999999999E-2</v>
      </c>
      <c r="Y156">
        <v>2.1666999999999999E-2</v>
      </c>
      <c r="Z156">
        <v>2.4660999999999999E-2</v>
      </c>
      <c r="AA156">
        <v>2.6355E-2</v>
      </c>
      <c r="AB156">
        <v>2.9742000000000001E-2</v>
      </c>
      <c r="AC156">
        <v>3.5492000000000003E-2</v>
      </c>
      <c r="AD156">
        <v>4.0672E-2</v>
      </c>
      <c r="AE156">
        <v>4.5643000000000003E-2</v>
      </c>
      <c r="AF156">
        <v>5.1954E-2</v>
      </c>
      <c r="AG156">
        <v>5.8918999999999999E-2</v>
      </c>
      <c r="AH156">
        <v>6.6709000000000004E-2</v>
      </c>
      <c r="AI156">
        <v>7.4139999999999998E-2</v>
      </c>
      <c r="AK156">
        <v>8.1226999999999994E-2</v>
      </c>
      <c r="AM156">
        <v>8.8264999999999996E-2</v>
      </c>
      <c r="AO156">
        <v>9.4811999999999994E-2</v>
      </c>
      <c r="AQ156">
        <v>0.10009800000000001</v>
      </c>
      <c r="AR156">
        <v>0.104158</v>
      </c>
      <c r="AS156">
        <v>0.10796500000000001</v>
      </c>
      <c r="AV156">
        <v>0.111666</v>
      </c>
      <c r="AW156">
        <v>0.11457000000000001</v>
      </c>
      <c r="AX156">
        <v>0.11669300000000001</v>
      </c>
      <c r="AY156">
        <v>0.119187</v>
      </c>
      <c r="AZ156">
        <v>0.12118900000000001</v>
      </c>
      <c r="BA156">
        <v>0.122652</v>
      </c>
      <c r="BB156">
        <v>0.124765</v>
      </c>
      <c r="BC156">
        <v>0.127329</v>
      </c>
      <c r="BD156">
        <v>0.12929099999999999</v>
      </c>
      <c r="BE156">
        <v>0.131165</v>
      </c>
      <c r="BF156">
        <v>0.13311100000000001</v>
      </c>
      <c r="BG156">
        <v>0.13477900000000001</v>
      </c>
      <c r="BH156">
        <v>0.13650000000000001</v>
      </c>
      <c r="BI156" s="49">
        <v>6.5000000000000002E-2</v>
      </c>
    </row>
    <row r="157" spans="20:61" x14ac:dyDescent="0.5">
      <c r="T157" t="s">
        <v>363</v>
      </c>
      <c r="U157" t="s">
        <v>364</v>
      </c>
      <c r="V157" t="s">
        <v>117</v>
      </c>
      <c r="X157">
        <v>41.078814999999999</v>
      </c>
      <c r="Y157">
        <v>43.461928999999998</v>
      </c>
      <c r="Z157">
        <v>45.074027999999998</v>
      </c>
      <c r="AA157">
        <v>43.079205000000002</v>
      </c>
      <c r="AB157">
        <v>43.674370000000003</v>
      </c>
      <c r="AC157">
        <v>46.181010999999998</v>
      </c>
      <c r="AD157">
        <v>47.671855999999998</v>
      </c>
      <c r="AE157">
        <v>49.179015999999997</v>
      </c>
      <c r="AF157">
        <v>52.341960999999998</v>
      </c>
      <c r="AG157">
        <v>55.274765000000002</v>
      </c>
      <c r="AH157">
        <v>58.443237000000003</v>
      </c>
      <c r="AI157">
        <v>62.271541999999997</v>
      </c>
      <c r="AK157">
        <v>66.207663999999994</v>
      </c>
      <c r="AM157">
        <v>70.807006999999999</v>
      </c>
      <c r="AO157">
        <v>75.454575000000006</v>
      </c>
      <c r="AQ157">
        <v>79.624886000000004</v>
      </c>
      <c r="AR157">
        <v>83.315680999999998</v>
      </c>
      <c r="AS157">
        <v>87.241409000000004</v>
      </c>
      <c r="AV157">
        <v>91.401993000000004</v>
      </c>
      <c r="AW157">
        <v>95.162148000000002</v>
      </c>
      <c r="AX157">
        <v>98.387550000000005</v>
      </c>
      <c r="AY157">
        <v>101.317505</v>
      </c>
      <c r="AZ157">
        <v>103.91132399999999</v>
      </c>
      <c r="BA157">
        <v>106.26947800000001</v>
      </c>
      <c r="BB157">
        <v>109.265434</v>
      </c>
      <c r="BC157">
        <v>112.726585</v>
      </c>
      <c r="BD157">
        <v>115.780243</v>
      </c>
      <c r="BE157">
        <v>118.965851</v>
      </c>
      <c r="BF157">
        <v>122.291496</v>
      </c>
      <c r="BG157">
        <v>125.336044</v>
      </c>
      <c r="BH157">
        <v>128.716385</v>
      </c>
      <c r="BI157" s="49">
        <v>3.9E-2</v>
      </c>
    </row>
    <row r="158" spans="20:61" x14ac:dyDescent="0.5">
      <c r="T158" t="s">
        <v>365</v>
      </c>
      <c r="U158" t="s">
        <v>366</v>
      </c>
      <c r="V158" t="s">
        <v>155</v>
      </c>
      <c r="X158">
        <v>7.1755490000000002</v>
      </c>
      <c r="Y158">
        <v>7.1108589999999996</v>
      </c>
      <c r="Z158">
        <v>7.2102110000000001</v>
      </c>
      <c r="AA158">
        <v>7.3664440000000004</v>
      </c>
      <c r="AB158">
        <v>7.6214240000000002</v>
      </c>
      <c r="AC158">
        <v>7.9450589999999996</v>
      </c>
      <c r="AD158">
        <v>8.3309219999999993</v>
      </c>
      <c r="AE158">
        <v>8.8061889999999998</v>
      </c>
      <c r="AF158">
        <v>9.4065539999999999</v>
      </c>
      <c r="AG158">
        <v>9.8996499999999994</v>
      </c>
      <c r="AH158">
        <v>10.412419999999999</v>
      </c>
      <c r="AI158">
        <v>10.986844</v>
      </c>
      <c r="AK158">
        <v>11.594587000000001</v>
      </c>
      <c r="AM158">
        <v>12.261876000000001</v>
      </c>
      <c r="AO158">
        <v>12.924908</v>
      </c>
      <c r="AQ158">
        <v>13.590225</v>
      </c>
      <c r="AR158">
        <v>14.269506</v>
      </c>
      <c r="AS158">
        <v>14.939181</v>
      </c>
      <c r="AV158">
        <v>15.626476</v>
      </c>
      <c r="AW158">
        <v>16.284679000000001</v>
      </c>
      <c r="AX158">
        <v>16.954408999999998</v>
      </c>
      <c r="AY158">
        <v>17.483463</v>
      </c>
      <c r="AZ158">
        <v>17.995028000000001</v>
      </c>
      <c r="BA158">
        <v>18.544543999999998</v>
      </c>
      <c r="BB158">
        <v>19.091362</v>
      </c>
      <c r="BC158">
        <v>19.654043000000001</v>
      </c>
      <c r="BD158">
        <v>20.226526</v>
      </c>
      <c r="BE158">
        <v>20.833389</v>
      </c>
      <c r="BF158">
        <v>21.459240000000001</v>
      </c>
      <c r="BG158">
        <v>22.104519</v>
      </c>
      <c r="BH158">
        <v>22.738427999999999</v>
      </c>
      <c r="BI158" s="49">
        <v>3.9E-2</v>
      </c>
    </row>
    <row r="159" spans="20:61" x14ac:dyDescent="0.5">
      <c r="T159" t="s">
        <v>367</v>
      </c>
      <c r="U159" t="s">
        <v>368</v>
      </c>
      <c r="V159" t="s">
        <v>117</v>
      </c>
      <c r="X159">
        <v>572.48327600000005</v>
      </c>
      <c r="Y159">
        <v>611.205017</v>
      </c>
      <c r="Z159">
        <v>625.14154099999996</v>
      </c>
      <c r="AA159">
        <v>584.80328399999996</v>
      </c>
      <c r="AB159">
        <v>573.04736300000002</v>
      </c>
      <c r="AC159">
        <v>581.254456</v>
      </c>
      <c r="AD159">
        <v>572.227844</v>
      </c>
      <c r="AE159">
        <v>558.45971699999996</v>
      </c>
      <c r="AF159">
        <v>556.44140600000003</v>
      </c>
      <c r="AG159">
        <v>558.35070800000005</v>
      </c>
      <c r="AH159">
        <v>561.28387499999997</v>
      </c>
      <c r="AI159">
        <v>566.78277600000001</v>
      </c>
      <c r="AK159">
        <v>571.022156</v>
      </c>
      <c r="AM159">
        <v>577.45654300000001</v>
      </c>
      <c r="AO159">
        <v>583.79199200000005</v>
      </c>
      <c r="AQ159">
        <v>585.89819299999999</v>
      </c>
      <c r="AR159">
        <v>583.87219200000004</v>
      </c>
      <c r="AS159">
        <v>583.97717299999999</v>
      </c>
      <c r="AV159">
        <v>584.91747999999995</v>
      </c>
      <c r="AW159">
        <v>584.36608899999999</v>
      </c>
      <c r="AX159">
        <v>580.30658000000005</v>
      </c>
      <c r="AY159">
        <v>579.50476100000003</v>
      </c>
      <c r="AZ159">
        <v>577.44464100000005</v>
      </c>
      <c r="BA159">
        <v>573.04980499999999</v>
      </c>
      <c r="BB159">
        <v>572.32916299999999</v>
      </c>
      <c r="BC159">
        <v>573.55419900000004</v>
      </c>
      <c r="BD159">
        <v>572.41784700000005</v>
      </c>
      <c r="BE159">
        <v>571.03454599999998</v>
      </c>
      <c r="BF159">
        <v>569.87805200000003</v>
      </c>
      <c r="BG159">
        <v>567.01550299999997</v>
      </c>
      <c r="BH159">
        <v>566.07421899999997</v>
      </c>
      <c r="BI159" s="49">
        <v>0</v>
      </c>
    </row>
    <row r="160" spans="20:61" x14ac:dyDescent="0.5">
      <c r="T160" t="s">
        <v>369</v>
      </c>
      <c r="U160" t="s">
        <v>370</v>
      </c>
      <c r="V160" t="s">
        <v>117</v>
      </c>
      <c r="X160">
        <v>736.550659</v>
      </c>
      <c r="Y160">
        <v>872.22180200000003</v>
      </c>
      <c r="Z160">
        <v>956.21185300000002</v>
      </c>
      <c r="AA160">
        <v>958.47192399999994</v>
      </c>
      <c r="AB160">
        <v>986.77703899999995</v>
      </c>
      <c r="AC160">
        <v>1039.8115230000001</v>
      </c>
      <c r="AD160">
        <v>1050.038818</v>
      </c>
      <c r="AE160">
        <v>1037.763062</v>
      </c>
      <c r="AF160">
        <v>1046.4970699999999</v>
      </c>
      <c r="AG160">
        <v>1060.002808</v>
      </c>
      <c r="AH160">
        <v>1063.7294919999999</v>
      </c>
      <c r="AI160">
        <v>1068.9454350000001</v>
      </c>
      <c r="AK160">
        <v>1065.223389</v>
      </c>
      <c r="AM160">
        <v>1066.336914</v>
      </c>
      <c r="AO160">
        <v>1071.6832280000001</v>
      </c>
      <c r="AQ160">
        <v>1068.7210689999999</v>
      </c>
      <c r="AR160">
        <v>1062.41687</v>
      </c>
      <c r="AS160">
        <v>1055.971436</v>
      </c>
      <c r="AV160">
        <v>1057.1267089999999</v>
      </c>
      <c r="AW160">
        <v>1053.142578</v>
      </c>
      <c r="AX160">
        <v>1049.9926760000001</v>
      </c>
      <c r="AY160">
        <v>1056.0551760000001</v>
      </c>
      <c r="AZ160">
        <v>1055.376221</v>
      </c>
      <c r="BA160">
        <v>1051.137207</v>
      </c>
      <c r="BB160">
        <v>1053.320068</v>
      </c>
      <c r="BC160">
        <v>1059.4105219999999</v>
      </c>
      <c r="BD160">
        <v>1059.6445309999999</v>
      </c>
      <c r="BE160">
        <v>1057.2554929999999</v>
      </c>
      <c r="BF160">
        <v>1054.7821039999999</v>
      </c>
      <c r="BG160">
        <v>1054.7270510000001</v>
      </c>
      <c r="BH160">
        <v>1051.4876710000001</v>
      </c>
      <c r="BI160" s="49">
        <v>1.2E-2</v>
      </c>
    </row>
    <row r="161" spans="20:61" x14ac:dyDescent="0.5">
      <c r="T161" t="s">
        <v>371</v>
      </c>
      <c r="U161" t="s">
        <v>372</v>
      </c>
      <c r="V161" t="s">
        <v>117</v>
      </c>
      <c r="X161">
        <v>4.5949369999999998</v>
      </c>
      <c r="Y161">
        <v>9.7774660000000004</v>
      </c>
      <c r="Z161">
        <v>13.353153000000001</v>
      </c>
      <c r="AA161">
        <v>12.499276999999999</v>
      </c>
      <c r="AB161">
        <v>12.894882000000001</v>
      </c>
      <c r="AC161">
        <v>13.723792</v>
      </c>
      <c r="AD161">
        <v>13.830275</v>
      </c>
      <c r="AE161">
        <v>13.685083000000001</v>
      </c>
      <c r="AF161">
        <v>14.106023</v>
      </c>
      <c r="AG161">
        <v>14.493855</v>
      </c>
      <c r="AH161">
        <v>15.030329</v>
      </c>
      <c r="AI161">
        <v>15.296854</v>
      </c>
      <c r="AK161">
        <v>15.568954</v>
      </c>
      <c r="AM161">
        <v>15.985711999999999</v>
      </c>
      <c r="AO161">
        <v>16.364674000000001</v>
      </c>
      <c r="AQ161">
        <v>16.536307999999998</v>
      </c>
      <c r="AR161">
        <v>16.571473999999998</v>
      </c>
      <c r="AS161">
        <v>16.684806999999999</v>
      </c>
      <c r="AV161">
        <v>16.925526000000001</v>
      </c>
      <c r="AW161">
        <v>16.968385999999999</v>
      </c>
      <c r="AX161">
        <v>16.924236000000001</v>
      </c>
      <c r="AY161">
        <v>17.103489</v>
      </c>
      <c r="AZ161">
        <v>17.283170999999999</v>
      </c>
      <c r="BA161">
        <v>17.230370000000001</v>
      </c>
      <c r="BB161">
        <v>17.296596999999998</v>
      </c>
      <c r="BC161">
        <v>17.521887</v>
      </c>
      <c r="BD161">
        <v>17.541046000000001</v>
      </c>
      <c r="BE161">
        <v>17.757238000000001</v>
      </c>
      <c r="BF161">
        <v>17.687172</v>
      </c>
      <c r="BG161">
        <v>17.574605999999999</v>
      </c>
      <c r="BH161">
        <v>17.594491999999999</v>
      </c>
      <c r="BI161" s="49">
        <v>4.5999999999999999E-2</v>
      </c>
    </row>
    <row r="162" spans="20:61" x14ac:dyDescent="0.5">
      <c r="T162" t="s">
        <v>373</v>
      </c>
      <c r="U162" t="s">
        <v>374</v>
      </c>
      <c r="V162" t="s">
        <v>117</v>
      </c>
      <c r="X162">
        <v>741.14556900000002</v>
      </c>
      <c r="Y162">
        <v>881.99926800000003</v>
      </c>
      <c r="Z162">
        <v>969.56500200000005</v>
      </c>
      <c r="AA162">
        <v>970.97119099999998</v>
      </c>
      <c r="AB162">
        <v>999.67193599999996</v>
      </c>
      <c r="AC162">
        <v>1053.5352780000001</v>
      </c>
      <c r="AD162">
        <v>1063.8691409999999</v>
      </c>
      <c r="AE162">
        <v>1051.44812</v>
      </c>
      <c r="AF162">
        <v>1060.603149</v>
      </c>
      <c r="AG162">
        <v>1074.4967039999999</v>
      </c>
      <c r="AH162">
        <v>1078.7597659999999</v>
      </c>
      <c r="AI162">
        <v>1084.2423100000001</v>
      </c>
      <c r="AK162">
        <v>1080.7923579999999</v>
      </c>
      <c r="AM162">
        <v>1082.3226320000001</v>
      </c>
      <c r="AO162">
        <v>1088.0478519999999</v>
      </c>
      <c r="AQ162">
        <v>1085.2573239999999</v>
      </c>
      <c r="AR162">
        <v>1078.9884030000001</v>
      </c>
      <c r="AS162">
        <v>1072.65625</v>
      </c>
      <c r="AV162">
        <v>1074.052246</v>
      </c>
      <c r="AW162">
        <v>1070.110962</v>
      </c>
      <c r="AX162">
        <v>1066.91687</v>
      </c>
      <c r="AY162">
        <v>1073.1586910000001</v>
      </c>
      <c r="AZ162">
        <v>1072.6594239999999</v>
      </c>
      <c r="BA162">
        <v>1068.3675539999999</v>
      </c>
      <c r="BB162">
        <v>1070.6166989999999</v>
      </c>
      <c r="BC162">
        <v>1076.9323730000001</v>
      </c>
      <c r="BD162">
        <v>1077.185547</v>
      </c>
      <c r="BE162">
        <v>1075.0126949999999</v>
      </c>
      <c r="BF162">
        <v>1072.4692379999999</v>
      </c>
      <c r="BG162">
        <v>1072.3016359999999</v>
      </c>
      <c r="BH162">
        <v>1069.0821530000001</v>
      </c>
      <c r="BI162" s="49">
        <v>1.2E-2</v>
      </c>
    </row>
    <row r="163" spans="20:61" x14ac:dyDescent="0.5">
      <c r="T163" t="s">
        <v>375</v>
      </c>
      <c r="U163" t="s">
        <v>376</v>
      </c>
      <c r="V163" t="s">
        <v>117</v>
      </c>
      <c r="X163">
        <v>74.202774000000005</v>
      </c>
      <c r="Y163">
        <v>80.148444999999995</v>
      </c>
      <c r="Z163">
        <v>87.760673999999995</v>
      </c>
      <c r="AA163">
        <v>87.893814000000006</v>
      </c>
      <c r="AB163">
        <v>90.458786000000003</v>
      </c>
      <c r="AC163">
        <v>95.339256000000006</v>
      </c>
      <c r="AD163">
        <v>96.529365999999996</v>
      </c>
      <c r="AE163">
        <v>95.628685000000004</v>
      </c>
      <c r="AF163">
        <v>96.600868000000006</v>
      </c>
      <c r="AG163">
        <v>98.044846000000007</v>
      </c>
      <c r="AH163">
        <v>98.535278000000005</v>
      </c>
      <c r="AI163">
        <v>99.269790999999998</v>
      </c>
      <c r="AK163">
        <v>99.227729999999994</v>
      </c>
      <c r="AM163">
        <v>99.635047999999998</v>
      </c>
      <c r="AO163">
        <v>100.34613</v>
      </c>
      <c r="AQ163">
        <v>100.38022599999999</v>
      </c>
      <c r="AR163">
        <v>100.066948</v>
      </c>
      <c r="AS163">
        <v>99.774551000000002</v>
      </c>
      <c r="AV163">
        <v>100.172462</v>
      </c>
      <c r="AW163">
        <v>100.076393</v>
      </c>
      <c r="AX163">
        <v>100.021782</v>
      </c>
      <c r="AY163">
        <v>100.819962</v>
      </c>
      <c r="AZ163">
        <v>100.989464</v>
      </c>
      <c r="BA163">
        <v>100.809128</v>
      </c>
      <c r="BB163">
        <v>101.249557</v>
      </c>
      <c r="BC163">
        <v>102.066902</v>
      </c>
      <c r="BD163">
        <v>102.331284</v>
      </c>
      <c r="BE163">
        <v>102.366692</v>
      </c>
      <c r="BF163">
        <v>102.386253</v>
      </c>
      <c r="BG163">
        <v>102.600182</v>
      </c>
      <c r="BH163">
        <v>102.541016</v>
      </c>
      <c r="BI163" s="49">
        <v>1.0999999999999999E-2</v>
      </c>
    </row>
    <row r="164" spans="20:61" x14ac:dyDescent="0.5">
      <c r="T164" t="s">
        <v>377</v>
      </c>
      <c r="U164" t="s">
        <v>378</v>
      </c>
      <c r="V164" t="s">
        <v>117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  <c r="AM164">
        <v>0</v>
      </c>
      <c r="AO164">
        <v>0</v>
      </c>
      <c r="AQ164">
        <v>0</v>
      </c>
      <c r="AR164">
        <v>0</v>
      </c>
      <c r="AS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137</v>
      </c>
    </row>
    <row r="165" spans="20:61" x14ac:dyDescent="0.5">
      <c r="T165" t="s">
        <v>379</v>
      </c>
      <c r="U165" t="s">
        <v>380</v>
      </c>
      <c r="V165" t="s">
        <v>117</v>
      </c>
      <c r="X165">
        <v>1.174841</v>
      </c>
      <c r="Y165">
        <v>1.387589</v>
      </c>
      <c r="Z165">
        <v>1.5048269999999999</v>
      </c>
      <c r="AA165">
        <v>1.584149</v>
      </c>
      <c r="AB165">
        <v>1.935241</v>
      </c>
      <c r="AC165">
        <v>2.3418459999999999</v>
      </c>
      <c r="AD165">
        <v>2.7964129999999998</v>
      </c>
      <c r="AE165">
        <v>3.1966450000000002</v>
      </c>
      <c r="AF165">
        <v>3.744113</v>
      </c>
      <c r="AG165">
        <v>4.4139169999999996</v>
      </c>
      <c r="AH165">
        <v>5.0641819999999997</v>
      </c>
      <c r="AI165">
        <v>5.8518910000000002</v>
      </c>
      <c r="AK165">
        <v>6.6569960000000004</v>
      </c>
      <c r="AM165">
        <v>7.520797</v>
      </c>
      <c r="AO165">
        <v>8.4258939999999996</v>
      </c>
      <c r="AQ165">
        <v>9.2719400000000007</v>
      </c>
      <c r="AR165">
        <v>10.062594000000001</v>
      </c>
      <c r="AS165">
        <v>10.836264</v>
      </c>
      <c r="AV165">
        <v>11.650512000000001</v>
      </c>
      <c r="AW165">
        <v>12.400349</v>
      </c>
      <c r="AX165">
        <v>13.1229</v>
      </c>
      <c r="AY165">
        <v>13.930820000000001</v>
      </c>
      <c r="AZ165">
        <v>14.661956</v>
      </c>
      <c r="BA165">
        <v>15.334047</v>
      </c>
      <c r="BB165">
        <v>16.098344999999998</v>
      </c>
      <c r="BC165">
        <v>16.926786</v>
      </c>
      <c r="BD165">
        <v>17.674976000000001</v>
      </c>
      <c r="BE165">
        <v>18.399321</v>
      </c>
      <c r="BF165">
        <v>19.120459</v>
      </c>
      <c r="BG165">
        <v>19.865238000000002</v>
      </c>
      <c r="BH165">
        <v>20.587714999999999</v>
      </c>
      <c r="BI165" s="49">
        <v>0.1</v>
      </c>
    </row>
    <row r="166" spans="20:61" x14ac:dyDescent="0.5">
      <c r="T166" t="s">
        <v>381</v>
      </c>
      <c r="U166" t="s">
        <v>382</v>
      </c>
      <c r="V166" t="s">
        <v>117</v>
      </c>
      <c r="X166">
        <v>3.0411000000000001</v>
      </c>
      <c r="Y166">
        <v>3.8239700000000001</v>
      </c>
      <c r="Z166">
        <v>4.3439170000000003</v>
      </c>
      <c r="AA166">
        <v>4.6904649999999997</v>
      </c>
      <c r="AB166">
        <v>5.3654549999999999</v>
      </c>
      <c r="AC166">
        <v>5.9083180000000004</v>
      </c>
      <c r="AD166">
        <v>6.3549379999999998</v>
      </c>
      <c r="AE166">
        <v>6.8563729999999996</v>
      </c>
      <c r="AF166">
        <v>7.7584059999999999</v>
      </c>
      <c r="AG166">
        <v>8.9260450000000002</v>
      </c>
      <c r="AH166">
        <v>10.349351</v>
      </c>
      <c r="AI166">
        <v>11.916700000000001</v>
      </c>
      <c r="AK166">
        <v>13.692771</v>
      </c>
      <c r="AM166">
        <v>15.644169</v>
      </c>
      <c r="AO166">
        <v>17.755537</v>
      </c>
      <c r="AQ166">
        <v>19.86356</v>
      </c>
      <c r="AR166">
        <v>21.923956</v>
      </c>
      <c r="AS166">
        <v>24.064318</v>
      </c>
      <c r="AV166">
        <v>26.311492999999999</v>
      </c>
      <c r="AW166">
        <v>28.476911999999999</v>
      </c>
      <c r="AX166">
        <v>30.502800000000001</v>
      </c>
      <c r="AY166">
        <v>32.068351999999997</v>
      </c>
      <c r="AZ166">
        <v>33.464492999999997</v>
      </c>
      <c r="BA166">
        <v>34.792743999999999</v>
      </c>
      <c r="BB166">
        <v>36.352500999999997</v>
      </c>
      <c r="BC166">
        <v>38.081249</v>
      </c>
      <c r="BD166">
        <v>39.692534999999999</v>
      </c>
      <c r="BE166">
        <v>41.348869000000001</v>
      </c>
      <c r="BF166">
        <v>43.062213999999997</v>
      </c>
      <c r="BG166">
        <v>44.791789999999999</v>
      </c>
      <c r="BH166">
        <v>46.668663000000002</v>
      </c>
      <c r="BI166" s="49">
        <v>9.5000000000000001E-2</v>
      </c>
    </row>
    <row r="167" spans="20:61" x14ac:dyDescent="0.5">
      <c r="T167" t="s">
        <v>383</v>
      </c>
      <c r="U167" t="s">
        <v>384</v>
      </c>
      <c r="V167" t="s">
        <v>117</v>
      </c>
      <c r="X167">
        <v>0.40367799999999998</v>
      </c>
      <c r="Y167">
        <v>0.46685599999999999</v>
      </c>
      <c r="Z167">
        <v>0.50510100000000002</v>
      </c>
      <c r="AA167">
        <v>0.51637299999999997</v>
      </c>
      <c r="AB167">
        <v>0.55157500000000004</v>
      </c>
      <c r="AC167">
        <v>0.59468500000000002</v>
      </c>
      <c r="AD167">
        <v>0.61274899999999999</v>
      </c>
      <c r="AE167">
        <v>0.68257299999999999</v>
      </c>
      <c r="AF167">
        <v>0.777864</v>
      </c>
      <c r="AG167">
        <v>0.88684200000000002</v>
      </c>
      <c r="AH167">
        <v>0.99247399999999997</v>
      </c>
      <c r="AI167">
        <v>1.105672</v>
      </c>
      <c r="AK167">
        <v>1.214815</v>
      </c>
      <c r="AM167">
        <v>1.326878</v>
      </c>
      <c r="AO167">
        <v>1.4432970000000001</v>
      </c>
      <c r="AQ167">
        <v>1.54942</v>
      </c>
      <c r="AR167">
        <v>1.64873</v>
      </c>
      <c r="AS167">
        <v>1.762972</v>
      </c>
      <c r="AV167">
        <v>1.8996960000000001</v>
      </c>
      <c r="AW167">
        <v>2.0430190000000001</v>
      </c>
      <c r="AX167">
        <v>2.200383</v>
      </c>
      <c r="AY167">
        <v>2.3907419999999999</v>
      </c>
      <c r="AZ167">
        <v>2.5919140000000001</v>
      </c>
      <c r="BA167">
        <v>2.811048</v>
      </c>
      <c r="BB167">
        <v>3.0803669999999999</v>
      </c>
      <c r="BC167">
        <v>3.4170159999999998</v>
      </c>
      <c r="BD167">
        <v>3.7963499999999999</v>
      </c>
      <c r="BE167">
        <v>4.2339260000000003</v>
      </c>
      <c r="BF167">
        <v>4.7427039999999998</v>
      </c>
      <c r="BG167">
        <v>5.3353799999999998</v>
      </c>
      <c r="BH167">
        <v>6.0223750000000003</v>
      </c>
      <c r="BI167" s="49">
        <v>9.4E-2</v>
      </c>
    </row>
    <row r="168" spans="20:61" x14ac:dyDescent="0.5">
      <c r="T168" t="s">
        <v>385</v>
      </c>
      <c r="U168" t="s">
        <v>386</v>
      </c>
      <c r="V168" t="s">
        <v>117</v>
      </c>
      <c r="X168">
        <v>2.7831760000000001</v>
      </c>
      <c r="Y168">
        <v>3.4965459999999999</v>
      </c>
      <c r="Z168">
        <v>3.4565440000000001</v>
      </c>
      <c r="AA168">
        <v>3.0397240000000001</v>
      </c>
      <c r="AB168">
        <v>2.6407060000000002</v>
      </c>
      <c r="AC168">
        <v>5.1943820000000001</v>
      </c>
      <c r="AD168">
        <v>15.130219</v>
      </c>
      <c r="AE168">
        <v>17.66358</v>
      </c>
      <c r="AF168">
        <v>17.898192999999999</v>
      </c>
      <c r="AG168">
        <v>18.035191000000001</v>
      </c>
      <c r="AH168">
        <v>18.286038999999999</v>
      </c>
      <c r="AI168">
        <v>18.751280000000001</v>
      </c>
      <c r="AK168">
        <v>19.297177999999999</v>
      </c>
      <c r="AM168">
        <v>19.921424999999999</v>
      </c>
      <c r="AO168">
        <v>20.524059000000001</v>
      </c>
      <c r="AQ168">
        <v>20.919443000000001</v>
      </c>
      <c r="AR168">
        <v>21.172228</v>
      </c>
      <c r="AS168">
        <v>21.396507</v>
      </c>
      <c r="AV168">
        <v>21.683572999999999</v>
      </c>
      <c r="AW168">
        <v>21.821936000000001</v>
      </c>
      <c r="AX168">
        <v>21.882494000000001</v>
      </c>
      <c r="AY168">
        <v>21.913329999999998</v>
      </c>
      <c r="AZ168">
        <v>21.847252000000001</v>
      </c>
      <c r="BA168">
        <v>21.714030999999999</v>
      </c>
      <c r="BB168">
        <v>21.687159999999999</v>
      </c>
      <c r="BC168">
        <v>21.714872</v>
      </c>
      <c r="BD168">
        <v>21.616726</v>
      </c>
      <c r="BE168">
        <v>21.485372999999999</v>
      </c>
      <c r="BF168">
        <v>21.330397000000001</v>
      </c>
      <c r="BG168">
        <v>21.163218000000001</v>
      </c>
      <c r="BH168">
        <v>20.979365999999999</v>
      </c>
      <c r="BI168" s="49">
        <v>7.0000000000000007E-2</v>
      </c>
    </row>
    <row r="169" spans="20:61" x14ac:dyDescent="0.5">
      <c r="T169" t="s">
        <v>387</v>
      </c>
      <c r="U169" t="s">
        <v>388</v>
      </c>
      <c r="V169" t="s">
        <v>117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</v>
      </c>
      <c r="AM169">
        <v>0</v>
      </c>
      <c r="AO169">
        <v>0</v>
      </c>
      <c r="AQ169">
        <v>0</v>
      </c>
      <c r="AR169">
        <v>0</v>
      </c>
      <c r="AS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137</v>
      </c>
    </row>
    <row r="170" spans="20:61" x14ac:dyDescent="0.5">
      <c r="T170" t="s">
        <v>389</v>
      </c>
      <c r="U170" t="s">
        <v>390</v>
      </c>
      <c r="V170" t="s">
        <v>117</v>
      </c>
      <c r="X170">
        <v>24.017851</v>
      </c>
      <c r="Y170">
        <v>29.491156</v>
      </c>
      <c r="Z170">
        <v>32.500267000000001</v>
      </c>
      <c r="AA170">
        <v>33.016871999999999</v>
      </c>
      <c r="AB170">
        <v>34.344810000000003</v>
      </c>
      <c r="AC170">
        <v>37.638863000000001</v>
      </c>
      <c r="AD170">
        <v>44.356887999999998</v>
      </c>
      <c r="AE170">
        <v>47.493954000000002</v>
      </c>
      <c r="AF170">
        <v>49.390804000000003</v>
      </c>
      <c r="AG170">
        <v>51.433083000000003</v>
      </c>
      <c r="AH170">
        <v>53.569873999999999</v>
      </c>
      <c r="AI170">
        <v>55.864758000000002</v>
      </c>
      <c r="AK170">
        <v>57.902641000000003</v>
      </c>
      <c r="AM170">
        <v>60.144092999999998</v>
      </c>
      <c r="AO170">
        <v>62.530399000000003</v>
      </c>
      <c r="AQ170">
        <v>64.440796000000006</v>
      </c>
      <c r="AR170">
        <v>65.987221000000005</v>
      </c>
      <c r="AS170">
        <v>67.568871000000001</v>
      </c>
      <c r="AV170">
        <v>69.454230999999993</v>
      </c>
      <c r="AW170">
        <v>71.065781000000001</v>
      </c>
      <c r="AX170">
        <v>72.521141</v>
      </c>
      <c r="AY170">
        <v>74.449944000000002</v>
      </c>
      <c r="AZ170">
        <v>76.055176000000003</v>
      </c>
      <c r="BA170">
        <v>77.407866999999996</v>
      </c>
      <c r="BB170">
        <v>79.275124000000005</v>
      </c>
      <c r="BC170">
        <v>81.477333000000002</v>
      </c>
      <c r="BD170">
        <v>83.327278000000007</v>
      </c>
      <c r="BE170">
        <v>85.071770000000001</v>
      </c>
      <c r="BF170">
        <v>86.850234999999998</v>
      </c>
      <c r="BG170">
        <v>88.711089999999999</v>
      </c>
      <c r="BH170">
        <v>90.620247000000006</v>
      </c>
      <c r="BI170" s="49">
        <v>4.4999999999999998E-2</v>
      </c>
    </row>
    <row r="171" spans="20:61" x14ac:dyDescent="0.5">
      <c r="T171" t="s">
        <v>391</v>
      </c>
      <c r="U171" t="s">
        <v>392</v>
      </c>
      <c r="V171" t="s">
        <v>117</v>
      </c>
      <c r="X171">
        <v>9.7993999999999998E-2</v>
      </c>
      <c r="Y171">
        <v>0.116493</v>
      </c>
      <c r="Z171">
        <v>0.126974</v>
      </c>
      <c r="AA171">
        <v>0.12667400000000001</v>
      </c>
      <c r="AB171">
        <v>0.13011600000000001</v>
      </c>
      <c r="AC171">
        <v>0.13721700000000001</v>
      </c>
      <c r="AD171">
        <v>0.140185</v>
      </c>
      <c r="AE171">
        <v>0.13949600000000001</v>
      </c>
      <c r="AF171">
        <v>0.141211</v>
      </c>
      <c r="AG171">
        <v>0.143653</v>
      </c>
      <c r="AH171">
        <v>0.144431</v>
      </c>
      <c r="AI171">
        <v>0.146009</v>
      </c>
      <c r="AK171">
        <v>0.14656</v>
      </c>
      <c r="AM171">
        <v>0.14780799999999999</v>
      </c>
      <c r="AO171">
        <v>0.149668</v>
      </c>
      <c r="AQ171">
        <v>0.150476</v>
      </c>
      <c r="AR171">
        <v>0.15081</v>
      </c>
      <c r="AS171">
        <v>0.15114900000000001</v>
      </c>
      <c r="AV171">
        <v>0.152499</v>
      </c>
      <c r="AW171">
        <v>0.15314</v>
      </c>
      <c r="AX171">
        <v>0.153812</v>
      </c>
      <c r="AY171">
        <v>0.15571299999999999</v>
      </c>
      <c r="AZ171">
        <v>0.15667700000000001</v>
      </c>
      <c r="BA171">
        <v>0.15709300000000001</v>
      </c>
      <c r="BB171">
        <v>0.15850400000000001</v>
      </c>
      <c r="BC171">
        <v>0.16052900000000001</v>
      </c>
      <c r="BD171">
        <v>0.161722</v>
      </c>
      <c r="BE171">
        <v>0.16264600000000001</v>
      </c>
      <c r="BF171">
        <v>0.163522</v>
      </c>
      <c r="BG171">
        <v>0.16464400000000001</v>
      </c>
      <c r="BH171">
        <v>0.16539100000000001</v>
      </c>
      <c r="BI171" s="49">
        <v>1.7999999999999999E-2</v>
      </c>
    </row>
    <row r="172" spans="20:61" x14ac:dyDescent="0.5">
      <c r="T172" t="s">
        <v>393</v>
      </c>
      <c r="U172" t="s">
        <v>394</v>
      </c>
      <c r="V172" t="s">
        <v>117</v>
      </c>
      <c r="X172">
        <v>0.54049800000000003</v>
      </c>
      <c r="Y172">
        <v>0.64271599999999995</v>
      </c>
      <c r="Z172">
        <v>0.70058100000000001</v>
      </c>
      <c r="AA172">
        <v>0.69897500000000001</v>
      </c>
      <c r="AB172">
        <v>0.71800900000000001</v>
      </c>
      <c r="AC172">
        <v>0.757239</v>
      </c>
      <c r="AD172">
        <v>0.77367200000000003</v>
      </c>
      <c r="AE172">
        <v>0.76989399999999997</v>
      </c>
      <c r="AF172">
        <v>0.77940100000000001</v>
      </c>
      <c r="AG172">
        <v>0.79292399999999996</v>
      </c>
      <c r="AH172">
        <v>0.797261</v>
      </c>
      <c r="AI172">
        <v>0.80600700000000003</v>
      </c>
      <c r="AK172">
        <v>0.80907899999999999</v>
      </c>
      <c r="AM172">
        <v>0.81600499999999998</v>
      </c>
      <c r="AO172">
        <v>0.82631399999999999</v>
      </c>
      <c r="AQ172">
        <v>0.83080799999999999</v>
      </c>
      <c r="AR172">
        <v>0.83268600000000004</v>
      </c>
      <c r="AS172">
        <v>0.83459399999999995</v>
      </c>
      <c r="AV172">
        <v>0.84208700000000003</v>
      </c>
      <c r="AW172">
        <v>0.845661</v>
      </c>
      <c r="AX172">
        <v>0.84941299999999997</v>
      </c>
      <c r="AY172">
        <v>0.85994499999999996</v>
      </c>
      <c r="AZ172">
        <v>0.86530899999999999</v>
      </c>
      <c r="BA172">
        <v>0.867645</v>
      </c>
      <c r="BB172">
        <v>0.87548199999999998</v>
      </c>
      <c r="BC172">
        <v>0.88671100000000003</v>
      </c>
      <c r="BD172">
        <v>0.89334400000000003</v>
      </c>
      <c r="BE172">
        <v>0.89849400000000001</v>
      </c>
      <c r="BF172">
        <v>0.90337699999999999</v>
      </c>
      <c r="BG172">
        <v>0.90962399999999999</v>
      </c>
      <c r="BH172">
        <v>0.91380499999999998</v>
      </c>
      <c r="BI172" s="49">
        <v>1.7999999999999999E-2</v>
      </c>
    </row>
    <row r="173" spans="20:61" x14ac:dyDescent="0.5">
      <c r="T173" t="s">
        <v>395</v>
      </c>
      <c r="U173" t="s">
        <v>396</v>
      </c>
      <c r="V173" t="s">
        <v>117</v>
      </c>
      <c r="X173">
        <v>0.122737</v>
      </c>
      <c r="Y173">
        <v>0.15737499999999999</v>
      </c>
      <c r="Z173">
        <v>0.17056299999999999</v>
      </c>
      <c r="AA173">
        <v>0.172652</v>
      </c>
      <c r="AB173">
        <v>0.17885000000000001</v>
      </c>
      <c r="AC173">
        <v>0.19098300000000001</v>
      </c>
      <c r="AD173">
        <v>0.19484199999999999</v>
      </c>
      <c r="AE173">
        <v>0.19712399999999999</v>
      </c>
      <c r="AF173">
        <v>0.20170099999999999</v>
      </c>
      <c r="AG173">
        <v>0.207451</v>
      </c>
      <c r="AH173">
        <v>0.21215300000000001</v>
      </c>
      <c r="AI173">
        <v>0.21687500000000001</v>
      </c>
      <c r="AK173">
        <v>0.22108</v>
      </c>
      <c r="AM173">
        <v>0.22611899999999999</v>
      </c>
      <c r="AO173">
        <v>0.232372</v>
      </c>
      <c r="AQ173">
        <v>0.23718600000000001</v>
      </c>
      <c r="AR173">
        <v>0.24090600000000001</v>
      </c>
      <c r="AS173">
        <v>0.24548300000000001</v>
      </c>
      <c r="AV173">
        <v>0.25108200000000003</v>
      </c>
      <c r="AW173">
        <v>0.25680199999999997</v>
      </c>
      <c r="AX173">
        <v>0.26182899999999998</v>
      </c>
      <c r="AY173">
        <v>0.26910800000000001</v>
      </c>
      <c r="AZ173">
        <v>0.27564100000000002</v>
      </c>
      <c r="BA173">
        <v>0.28125800000000001</v>
      </c>
      <c r="BB173">
        <v>0.28877000000000003</v>
      </c>
      <c r="BC173">
        <v>0.29791899999999999</v>
      </c>
      <c r="BD173">
        <v>0.30584699999999998</v>
      </c>
      <c r="BE173">
        <v>0.314056</v>
      </c>
      <c r="BF173">
        <v>0.32208700000000001</v>
      </c>
      <c r="BG173">
        <v>0.32995400000000003</v>
      </c>
      <c r="BH173">
        <v>0.339283</v>
      </c>
      <c r="BI173" s="49">
        <v>3.4000000000000002E-2</v>
      </c>
    </row>
    <row r="174" spans="20:61" x14ac:dyDescent="0.5">
      <c r="T174" t="s">
        <v>397</v>
      </c>
      <c r="U174" t="s">
        <v>398</v>
      </c>
      <c r="V174" t="s">
        <v>117</v>
      </c>
      <c r="X174">
        <v>0.34920800000000002</v>
      </c>
      <c r="Y174">
        <v>0.41530299999999998</v>
      </c>
      <c r="Z174">
        <v>0.452656</v>
      </c>
      <c r="AA174">
        <v>0.451594</v>
      </c>
      <c r="AB174">
        <v>0.463864</v>
      </c>
      <c r="AC174">
        <v>0.48918299999999998</v>
      </c>
      <c r="AD174">
        <v>0.499774</v>
      </c>
      <c r="AE174">
        <v>0.49731700000000001</v>
      </c>
      <c r="AF174">
        <v>0.50344699999999998</v>
      </c>
      <c r="AG174">
        <v>0.51217299999999999</v>
      </c>
      <c r="AH174">
        <v>0.51496399999999998</v>
      </c>
      <c r="AI174">
        <v>0.52060300000000004</v>
      </c>
      <c r="AK174">
        <v>0.52257900000000002</v>
      </c>
      <c r="AM174">
        <v>0.52704600000000001</v>
      </c>
      <c r="AO174">
        <v>0.53369800000000001</v>
      </c>
      <c r="AQ174">
        <v>0.53659400000000002</v>
      </c>
      <c r="AR174">
        <v>0.53779999999999994</v>
      </c>
      <c r="AS174">
        <v>0.53902399999999995</v>
      </c>
      <c r="AV174">
        <v>0.54385600000000001</v>
      </c>
      <c r="AW174">
        <v>0.54615800000000003</v>
      </c>
      <c r="AX174">
        <v>0.54857400000000001</v>
      </c>
      <c r="AY174">
        <v>0.55536799999999997</v>
      </c>
      <c r="AZ174">
        <v>0.55882299999999996</v>
      </c>
      <c r="BA174">
        <v>0.56032199999999999</v>
      </c>
      <c r="BB174">
        <v>0.56537099999999996</v>
      </c>
      <c r="BC174">
        <v>0.57261099999999998</v>
      </c>
      <c r="BD174">
        <v>0.57688099999999998</v>
      </c>
      <c r="BE174">
        <v>0.58019299999999996</v>
      </c>
      <c r="BF174">
        <v>0.58332799999999996</v>
      </c>
      <c r="BG174">
        <v>0.58734799999999998</v>
      </c>
      <c r="BH174">
        <v>0.590028</v>
      </c>
      <c r="BI174" s="49">
        <v>1.7999999999999999E-2</v>
      </c>
    </row>
    <row r="175" spans="20:61" x14ac:dyDescent="0.5">
      <c r="T175" t="s">
        <v>399</v>
      </c>
      <c r="U175" t="s">
        <v>400</v>
      </c>
      <c r="V175" t="s">
        <v>117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  <c r="AM175">
        <v>0</v>
      </c>
      <c r="AO175">
        <v>0</v>
      </c>
      <c r="AQ175">
        <v>0</v>
      </c>
      <c r="AR175">
        <v>0</v>
      </c>
      <c r="AS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137</v>
      </c>
    </row>
    <row r="176" spans="20:61" x14ac:dyDescent="0.5">
      <c r="T176" t="s">
        <v>401</v>
      </c>
      <c r="U176" t="s">
        <v>402</v>
      </c>
      <c r="V176" t="s">
        <v>117</v>
      </c>
      <c r="X176">
        <v>5.9500000000000004E-4</v>
      </c>
      <c r="Y176">
        <v>9.2900000000000003E-4</v>
      </c>
      <c r="Z176">
        <v>1.3290000000000001E-3</v>
      </c>
      <c r="AA176">
        <v>1.73E-3</v>
      </c>
      <c r="AB176">
        <v>2.3140000000000001E-3</v>
      </c>
      <c r="AC176">
        <v>3.2039999999999998E-3</v>
      </c>
      <c r="AD176">
        <v>4.1549999999999998E-3</v>
      </c>
      <c r="AE176">
        <v>5.1869999999999998E-3</v>
      </c>
      <c r="AF176">
        <v>6.5209999999999999E-3</v>
      </c>
      <c r="AG176">
        <v>8.1239999999999993E-3</v>
      </c>
      <c r="AH176">
        <v>9.8580000000000004E-3</v>
      </c>
      <c r="AI176">
        <v>1.1806000000000001E-2</v>
      </c>
      <c r="AK176">
        <v>1.3802E-2</v>
      </c>
      <c r="AM176">
        <v>1.5921999999999999E-2</v>
      </c>
      <c r="AO176">
        <v>1.8127999999999998E-2</v>
      </c>
      <c r="AQ176">
        <v>2.0173E-2</v>
      </c>
      <c r="AR176">
        <v>2.2047000000000001E-2</v>
      </c>
      <c r="AS176">
        <v>2.3803000000000001E-2</v>
      </c>
      <c r="AV176">
        <v>2.5575000000000001E-2</v>
      </c>
      <c r="AW176">
        <v>2.7116999999999999E-2</v>
      </c>
      <c r="AX176">
        <v>2.8523E-2</v>
      </c>
      <c r="AY176">
        <v>3.0065999999999999E-2</v>
      </c>
      <c r="AZ176">
        <v>3.1366999999999999E-2</v>
      </c>
      <c r="BA176">
        <v>3.2474000000000003E-2</v>
      </c>
      <c r="BB176">
        <v>3.3727E-2</v>
      </c>
      <c r="BC176">
        <v>3.5062000000000003E-2</v>
      </c>
      <c r="BD176">
        <v>3.6186000000000003E-2</v>
      </c>
      <c r="BE176">
        <v>3.7268000000000003E-2</v>
      </c>
      <c r="BF176">
        <v>3.8318999999999999E-2</v>
      </c>
      <c r="BG176">
        <v>3.9350999999999997E-2</v>
      </c>
      <c r="BH176">
        <v>4.0312000000000001E-2</v>
      </c>
      <c r="BI176" s="49">
        <v>0.151</v>
      </c>
    </row>
    <row r="177" spans="20:61" x14ac:dyDescent="0.5">
      <c r="T177" t="s">
        <v>403</v>
      </c>
      <c r="U177" t="s">
        <v>404</v>
      </c>
      <c r="V177" t="s">
        <v>117</v>
      </c>
      <c r="X177">
        <v>106.734444</v>
      </c>
      <c r="Y177">
        <v>120.14737700000001</v>
      </c>
      <c r="Z177">
        <v>131.523438</v>
      </c>
      <c r="AA177">
        <v>132.19300799999999</v>
      </c>
      <c r="AB177">
        <v>136.78971899999999</v>
      </c>
      <c r="AC177">
        <v>148.59518399999999</v>
      </c>
      <c r="AD177">
        <v>167.39317299999999</v>
      </c>
      <c r="AE177">
        <v>173.13082900000001</v>
      </c>
      <c r="AF177">
        <v>177.80252100000001</v>
      </c>
      <c r="AG177">
        <v>183.404236</v>
      </c>
      <c r="AH177">
        <v>188.47586100000001</v>
      </c>
      <c r="AI177">
        <v>194.46139500000001</v>
      </c>
      <c r="AK177">
        <v>199.70524599999999</v>
      </c>
      <c r="AM177">
        <v>205.92529300000001</v>
      </c>
      <c r="AO177">
        <v>212.785492</v>
      </c>
      <c r="AQ177">
        <v>218.20062300000001</v>
      </c>
      <c r="AR177">
        <v>222.645905</v>
      </c>
      <c r="AS177">
        <v>227.19755599999999</v>
      </c>
      <c r="AV177">
        <v>232.98706100000001</v>
      </c>
      <c r="AW177">
        <v>237.713257</v>
      </c>
      <c r="AX177">
        <v>242.093613</v>
      </c>
      <c r="AY177">
        <v>247.44332900000001</v>
      </c>
      <c r="AZ177">
        <v>251.49807699999999</v>
      </c>
      <c r="BA177">
        <v>254.76765399999999</v>
      </c>
      <c r="BB177">
        <v>259.664917</v>
      </c>
      <c r="BC177">
        <v>265.63696299999998</v>
      </c>
      <c r="BD177">
        <v>270.41314699999998</v>
      </c>
      <c r="BE177">
        <v>274.89862099999999</v>
      </c>
      <c r="BF177">
        <v>279.50292999999999</v>
      </c>
      <c r="BG177">
        <v>284.497772</v>
      </c>
      <c r="BH177">
        <v>289.46816999999999</v>
      </c>
      <c r="BI177" s="49">
        <v>3.4000000000000002E-2</v>
      </c>
    </row>
    <row r="178" spans="20:61" x14ac:dyDescent="0.5">
      <c r="T178" t="s">
        <v>405</v>
      </c>
      <c r="U178" t="s">
        <v>406</v>
      </c>
      <c r="V178" t="s">
        <v>155</v>
      </c>
      <c r="X178">
        <v>12.58839</v>
      </c>
      <c r="Y178">
        <v>11.989001</v>
      </c>
      <c r="Z178">
        <v>11.944858</v>
      </c>
      <c r="AA178">
        <v>11.983076000000001</v>
      </c>
      <c r="AB178">
        <v>12.036457</v>
      </c>
      <c r="AC178">
        <v>12.360987</v>
      </c>
      <c r="AD178">
        <v>13.595249000000001</v>
      </c>
      <c r="AE178">
        <v>14.137988</v>
      </c>
      <c r="AF178">
        <v>14.357373000000001</v>
      </c>
      <c r="AG178">
        <v>14.580181</v>
      </c>
      <c r="AH178">
        <v>14.872992999999999</v>
      </c>
      <c r="AI178">
        <v>15.207698000000001</v>
      </c>
      <c r="AK178">
        <v>15.59591</v>
      </c>
      <c r="AM178">
        <v>15.984912</v>
      </c>
      <c r="AO178">
        <v>16.35763</v>
      </c>
      <c r="AQ178">
        <v>16.740134999999999</v>
      </c>
      <c r="AR178">
        <v>17.105104000000001</v>
      </c>
      <c r="AS178">
        <v>17.478701000000001</v>
      </c>
      <c r="AV178">
        <v>17.825559999999999</v>
      </c>
      <c r="AW178">
        <v>18.176238999999999</v>
      </c>
      <c r="AX178">
        <v>18.494398</v>
      </c>
      <c r="AY178">
        <v>18.737162000000001</v>
      </c>
      <c r="AZ178">
        <v>18.993065000000001</v>
      </c>
      <c r="BA178">
        <v>19.254845</v>
      </c>
      <c r="BB178">
        <v>19.519545000000001</v>
      </c>
      <c r="BC178">
        <v>19.785717000000002</v>
      </c>
      <c r="BD178">
        <v>20.066298</v>
      </c>
      <c r="BE178">
        <v>20.364198999999999</v>
      </c>
      <c r="BF178">
        <v>20.673718999999998</v>
      </c>
      <c r="BG178">
        <v>20.968299999999999</v>
      </c>
      <c r="BH178">
        <v>21.307137000000001</v>
      </c>
      <c r="BI178" s="49">
        <v>1.7999999999999999E-2</v>
      </c>
    </row>
    <row r="179" spans="20:61" x14ac:dyDescent="0.5">
      <c r="T179" t="s">
        <v>407</v>
      </c>
      <c r="U179" t="s">
        <v>408</v>
      </c>
      <c r="V179" t="s">
        <v>117</v>
      </c>
      <c r="X179">
        <v>847.88000499999998</v>
      </c>
      <c r="Y179">
        <v>1002.146667</v>
      </c>
      <c r="Z179">
        <v>1101.088379</v>
      </c>
      <c r="AA179">
        <v>1103.1641850000001</v>
      </c>
      <c r="AB179">
        <v>1136.4616699999999</v>
      </c>
      <c r="AC179">
        <v>1202.1304929999999</v>
      </c>
      <c r="AD179">
        <v>1231.2623289999999</v>
      </c>
      <c r="AE179">
        <v>1224.5789789999999</v>
      </c>
      <c r="AF179">
        <v>1238.4056399999999</v>
      </c>
      <c r="AG179">
        <v>1257.900879</v>
      </c>
      <c r="AH179">
        <v>1267.235596</v>
      </c>
      <c r="AI179">
        <v>1278.7037350000001</v>
      </c>
      <c r="AK179">
        <v>1280.4975589999999</v>
      </c>
      <c r="AM179">
        <v>1288.2479249999999</v>
      </c>
      <c r="AO179">
        <v>1300.833374</v>
      </c>
      <c r="AQ179">
        <v>1303.4580080000001</v>
      </c>
      <c r="AR179">
        <v>1301.6342770000001</v>
      </c>
      <c r="AS179">
        <v>1299.85376</v>
      </c>
      <c r="AV179">
        <v>1307.039307</v>
      </c>
      <c r="AW179">
        <v>1307.8242190000001</v>
      </c>
      <c r="AX179">
        <v>1309.0104980000001</v>
      </c>
      <c r="AY179">
        <v>1320.6020510000001</v>
      </c>
      <c r="AZ179">
        <v>1324.157471</v>
      </c>
      <c r="BA179">
        <v>1323.135254</v>
      </c>
      <c r="BB179">
        <v>1330.281616</v>
      </c>
      <c r="BC179">
        <v>1342.569336</v>
      </c>
      <c r="BD179">
        <v>1347.5986330000001</v>
      </c>
      <c r="BE179">
        <v>1349.9113769999999</v>
      </c>
      <c r="BF179">
        <v>1351.972168</v>
      </c>
      <c r="BG179">
        <v>1356.799438</v>
      </c>
      <c r="BH179">
        <v>1358.550293</v>
      </c>
      <c r="BI179" s="49">
        <v>1.6E-2</v>
      </c>
    </row>
    <row r="180" spans="20:61" x14ac:dyDescent="0.5">
      <c r="T180" t="s">
        <v>409</v>
      </c>
      <c r="U180" t="s">
        <v>410</v>
      </c>
      <c r="V180" t="s">
        <v>155</v>
      </c>
      <c r="X180">
        <v>10.406720999999999</v>
      </c>
      <c r="Y180">
        <v>10.140957</v>
      </c>
      <c r="Z180">
        <v>10.23024</v>
      </c>
      <c r="AA180">
        <v>10.383625</v>
      </c>
      <c r="AB180">
        <v>10.556488</v>
      </c>
      <c r="AC180">
        <v>10.921711999999999</v>
      </c>
      <c r="AD180">
        <v>11.924937</v>
      </c>
      <c r="AE180">
        <v>12.468031999999999</v>
      </c>
      <c r="AF180">
        <v>12.822511</v>
      </c>
      <c r="AG180">
        <v>13.141298000000001</v>
      </c>
      <c r="AH180">
        <v>13.503771</v>
      </c>
      <c r="AI180">
        <v>13.911395000000001</v>
      </c>
      <c r="AK180">
        <v>14.361872</v>
      </c>
      <c r="AM180">
        <v>14.832592</v>
      </c>
      <c r="AO180">
        <v>15.29429</v>
      </c>
      <c r="AQ180">
        <v>15.763332999999999</v>
      </c>
      <c r="AR180">
        <v>16.227025999999999</v>
      </c>
      <c r="AS180">
        <v>16.691462999999999</v>
      </c>
      <c r="AV180">
        <v>17.145689000000001</v>
      </c>
      <c r="AW180">
        <v>17.592068000000001</v>
      </c>
      <c r="AX180">
        <v>18.021388999999999</v>
      </c>
      <c r="AY180">
        <v>18.354807000000001</v>
      </c>
      <c r="AZ180">
        <v>18.689997000000002</v>
      </c>
      <c r="BA180">
        <v>19.040185999999999</v>
      </c>
      <c r="BB180">
        <v>19.390740999999998</v>
      </c>
      <c r="BC180">
        <v>19.746302</v>
      </c>
      <c r="BD180">
        <v>20.114063000000002</v>
      </c>
      <c r="BE180">
        <v>20.503675000000001</v>
      </c>
      <c r="BF180">
        <v>20.906642999999999</v>
      </c>
      <c r="BG180">
        <v>21.303184999999999</v>
      </c>
      <c r="BH180">
        <v>21.728110999999998</v>
      </c>
      <c r="BI180" s="49">
        <v>2.5000000000000001E-2</v>
      </c>
    </row>
    <row r="181" spans="20:61" x14ac:dyDescent="0.5">
      <c r="T181" t="s">
        <v>411</v>
      </c>
      <c r="U181" t="s">
        <v>412</v>
      </c>
      <c r="V181" t="s">
        <v>117</v>
      </c>
      <c r="X181">
        <v>9.2973339999999993</v>
      </c>
      <c r="Y181">
        <v>10.830112</v>
      </c>
      <c r="Z181">
        <v>11.874159000000001</v>
      </c>
      <c r="AA181">
        <v>11.966138000000001</v>
      </c>
      <c r="AB181">
        <v>12.642165</v>
      </c>
      <c r="AC181">
        <v>13.720017</v>
      </c>
      <c r="AD181">
        <v>14.507709999999999</v>
      </c>
      <c r="AE181">
        <v>14.993933</v>
      </c>
      <c r="AF181">
        <v>15.817959</v>
      </c>
      <c r="AG181">
        <v>16.79081</v>
      </c>
      <c r="AH181">
        <v>17.720925999999999</v>
      </c>
      <c r="AI181">
        <v>18.706866999999999</v>
      </c>
      <c r="AK181">
        <v>19.586359000000002</v>
      </c>
      <c r="AM181">
        <v>20.524087999999999</v>
      </c>
      <c r="AO181">
        <v>21.480689999999999</v>
      </c>
      <c r="AQ181">
        <v>22.232527000000001</v>
      </c>
      <c r="AR181">
        <v>22.82967</v>
      </c>
      <c r="AS181">
        <v>23.389061000000002</v>
      </c>
      <c r="AV181">
        <v>24.024111000000001</v>
      </c>
      <c r="AW181">
        <v>24.512391999999998</v>
      </c>
      <c r="AX181">
        <v>24.929114999999999</v>
      </c>
      <c r="AY181">
        <v>25.494347000000001</v>
      </c>
      <c r="AZ181">
        <v>25.908885999999999</v>
      </c>
      <c r="BA181">
        <v>26.208981999999999</v>
      </c>
      <c r="BB181">
        <v>26.658165</v>
      </c>
      <c r="BC181">
        <v>27.200624000000001</v>
      </c>
      <c r="BD181">
        <v>27.60183</v>
      </c>
      <c r="BE181">
        <v>27.958909999999999</v>
      </c>
      <c r="BF181">
        <v>28.309699999999999</v>
      </c>
      <c r="BG181">
        <v>28.666819</v>
      </c>
      <c r="BH181">
        <v>28.991078999999999</v>
      </c>
      <c r="BI181" s="49">
        <v>3.9E-2</v>
      </c>
    </row>
    <row r="182" spans="20:61" x14ac:dyDescent="0.5">
      <c r="T182" t="s">
        <v>413</v>
      </c>
      <c r="U182" t="s">
        <v>414</v>
      </c>
      <c r="V182" t="s">
        <v>117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</v>
      </c>
      <c r="AM182">
        <v>0</v>
      </c>
      <c r="AO182">
        <v>0</v>
      </c>
      <c r="AQ182">
        <v>0</v>
      </c>
      <c r="AR182">
        <v>0</v>
      </c>
      <c r="AS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t="s">
        <v>137</v>
      </c>
    </row>
    <row r="183" spans="20:61" x14ac:dyDescent="0.5">
      <c r="T183" t="s">
        <v>415</v>
      </c>
      <c r="U183" t="s">
        <v>416</v>
      </c>
      <c r="V183" t="s">
        <v>117</v>
      </c>
      <c r="X183">
        <v>1267.9453120000001</v>
      </c>
      <c r="Y183">
        <v>1439.953857</v>
      </c>
      <c r="Z183">
        <v>1536.2689210000001</v>
      </c>
      <c r="AA183">
        <v>1500.1868899999999</v>
      </c>
      <c r="AB183">
        <v>1516.141357</v>
      </c>
      <c r="AC183">
        <v>1574.8760990000001</v>
      </c>
      <c r="AD183">
        <v>1574.586182</v>
      </c>
      <c r="AE183">
        <v>1547.0356449999999</v>
      </c>
      <c r="AF183">
        <v>1550.588501</v>
      </c>
      <c r="AG183">
        <v>1563.0708010000001</v>
      </c>
      <c r="AH183">
        <v>1566.562134</v>
      </c>
      <c r="AI183">
        <v>1573.4486079999999</v>
      </c>
      <c r="AK183">
        <v>1570.0299070000001</v>
      </c>
      <c r="AM183">
        <v>1572.9782709999999</v>
      </c>
      <c r="AO183">
        <v>1580.0124510000001</v>
      </c>
      <c r="AQ183">
        <v>1574.986206</v>
      </c>
      <c r="AR183">
        <v>1562.965332</v>
      </c>
      <c r="AS183">
        <v>1552.6992190000001</v>
      </c>
      <c r="AV183">
        <v>1550.6342770000001</v>
      </c>
      <c r="AW183">
        <v>1542.3386230000001</v>
      </c>
      <c r="AX183">
        <v>1531.9039310000001</v>
      </c>
      <c r="AY183">
        <v>1534.234741</v>
      </c>
      <c r="AZ183">
        <v>1528.9019780000001</v>
      </c>
      <c r="BA183">
        <v>1517.910034</v>
      </c>
      <c r="BB183">
        <v>1516.3763429999999</v>
      </c>
      <c r="BC183">
        <v>1520.2308350000001</v>
      </c>
      <c r="BD183">
        <v>1516.2749020000001</v>
      </c>
      <c r="BE183">
        <v>1509.3170170000001</v>
      </c>
      <c r="BF183">
        <v>1502.3616939999999</v>
      </c>
      <c r="BG183">
        <v>1496.399658</v>
      </c>
      <c r="BH183">
        <v>1488.8386230000001</v>
      </c>
      <c r="BI183" s="49">
        <v>5.0000000000000001E-3</v>
      </c>
    </row>
    <row r="184" spans="20:61" x14ac:dyDescent="0.5">
      <c r="T184" t="s">
        <v>417</v>
      </c>
      <c r="U184" t="s">
        <v>418</v>
      </c>
      <c r="V184" t="s">
        <v>117</v>
      </c>
      <c r="X184">
        <v>4.6047169999999999</v>
      </c>
      <c r="Y184">
        <v>9.7886100000000003</v>
      </c>
      <c r="Z184">
        <v>13.363682000000001</v>
      </c>
      <c r="AA184">
        <v>12.508380000000001</v>
      </c>
      <c r="AB184">
        <v>12.903581000000001</v>
      </c>
      <c r="AC184">
        <v>13.732571999999999</v>
      </c>
      <c r="AD184">
        <v>13.838824000000001</v>
      </c>
      <c r="AE184">
        <v>13.693243000000001</v>
      </c>
      <c r="AF184">
        <v>14.114103</v>
      </c>
      <c r="AG184">
        <v>14.501863</v>
      </c>
      <c r="AH184">
        <v>15.038325</v>
      </c>
      <c r="AI184">
        <v>15.304869999999999</v>
      </c>
      <c r="AK184">
        <v>15.576946</v>
      </c>
      <c r="AM184">
        <v>15.993814</v>
      </c>
      <c r="AO184">
        <v>16.372834999999998</v>
      </c>
      <c r="AQ184">
        <v>16.544422000000001</v>
      </c>
      <c r="AR184">
        <v>16.579509999999999</v>
      </c>
      <c r="AS184">
        <v>16.692782999999999</v>
      </c>
      <c r="AV184">
        <v>16.933499999999999</v>
      </c>
      <c r="AW184">
        <v>16.976268999999998</v>
      </c>
      <c r="AX184">
        <v>16.931995000000001</v>
      </c>
      <c r="AY184">
        <v>17.111166000000001</v>
      </c>
      <c r="AZ184">
        <v>17.290776999999999</v>
      </c>
      <c r="BA184">
        <v>17.237846000000001</v>
      </c>
      <c r="BB184">
        <v>17.303978000000001</v>
      </c>
      <c r="BC184">
        <v>17.529221</v>
      </c>
      <c r="BD184">
        <v>17.548271</v>
      </c>
      <c r="BE184">
        <v>17.764437000000001</v>
      </c>
      <c r="BF184">
        <v>17.694254000000001</v>
      </c>
      <c r="BG184">
        <v>17.581544999999998</v>
      </c>
      <c r="BH184">
        <v>17.601322</v>
      </c>
      <c r="BI184" s="49">
        <v>4.5999999999999999E-2</v>
      </c>
    </row>
    <row r="185" spans="20:61" x14ac:dyDescent="0.5">
      <c r="T185" t="s">
        <v>419</v>
      </c>
      <c r="U185" t="s">
        <v>420</v>
      </c>
      <c r="V185" t="s">
        <v>117</v>
      </c>
      <c r="X185">
        <v>84.109367000000006</v>
      </c>
      <c r="Y185">
        <v>90.695617999999996</v>
      </c>
      <c r="Z185">
        <v>98.679962000000003</v>
      </c>
      <c r="AA185">
        <v>98.176460000000006</v>
      </c>
      <c r="AB185">
        <v>100.591324</v>
      </c>
      <c r="AC185">
        <v>105.670723</v>
      </c>
      <c r="AD185">
        <v>106.74588799999999</v>
      </c>
      <c r="AE185">
        <v>105.602356</v>
      </c>
      <c r="AF185">
        <v>106.53804</v>
      </c>
      <c r="AG185">
        <v>108.01617400000001</v>
      </c>
      <c r="AH185">
        <v>108.59440600000001</v>
      </c>
      <c r="AI185">
        <v>109.41239899999999</v>
      </c>
      <c r="AK185">
        <v>109.42981</v>
      </c>
      <c r="AM185">
        <v>109.932541</v>
      </c>
      <c r="AO185">
        <v>110.73342100000001</v>
      </c>
      <c r="AQ185">
        <v>110.777878</v>
      </c>
      <c r="AR185">
        <v>110.402451</v>
      </c>
      <c r="AS185">
        <v>110.08066599999999</v>
      </c>
      <c r="AV185">
        <v>110.46906300000001</v>
      </c>
      <c r="AW185">
        <v>110.331879</v>
      </c>
      <c r="AX185">
        <v>110.181854</v>
      </c>
      <c r="AY185">
        <v>110.948311</v>
      </c>
      <c r="AZ185">
        <v>111.061852</v>
      </c>
      <c r="BA185">
        <v>110.784576</v>
      </c>
      <c r="BB185">
        <v>111.190704</v>
      </c>
      <c r="BC185">
        <v>112.00862100000001</v>
      </c>
      <c r="BD185">
        <v>112.230301</v>
      </c>
      <c r="BE185">
        <v>112.21563</v>
      </c>
      <c r="BF185">
        <v>112.18868999999999</v>
      </c>
      <c r="BG185">
        <v>112.329216</v>
      </c>
      <c r="BH185">
        <v>112.220985</v>
      </c>
      <c r="BI185" s="49">
        <v>0.01</v>
      </c>
    </row>
    <row r="186" spans="20:61" x14ac:dyDescent="0.5">
      <c r="T186" t="s">
        <v>421</v>
      </c>
      <c r="U186" t="s">
        <v>422</v>
      </c>
      <c r="V186" t="s">
        <v>117</v>
      </c>
      <c r="X186">
        <v>17.283505999999999</v>
      </c>
      <c r="Y186">
        <v>17.614464000000002</v>
      </c>
      <c r="Z186">
        <v>18.113989</v>
      </c>
      <c r="AA186">
        <v>17.470285000000001</v>
      </c>
      <c r="AB186">
        <v>18.430862000000001</v>
      </c>
      <c r="AC186">
        <v>19.767885</v>
      </c>
      <c r="AD186">
        <v>21.061319000000001</v>
      </c>
      <c r="AE186">
        <v>22.362202</v>
      </c>
      <c r="AF186">
        <v>24.879622999999999</v>
      </c>
      <c r="AG186">
        <v>28.186996000000001</v>
      </c>
      <c r="AH186">
        <v>31.936015999999999</v>
      </c>
      <c r="AI186">
        <v>36.504317999999998</v>
      </c>
      <c r="AK186">
        <v>41.455471000000003</v>
      </c>
      <c r="AM186">
        <v>47.198242</v>
      </c>
      <c r="AO186">
        <v>53.263336000000002</v>
      </c>
      <c r="AQ186">
        <v>59.153511000000002</v>
      </c>
      <c r="AR186">
        <v>64.881287</v>
      </c>
      <c r="AS186">
        <v>70.708809000000002</v>
      </c>
      <c r="AV186">
        <v>76.918105999999995</v>
      </c>
      <c r="AW186">
        <v>82.677978999999993</v>
      </c>
      <c r="AX186">
        <v>88.118645000000001</v>
      </c>
      <c r="AY186">
        <v>92.499251999999998</v>
      </c>
      <c r="AZ186">
        <v>96.449928</v>
      </c>
      <c r="BA186">
        <v>100.25612599999999</v>
      </c>
      <c r="BB186">
        <v>104.63500999999999</v>
      </c>
      <c r="BC186">
        <v>109.48981499999999</v>
      </c>
      <c r="BD186">
        <v>113.93064099999999</v>
      </c>
      <c r="BE186">
        <v>118.510887</v>
      </c>
      <c r="BF186">
        <v>123.22792099999999</v>
      </c>
      <c r="BG186">
        <v>127.905846</v>
      </c>
      <c r="BH186">
        <v>132.74363700000001</v>
      </c>
      <c r="BI186" s="49">
        <v>7.0000000000000007E-2</v>
      </c>
    </row>
    <row r="187" spans="20:61" x14ac:dyDescent="0.5">
      <c r="T187" t="s">
        <v>423</v>
      </c>
      <c r="U187" t="s">
        <v>424</v>
      </c>
      <c r="V187" t="s">
        <v>117</v>
      </c>
      <c r="X187">
        <v>6.5203230000000003</v>
      </c>
      <c r="Y187">
        <v>7.974056</v>
      </c>
      <c r="Z187">
        <v>8.0553819999999998</v>
      </c>
      <c r="AA187">
        <v>7.6588409999999998</v>
      </c>
      <c r="AB187">
        <v>7.5368750000000002</v>
      </c>
      <c r="AC187">
        <v>10.749603</v>
      </c>
      <c r="AD187">
        <v>21.197603000000001</v>
      </c>
      <c r="AE187">
        <v>24.446857000000001</v>
      </c>
      <c r="AF187">
        <v>25.652096</v>
      </c>
      <c r="AG187">
        <v>26.156485</v>
      </c>
      <c r="AH187">
        <v>26.691040000000001</v>
      </c>
      <c r="AI187">
        <v>27.439297</v>
      </c>
      <c r="AK187">
        <v>28.316904000000001</v>
      </c>
      <c r="AM187">
        <v>29.212295999999998</v>
      </c>
      <c r="AO187">
        <v>30.043993</v>
      </c>
      <c r="AQ187">
        <v>30.583103000000001</v>
      </c>
      <c r="AR187">
        <v>30.856007000000002</v>
      </c>
      <c r="AS187">
        <v>31.157489999999999</v>
      </c>
      <c r="AV187">
        <v>31.483955000000002</v>
      </c>
      <c r="AW187">
        <v>31.675249000000001</v>
      </c>
      <c r="AX187">
        <v>31.693275</v>
      </c>
      <c r="AY187">
        <v>31.714548000000001</v>
      </c>
      <c r="AZ187">
        <v>31.655671999999999</v>
      </c>
      <c r="BA187">
        <v>31.504116</v>
      </c>
      <c r="BB187">
        <v>31.557337</v>
      </c>
      <c r="BC187">
        <v>31.746559000000001</v>
      </c>
      <c r="BD187">
        <v>31.834364000000001</v>
      </c>
      <c r="BE187">
        <v>31.950426</v>
      </c>
      <c r="BF187">
        <v>32.114398999999999</v>
      </c>
      <c r="BG187">
        <v>32.311928000000002</v>
      </c>
      <c r="BH187">
        <v>32.652645</v>
      </c>
      <c r="BI187" s="49">
        <v>5.5E-2</v>
      </c>
    </row>
    <row r="188" spans="20:61" x14ac:dyDescent="0.5">
      <c r="T188" t="s">
        <v>425</v>
      </c>
      <c r="U188" t="s">
        <v>426</v>
      </c>
      <c r="V188" t="s">
        <v>117</v>
      </c>
      <c r="X188">
        <v>38.333621999999998</v>
      </c>
      <c r="Y188">
        <v>45.520995999999997</v>
      </c>
      <c r="Z188">
        <v>49.793700999999999</v>
      </c>
      <c r="AA188">
        <v>50.036793000000003</v>
      </c>
      <c r="AB188">
        <v>51.933052000000004</v>
      </c>
      <c r="AC188">
        <v>56.512028000000001</v>
      </c>
      <c r="AD188">
        <v>63.945076</v>
      </c>
      <c r="AE188">
        <v>67.791145</v>
      </c>
      <c r="AF188">
        <v>70.936240999999995</v>
      </c>
      <c r="AG188">
        <v>74.137626999999995</v>
      </c>
      <c r="AH188">
        <v>77.485741000000004</v>
      </c>
      <c r="AI188">
        <v>81.128478999999999</v>
      </c>
      <c r="AK188">
        <v>84.438537999999994</v>
      </c>
      <c r="AM188">
        <v>88.082549999999998</v>
      </c>
      <c r="AO188">
        <v>91.851662000000005</v>
      </c>
      <c r="AQ188">
        <v>94.940025000000006</v>
      </c>
      <c r="AR188">
        <v>97.437752000000003</v>
      </c>
      <c r="AS188">
        <v>100.093323</v>
      </c>
      <c r="AV188">
        <v>103.091583</v>
      </c>
      <c r="AW188">
        <v>105.746773</v>
      </c>
      <c r="AX188">
        <v>108.02969400000001</v>
      </c>
      <c r="AY188">
        <v>111.109436</v>
      </c>
      <c r="AZ188">
        <v>113.733482</v>
      </c>
      <c r="BA188">
        <v>115.973412</v>
      </c>
      <c r="BB188">
        <v>119.00232699999999</v>
      </c>
      <c r="BC188">
        <v>122.53713999999999</v>
      </c>
      <c r="BD188">
        <v>125.592949</v>
      </c>
      <c r="BE188">
        <v>128.56153900000001</v>
      </c>
      <c r="BF188">
        <v>131.61686700000001</v>
      </c>
      <c r="BG188">
        <v>134.618729</v>
      </c>
      <c r="BH188">
        <v>137.87970000000001</v>
      </c>
      <c r="BI188" s="49">
        <v>4.3999999999999997E-2</v>
      </c>
    </row>
    <row r="189" spans="20:61" x14ac:dyDescent="0.5">
      <c r="T189" t="s">
        <v>427</v>
      </c>
      <c r="U189" t="s">
        <v>428</v>
      </c>
      <c r="V189" t="s">
        <v>117</v>
      </c>
      <c r="X189">
        <v>1.5451779999999999</v>
      </c>
      <c r="Y189">
        <v>1.7815810000000001</v>
      </c>
      <c r="Z189">
        <v>1.928437</v>
      </c>
      <c r="AA189">
        <v>1.901769</v>
      </c>
      <c r="AB189">
        <v>1.9399280000000001</v>
      </c>
      <c r="AC189">
        <v>2.0372469999999998</v>
      </c>
      <c r="AD189">
        <v>2.0703279999999999</v>
      </c>
      <c r="AE189">
        <v>2.0564589999999998</v>
      </c>
      <c r="AF189">
        <v>2.080009</v>
      </c>
      <c r="AG189">
        <v>2.114681</v>
      </c>
      <c r="AH189">
        <v>2.1353300000000002</v>
      </c>
      <c r="AI189">
        <v>2.162493</v>
      </c>
      <c r="AK189">
        <v>2.1771479999999999</v>
      </c>
      <c r="AM189">
        <v>2.2024919999999999</v>
      </c>
      <c r="AO189">
        <v>2.2347260000000002</v>
      </c>
      <c r="AQ189">
        <v>2.250718</v>
      </c>
      <c r="AR189">
        <v>2.257898</v>
      </c>
      <c r="AS189">
        <v>2.266896</v>
      </c>
      <c r="AV189">
        <v>2.2891180000000002</v>
      </c>
      <c r="AW189">
        <v>2.3018540000000001</v>
      </c>
      <c r="AX189">
        <v>2.3125369999999998</v>
      </c>
      <c r="AY189">
        <v>2.3400539999999999</v>
      </c>
      <c r="AZ189">
        <v>2.3559000000000001</v>
      </c>
      <c r="BA189">
        <v>2.3637760000000001</v>
      </c>
      <c r="BB189">
        <v>2.3864719999999999</v>
      </c>
      <c r="BC189">
        <v>2.419057</v>
      </c>
      <c r="BD189">
        <v>2.4396420000000001</v>
      </c>
      <c r="BE189">
        <v>2.457551</v>
      </c>
      <c r="BF189">
        <v>2.4750700000000001</v>
      </c>
      <c r="BG189">
        <v>2.4940009999999999</v>
      </c>
      <c r="BH189">
        <v>2.5108030000000001</v>
      </c>
      <c r="BI189" s="49">
        <v>1.6E-2</v>
      </c>
    </row>
    <row r="190" spans="20:61" x14ac:dyDescent="0.5">
      <c r="T190" t="s">
        <v>429</v>
      </c>
      <c r="U190" t="s">
        <v>430</v>
      </c>
      <c r="V190" t="s">
        <v>117</v>
      </c>
      <c r="X190">
        <v>2.1269E-2</v>
      </c>
      <c r="Y190">
        <v>2.2596000000000002E-2</v>
      </c>
      <c r="Z190">
        <v>2.5989999999999999E-2</v>
      </c>
      <c r="AA190">
        <v>2.8084999999999999E-2</v>
      </c>
      <c r="AB190">
        <v>3.2056000000000001E-2</v>
      </c>
      <c r="AC190">
        <v>3.8696000000000001E-2</v>
      </c>
      <c r="AD190">
        <v>4.4826999999999999E-2</v>
      </c>
      <c r="AE190">
        <v>5.083E-2</v>
      </c>
      <c r="AF190">
        <v>5.8473999999999998E-2</v>
      </c>
      <c r="AG190">
        <v>6.7043000000000005E-2</v>
      </c>
      <c r="AH190">
        <v>7.6566999999999996E-2</v>
      </c>
      <c r="AI190">
        <v>8.5945999999999995E-2</v>
      </c>
      <c r="AK190">
        <v>9.5029000000000002E-2</v>
      </c>
      <c r="AM190">
        <v>0.104187</v>
      </c>
      <c r="AO190">
        <v>0.11294</v>
      </c>
      <c r="AQ190">
        <v>0.120271</v>
      </c>
      <c r="AR190">
        <v>0.12620500000000001</v>
      </c>
      <c r="AS190">
        <v>0.131769</v>
      </c>
      <c r="AV190">
        <v>0.137241</v>
      </c>
      <c r="AW190">
        <v>0.14168700000000001</v>
      </c>
      <c r="AX190">
        <v>0.14521600000000001</v>
      </c>
      <c r="AY190">
        <v>0.149253</v>
      </c>
      <c r="AZ190">
        <v>0.152556</v>
      </c>
      <c r="BA190">
        <v>0.15512699999999999</v>
      </c>
      <c r="BB190">
        <v>0.15849199999999999</v>
      </c>
      <c r="BC190">
        <v>0.16239100000000001</v>
      </c>
      <c r="BD190">
        <v>0.16547700000000001</v>
      </c>
      <c r="BE190">
        <v>0.168433</v>
      </c>
      <c r="BF190">
        <v>0.171429</v>
      </c>
      <c r="BG190">
        <v>0.17413000000000001</v>
      </c>
      <c r="BH190">
        <v>0.176812</v>
      </c>
      <c r="BI190" s="49">
        <v>7.2999999999999995E-2</v>
      </c>
    </row>
    <row r="191" spans="20:61" x14ac:dyDescent="0.5">
      <c r="T191" t="s">
        <v>431</v>
      </c>
      <c r="U191" t="s">
        <v>432</v>
      </c>
      <c r="V191" t="s">
        <v>117</v>
      </c>
      <c r="X191">
        <v>1420.3632809999999</v>
      </c>
      <c r="Y191">
        <v>1613.3516850000001</v>
      </c>
      <c r="Z191">
        <v>1726.2299800000001</v>
      </c>
      <c r="AA191">
        <v>1687.967529</v>
      </c>
      <c r="AB191">
        <v>1709.509033</v>
      </c>
      <c r="AC191">
        <v>1783.38501</v>
      </c>
      <c r="AD191">
        <v>1803.4902340000001</v>
      </c>
      <c r="AE191">
        <v>1783.0386960000001</v>
      </c>
      <c r="AF191">
        <v>1794.8470460000001</v>
      </c>
      <c r="AG191">
        <v>1816.251587</v>
      </c>
      <c r="AH191">
        <v>1828.5195309999999</v>
      </c>
      <c r="AI191">
        <v>1845.486572</v>
      </c>
      <c r="AK191">
        <v>1851.519775</v>
      </c>
      <c r="AM191">
        <v>1865.7044679999999</v>
      </c>
      <c r="AO191">
        <v>1884.625366</v>
      </c>
      <c r="AQ191">
        <v>1889.3562010000001</v>
      </c>
      <c r="AR191">
        <v>1885.50647</v>
      </c>
      <c r="AS191">
        <v>1883.830933</v>
      </c>
      <c r="AV191">
        <v>1891.9567870000001</v>
      </c>
      <c r="AW191">
        <v>1892.190308</v>
      </c>
      <c r="AX191">
        <v>1889.317139</v>
      </c>
      <c r="AY191">
        <v>1900.106812</v>
      </c>
      <c r="AZ191">
        <v>1901.6020510000001</v>
      </c>
      <c r="BA191">
        <v>1896.1850589999999</v>
      </c>
      <c r="BB191">
        <v>1902.6108400000001</v>
      </c>
      <c r="BC191">
        <v>1916.1235349999999</v>
      </c>
      <c r="BD191">
        <v>1920.0164789999999</v>
      </c>
      <c r="BE191">
        <v>1920.945923</v>
      </c>
      <c r="BF191">
        <v>1921.85022</v>
      </c>
      <c r="BG191">
        <v>1923.8149410000001</v>
      </c>
      <c r="BH191">
        <v>1924.6245120000001</v>
      </c>
      <c r="BI191" s="49">
        <v>0.01</v>
      </c>
    </row>
    <row r="192" spans="20:61" x14ac:dyDescent="0.5">
      <c r="T192" t="s">
        <v>433</v>
      </c>
      <c r="U192" t="s">
        <v>434</v>
      </c>
      <c r="V192" t="s">
        <v>117</v>
      </c>
      <c r="X192">
        <v>488.144745</v>
      </c>
      <c r="Y192">
        <v>605.90765399999998</v>
      </c>
      <c r="Z192">
        <v>704.91375700000003</v>
      </c>
      <c r="AA192">
        <v>746.95715299999995</v>
      </c>
      <c r="AB192">
        <v>814.88726799999995</v>
      </c>
      <c r="AC192">
        <v>862.25256300000001</v>
      </c>
      <c r="AD192">
        <v>903.625854</v>
      </c>
      <c r="AE192">
        <v>886.39904799999999</v>
      </c>
      <c r="AF192">
        <v>887.52832000000001</v>
      </c>
      <c r="AG192">
        <v>893.93280000000004</v>
      </c>
      <c r="AH192">
        <v>895.60925299999997</v>
      </c>
      <c r="AI192">
        <v>899.12048300000004</v>
      </c>
      <c r="AK192">
        <v>897.04058799999996</v>
      </c>
      <c r="AM192">
        <v>898.53680399999996</v>
      </c>
      <c r="AO192">
        <v>902.13543700000002</v>
      </c>
      <c r="AQ192">
        <v>899.01886000000002</v>
      </c>
      <c r="AR192">
        <v>891.79589799999997</v>
      </c>
      <c r="AS192">
        <v>886.25799600000005</v>
      </c>
      <c r="AV192">
        <v>884.85656700000004</v>
      </c>
      <c r="AW192">
        <v>881.13317900000004</v>
      </c>
      <c r="AX192">
        <v>875.81945800000005</v>
      </c>
      <c r="AY192">
        <v>877.21704099999999</v>
      </c>
      <c r="AZ192">
        <v>874.86852999999996</v>
      </c>
      <c r="BA192">
        <v>868.18878199999995</v>
      </c>
      <c r="BB192">
        <v>867.05242899999996</v>
      </c>
      <c r="BC192">
        <v>868.84759499999996</v>
      </c>
      <c r="BD192">
        <v>866.25836200000003</v>
      </c>
      <c r="BE192">
        <v>861.96105999999997</v>
      </c>
      <c r="BF192">
        <v>857.94366500000001</v>
      </c>
      <c r="BG192">
        <v>854.69976799999995</v>
      </c>
      <c r="BH192">
        <v>850.47186299999998</v>
      </c>
      <c r="BI192" s="49">
        <v>1.9E-2</v>
      </c>
    </row>
    <row r="193" spans="20:61" x14ac:dyDescent="0.5">
      <c r="T193" t="s">
        <v>435</v>
      </c>
      <c r="U193" t="s">
        <v>436</v>
      </c>
      <c r="V193" t="s">
        <v>117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</v>
      </c>
      <c r="AM193">
        <v>0</v>
      </c>
      <c r="AO193">
        <v>0</v>
      </c>
      <c r="AQ193">
        <v>0</v>
      </c>
      <c r="AR193">
        <v>0</v>
      </c>
      <c r="AS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137</v>
      </c>
    </row>
    <row r="194" spans="20:61" x14ac:dyDescent="0.5">
      <c r="T194" t="s">
        <v>437</v>
      </c>
      <c r="U194" t="s">
        <v>438</v>
      </c>
      <c r="V194" t="s">
        <v>117</v>
      </c>
      <c r="X194">
        <v>640.56274399999995</v>
      </c>
      <c r="Y194">
        <v>779.30542000000003</v>
      </c>
      <c r="Z194">
        <v>894.87487799999997</v>
      </c>
      <c r="AA194">
        <v>934.73791500000004</v>
      </c>
      <c r="AB194">
        <v>1008.2548829999999</v>
      </c>
      <c r="AC194">
        <v>1070.7613530000001</v>
      </c>
      <c r="AD194">
        <v>1132.5297849999999</v>
      </c>
      <c r="AE194">
        <v>1122.4023440000001</v>
      </c>
      <c r="AF194">
        <v>1131.786987</v>
      </c>
      <c r="AG194">
        <v>1147.1137699999999</v>
      </c>
      <c r="AH194">
        <v>1157.5667719999999</v>
      </c>
      <c r="AI194">
        <v>1171.1583250000001</v>
      </c>
      <c r="AK194">
        <v>1178.5303960000001</v>
      </c>
      <c r="AM194">
        <v>1191.262939</v>
      </c>
      <c r="AO194">
        <v>1206.7482910000001</v>
      </c>
      <c r="AQ194">
        <v>1213.388794</v>
      </c>
      <c r="AR194">
        <v>1214.336914</v>
      </c>
      <c r="AS194">
        <v>1217.3896480000001</v>
      </c>
      <c r="AV194">
        <v>1226.1791989999999</v>
      </c>
      <c r="AW194">
        <v>1230.9848629999999</v>
      </c>
      <c r="AX194">
        <v>1233.232544</v>
      </c>
      <c r="AY194">
        <v>1243.0889890000001</v>
      </c>
      <c r="AZ194">
        <v>1247.568726</v>
      </c>
      <c r="BA194">
        <v>1246.463745</v>
      </c>
      <c r="BB194">
        <v>1253.2867429999999</v>
      </c>
      <c r="BC194">
        <v>1264.740356</v>
      </c>
      <c r="BD194">
        <v>1270</v>
      </c>
      <c r="BE194">
        <v>1273.589966</v>
      </c>
      <c r="BF194">
        <v>1277.432251</v>
      </c>
      <c r="BG194">
        <v>1282.1152340000001</v>
      </c>
      <c r="BH194">
        <v>1286.2578120000001</v>
      </c>
      <c r="BI194" s="49">
        <v>2.4E-2</v>
      </c>
    </row>
    <row r="198" spans="20:61" x14ac:dyDescent="0.5">
      <c r="T198" s="25" t="s">
        <v>439</v>
      </c>
    </row>
    <row r="199" spans="20:61" x14ac:dyDescent="0.5">
      <c r="T199" t="s">
        <v>110</v>
      </c>
      <c r="U199" t="s">
        <v>218</v>
      </c>
      <c r="V199" t="s">
        <v>111</v>
      </c>
      <c r="W199">
        <v>2019</v>
      </c>
      <c r="X199">
        <v>2020</v>
      </c>
      <c r="Y199">
        <v>2021</v>
      </c>
      <c r="Z199">
        <v>2022</v>
      </c>
      <c r="AA199">
        <v>2023</v>
      </c>
      <c r="AB199">
        <v>2024</v>
      </c>
      <c r="AC199">
        <v>2025</v>
      </c>
      <c r="AD199">
        <v>2026</v>
      </c>
      <c r="AE199">
        <v>2027</v>
      </c>
      <c r="AF199">
        <v>2028</v>
      </c>
      <c r="AG199">
        <v>2029</v>
      </c>
      <c r="AH199">
        <v>2030</v>
      </c>
      <c r="AI199">
        <v>2031</v>
      </c>
      <c r="AK199">
        <v>2032</v>
      </c>
      <c r="AM199">
        <v>2033</v>
      </c>
      <c r="AO199">
        <v>2034</v>
      </c>
      <c r="AQ199">
        <v>2035</v>
      </c>
      <c r="AR199">
        <v>2036</v>
      </c>
      <c r="AS199">
        <v>2037</v>
      </c>
      <c r="AV199">
        <v>2038</v>
      </c>
      <c r="AW199">
        <v>2039</v>
      </c>
      <c r="AX199">
        <v>2040</v>
      </c>
      <c r="AY199">
        <v>2041</v>
      </c>
      <c r="AZ199">
        <v>2042</v>
      </c>
      <c r="BA199">
        <v>2043</v>
      </c>
      <c r="BB199">
        <v>2044</v>
      </c>
      <c r="BC199">
        <v>2045</v>
      </c>
      <c r="BD199">
        <v>2046</v>
      </c>
      <c r="BE199">
        <v>2047</v>
      </c>
      <c r="BF199">
        <v>2048</v>
      </c>
      <c r="BG199">
        <v>2049</v>
      </c>
      <c r="BH199">
        <v>2050</v>
      </c>
      <c r="BI199" t="s">
        <v>112</v>
      </c>
    </row>
    <row r="200" spans="20:61" x14ac:dyDescent="0.5">
      <c r="U200" t="s">
        <v>219</v>
      </c>
    </row>
    <row r="201" spans="20:61" x14ac:dyDescent="0.5">
      <c r="T201" t="s">
        <v>440</v>
      </c>
      <c r="U201" t="s">
        <v>441</v>
      </c>
      <c r="V201" t="s">
        <v>117</v>
      </c>
      <c r="X201">
        <v>506.167236</v>
      </c>
      <c r="Y201">
        <v>543.81085199999995</v>
      </c>
      <c r="Z201">
        <v>604.40527299999997</v>
      </c>
      <c r="AA201">
        <v>597.52825900000005</v>
      </c>
      <c r="AB201">
        <v>597.10943599999996</v>
      </c>
      <c r="AC201">
        <v>604.521973</v>
      </c>
      <c r="AD201">
        <v>598.72308299999997</v>
      </c>
      <c r="AE201">
        <v>590.45666500000004</v>
      </c>
      <c r="AF201">
        <v>595.81457499999999</v>
      </c>
      <c r="AG201">
        <v>599.28131099999996</v>
      </c>
      <c r="AH201">
        <v>603.70892300000003</v>
      </c>
      <c r="AI201">
        <v>607.87786900000003</v>
      </c>
      <c r="AK201">
        <v>608.47210700000005</v>
      </c>
      <c r="AM201">
        <v>609.770081</v>
      </c>
      <c r="AO201">
        <v>611.07629399999996</v>
      </c>
      <c r="AQ201">
        <v>606.71673599999997</v>
      </c>
      <c r="AR201">
        <v>600.94018600000004</v>
      </c>
      <c r="AS201">
        <v>596.12188700000002</v>
      </c>
      <c r="AV201">
        <v>592.47955300000001</v>
      </c>
      <c r="AW201">
        <v>586.53826900000001</v>
      </c>
      <c r="AX201">
        <v>581.43627900000001</v>
      </c>
      <c r="AY201">
        <v>580.369507</v>
      </c>
      <c r="AZ201">
        <v>580.07739300000003</v>
      </c>
      <c r="BA201">
        <v>573.61614999999995</v>
      </c>
      <c r="BB201">
        <v>568.84124799999995</v>
      </c>
      <c r="BC201">
        <v>568.63574200000005</v>
      </c>
      <c r="BD201">
        <v>565.22406000000001</v>
      </c>
      <c r="BE201">
        <v>557.86895800000002</v>
      </c>
      <c r="BF201">
        <v>552.83520499999997</v>
      </c>
      <c r="BG201">
        <v>543.13324</v>
      </c>
      <c r="BH201">
        <v>533.53949</v>
      </c>
      <c r="BI201" s="49">
        <v>2E-3</v>
      </c>
    </row>
    <row r="202" spans="20:61" x14ac:dyDescent="0.5">
      <c r="T202" t="s">
        <v>442</v>
      </c>
      <c r="U202" t="s">
        <v>443</v>
      </c>
      <c r="V202" t="s">
        <v>117</v>
      </c>
      <c r="X202">
        <v>8.8669999999999999E-3</v>
      </c>
      <c r="Y202">
        <v>8.5810000000000001E-3</v>
      </c>
      <c r="Z202">
        <v>1.0113E-2</v>
      </c>
      <c r="AA202">
        <v>9.7169999999999999E-3</v>
      </c>
      <c r="AB202">
        <v>9.4140000000000005E-3</v>
      </c>
      <c r="AC202">
        <v>9.4190000000000003E-3</v>
      </c>
      <c r="AD202">
        <v>9.4570000000000001E-3</v>
      </c>
      <c r="AE202">
        <v>9.2180000000000005E-3</v>
      </c>
      <c r="AF202">
        <v>9.3089999999999996E-3</v>
      </c>
      <c r="AG202">
        <v>9.4109999999999992E-3</v>
      </c>
      <c r="AH202">
        <v>9.6349999999999995E-3</v>
      </c>
      <c r="AI202">
        <v>9.7380000000000001E-3</v>
      </c>
      <c r="AK202">
        <v>9.7179999999999992E-3</v>
      </c>
      <c r="AM202">
        <v>9.7649999999999994E-3</v>
      </c>
      <c r="AO202">
        <v>9.8539999999999999E-3</v>
      </c>
      <c r="AQ202">
        <v>9.8720000000000006E-3</v>
      </c>
      <c r="AR202">
        <v>9.8750000000000001E-3</v>
      </c>
      <c r="AS202">
        <v>9.8139999999999998E-3</v>
      </c>
      <c r="AV202">
        <v>9.7839999999999993E-3</v>
      </c>
      <c r="AW202">
        <v>9.7699999999999992E-3</v>
      </c>
      <c r="AX202">
        <v>9.5700000000000004E-3</v>
      </c>
      <c r="AY202">
        <v>9.5980000000000006E-3</v>
      </c>
      <c r="AZ202">
        <v>9.613E-3</v>
      </c>
      <c r="BA202">
        <v>9.4330000000000004E-3</v>
      </c>
      <c r="BB202">
        <v>9.2689999999999995E-3</v>
      </c>
      <c r="BC202">
        <v>9.1999999999999998E-3</v>
      </c>
      <c r="BD202">
        <v>9.1400000000000006E-3</v>
      </c>
      <c r="BE202">
        <v>8.9359999999999995E-3</v>
      </c>
      <c r="BF202">
        <v>8.8819999999999993E-3</v>
      </c>
      <c r="BG202">
        <v>8.5939999999999992E-3</v>
      </c>
      <c r="BH202">
        <v>8.4799999999999997E-3</v>
      </c>
      <c r="BI202" s="49">
        <v>-1E-3</v>
      </c>
    </row>
    <row r="203" spans="20:61" x14ac:dyDescent="0.5">
      <c r="T203" t="s">
        <v>444</v>
      </c>
      <c r="U203" t="s">
        <v>445</v>
      </c>
      <c r="V203" t="s">
        <v>117</v>
      </c>
      <c r="X203">
        <v>506.17611699999998</v>
      </c>
      <c r="Y203">
        <v>543.81945800000005</v>
      </c>
      <c r="Z203">
        <v>604.41540499999996</v>
      </c>
      <c r="AA203">
        <v>597.53796399999999</v>
      </c>
      <c r="AB203">
        <v>597.11883499999999</v>
      </c>
      <c r="AC203">
        <v>604.53137200000003</v>
      </c>
      <c r="AD203">
        <v>598.73254399999996</v>
      </c>
      <c r="AE203">
        <v>590.46588099999997</v>
      </c>
      <c r="AF203">
        <v>595.82391399999995</v>
      </c>
      <c r="AG203">
        <v>599.29070999999999</v>
      </c>
      <c r="AH203">
        <v>603.71856700000001</v>
      </c>
      <c r="AI203">
        <v>607.88763400000005</v>
      </c>
      <c r="AK203">
        <v>608.48181199999999</v>
      </c>
      <c r="AM203">
        <v>609.77984600000002</v>
      </c>
      <c r="AO203">
        <v>611.08612100000005</v>
      </c>
      <c r="AQ203">
        <v>606.72662400000002</v>
      </c>
      <c r="AR203">
        <v>600.95007299999997</v>
      </c>
      <c r="AS203">
        <v>596.13171399999999</v>
      </c>
      <c r="AV203">
        <v>592.48931900000002</v>
      </c>
      <c r="AW203">
        <v>586.54803500000003</v>
      </c>
      <c r="AX203">
        <v>581.44586200000003</v>
      </c>
      <c r="AY203">
        <v>580.37908900000002</v>
      </c>
      <c r="AZ203">
        <v>580.08697500000005</v>
      </c>
      <c r="BA203">
        <v>573.62561000000005</v>
      </c>
      <c r="BB203">
        <v>568.85052499999995</v>
      </c>
      <c r="BC203">
        <v>568.64495799999997</v>
      </c>
      <c r="BD203">
        <v>565.23321499999997</v>
      </c>
      <c r="BE203">
        <v>557.87786900000003</v>
      </c>
      <c r="BF203">
        <v>552.84411599999999</v>
      </c>
      <c r="BG203">
        <v>543.14184599999999</v>
      </c>
      <c r="BH203">
        <v>533.54797399999995</v>
      </c>
      <c r="BI203" s="49">
        <v>2E-3</v>
      </c>
    </row>
    <row r="204" spans="20:61" x14ac:dyDescent="0.5">
      <c r="T204" t="s">
        <v>446</v>
      </c>
      <c r="U204" t="s">
        <v>447</v>
      </c>
      <c r="V204" t="s">
        <v>117</v>
      </c>
      <c r="X204">
        <v>9.5191429999999997</v>
      </c>
      <c r="Y204">
        <v>10.189807999999999</v>
      </c>
      <c r="Z204">
        <v>11.320074</v>
      </c>
      <c r="AA204">
        <v>11.327538000000001</v>
      </c>
      <c r="AB204">
        <v>11.411042999999999</v>
      </c>
      <c r="AC204">
        <v>11.612163000000001</v>
      </c>
      <c r="AD204">
        <v>11.580484</v>
      </c>
      <c r="AE204">
        <v>11.469011</v>
      </c>
      <c r="AF204">
        <v>11.634109</v>
      </c>
      <c r="AG204">
        <v>11.757318</v>
      </c>
      <c r="AH204">
        <v>11.926489</v>
      </c>
      <c r="AI204">
        <v>12.069958</v>
      </c>
      <c r="AK204">
        <v>12.145451</v>
      </c>
      <c r="AM204">
        <v>12.235269000000001</v>
      </c>
      <c r="AO204">
        <v>12.323521</v>
      </c>
      <c r="AQ204">
        <v>12.303319</v>
      </c>
      <c r="AR204">
        <v>12.250234000000001</v>
      </c>
      <c r="AS204">
        <v>12.219227999999999</v>
      </c>
      <c r="AV204">
        <v>12.210850000000001</v>
      </c>
      <c r="AW204">
        <v>12.154593999999999</v>
      </c>
      <c r="AX204">
        <v>12.112041</v>
      </c>
      <c r="AY204">
        <v>12.151213</v>
      </c>
      <c r="AZ204">
        <v>12.205686</v>
      </c>
      <c r="BA204">
        <v>12.129223</v>
      </c>
      <c r="BB204">
        <v>12.089596999999999</v>
      </c>
      <c r="BC204">
        <v>12.149296</v>
      </c>
      <c r="BD204">
        <v>12.137328999999999</v>
      </c>
      <c r="BE204">
        <v>12.051539</v>
      </c>
      <c r="BF204">
        <v>12.007358</v>
      </c>
      <c r="BG204">
        <v>11.864113</v>
      </c>
      <c r="BH204">
        <v>11.721161</v>
      </c>
      <c r="BI204" s="49">
        <v>7.0000000000000001E-3</v>
      </c>
    </row>
    <row r="205" spans="20:61" x14ac:dyDescent="0.5">
      <c r="T205" t="s">
        <v>448</v>
      </c>
      <c r="U205" t="s">
        <v>449</v>
      </c>
      <c r="V205" t="s">
        <v>117</v>
      </c>
      <c r="X205">
        <v>0.21687899999999999</v>
      </c>
      <c r="Y205">
        <v>0.23674999999999999</v>
      </c>
      <c r="Z205">
        <v>0.25099100000000002</v>
      </c>
      <c r="AA205">
        <v>0.241567</v>
      </c>
      <c r="AB205">
        <v>0.24333399999999999</v>
      </c>
      <c r="AC205">
        <v>0.25539499999999998</v>
      </c>
      <c r="AD205">
        <v>0.26714399999999999</v>
      </c>
      <c r="AE205">
        <v>0.27937099999999998</v>
      </c>
      <c r="AF205">
        <v>0.30128899999999997</v>
      </c>
      <c r="AG205">
        <v>0.32410499999999998</v>
      </c>
      <c r="AH205">
        <v>0.35127000000000003</v>
      </c>
      <c r="AI205">
        <v>0.37627699999999997</v>
      </c>
      <c r="AK205">
        <v>0.39961600000000003</v>
      </c>
      <c r="AM205">
        <v>0.42134100000000002</v>
      </c>
      <c r="AO205">
        <v>0.44152999999999998</v>
      </c>
      <c r="AQ205">
        <v>0.45566000000000001</v>
      </c>
      <c r="AR205">
        <v>0.466582</v>
      </c>
      <c r="AS205">
        <v>0.47638399999999997</v>
      </c>
      <c r="AV205">
        <v>0.485485</v>
      </c>
      <c r="AW205">
        <v>0.49123699999999998</v>
      </c>
      <c r="AX205">
        <v>0.49678299999999997</v>
      </c>
      <c r="AY205">
        <v>0.50349999999999995</v>
      </c>
      <c r="AZ205">
        <v>0.51053800000000005</v>
      </c>
      <c r="BA205">
        <v>0.51190000000000002</v>
      </c>
      <c r="BB205">
        <v>0.51427199999999995</v>
      </c>
      <c r="BC205">
        <v>0.52049800000000002</v>
      </c>
      <c r="BD205">
        <v>0.52411600000000003</v>
      </c>
      <c r="BE205">
        <v>0.52391200000000004</v>
      </c>
      <c r="BF205">
        <v>0.52542599999999995</v>
      </c>
      <c r="BG205">
        <v>0.522397</v>
      </c>
      <c r="BH205">
        <v>0.51949100000000004</v>
      </c>
      <c r="BI205" s="49">
        <v>0.03</v>
      </c>
    </row>
    <row r="206" spans="20:61" x14ac:dyDescent="0.5">
      <c r="T206" t="s">
        <v>450</v>
      </c>
      <c r="U206" t="s">
        <v>451</v>
      </c>
      <c r="V206" t="s">
        <v>117</v>
      </c>
      <c r="X206">
        <v>4.9028119999999999</v>
      </c>
      <c r="Y206">
        <v>4.6950570000000003</v>
      </c>
      <c r="Z206">
        <v>5.0459509999999996</v>
      </c>
      <c r="AA206">
        <v>4.7165369999999998</v>
      </c>
      <c r="AB206">
        <v>4.5063469999999999</v>
      </c>
      <c r="AC206">
        <v>4.597321</v>
      </c>
      <c r="AD206">
        <v>4.590795</v>
      </c>
      <c r="AE206">
        <v>4.813758</v>
      </c>
      <c r="AF206">
        <v>5.3010710000000003</v>
      </c>
      <c r="AG206">
        <v>5.8915850000000001</v>
      </c>
      <c r="AH206">
        <v>6.6571420000000003</v>
      </c>
      <c r="AI206">
        <v>7.5105339999999998</v>
      </c>
      <c r="AK206">
        <v>8.44956</v>
      </c>
      <c r="AM206">
        <v>9.4374959999999994</v>
      </c>
      <c r="AO206">
        <v>10.475057</v>
      </c>
      <c r="AQ206">
        <v>11.42928</v>
      </c>
      <c r="AR206">
        <v>12.3752</v>
      </c>
      <c r="AS206">
        <v>13.328594000000001</v>
      </c>
      <c r="AV206">
        <v>14.300238999999999</v>
      </c>
      <c r="AW206">
        <v>15.185321</v>
      </c>
      <c r="AX206">
        <v>16.146578000000002</v>
      </c>
      <c r="AY206">
        <v>17.071043</v>
      </c>
      <c r="AZ206">
        <v>17.992424</v>
      </c>
      <c r="BA206">
        <v>18.762789000000001</v>
      </c>
      <c r="BB206">
        <v>19.573975000000001</v>
      </c>
      <c r="BC206">
        <v>20.520143999999998</v>
      </c>
      <c r="BD206">
        <v>21.563005</v>
      </c>
      <c r="BE206">
        <v>22.315259999999999</v>
      </c>
      <c r="BF206">
        <v>23.147938</v>
      </c>
      <c r="BG206">
        <v>23.791969000000002</v>
      </c>
      <c r="BH206">
        <v>24.522155999999999</v>
      </c>
      <c r="BI206" s="49">
        <v>5.5E-2</v>
      </c>
    </row>
    <row r="207" spans="20:61" x14ac:dyDescent="0.5">
      <c r="T207" t="s">
        <v>452</v>
      </c>
      <c r="U207" t="s">
        <v>453</v>
      </c>
      <c r="V207" t="s">
        <v>117</v>
      </c>
      <c r="X207">
        <v>7.6130849999999999</v>
      </c>
      <c r="Y207">
        <v>6.3746510000000001</v>
      </c>
      <c r="Z207">
        <v>7.5802659999999999</v>
      </c>
      <c r="AA207">
        <v>8.4504590000000004</v>
      </c>
      <c r="AB207">
        <v>9.1001550000000009</v>
      </c>
      <c r="AC207">
        <v>9.4291</v>
      </c>
      <c r="AD207">
        <v>10.145175999999999</v>
      </c>
      <c r="AE207">
        <v>10.858131999999999</v>
      </c>
      <c r="AF207">
        <v>12.201739</v>
      </c>
      <c r="AG207">
        <v>13.798607000000001</v>
      </c>
      <c r="AH207">
        <v>15.615283</v>
      </c>
      <c r="AI207">
        <v>18.138828</v>
      </c>
      <c r="AK207">
        <v>20.621395</v>
      </c>
      <c r="AM207">
        <v>23.639084</v>
      </c>
      <c r="AO207">
        <v>26.911524</v>
      </c>
      <c r="AQ207">
        <v>30.236225000000001</v>
      </c>
      <c r="AR207">
        <v>33.551960000000001</v>
      </c>
      <c r="AS207">
        <v>37.072479000000001</v>
      </c>
      <c r="AV207">
        <v>40.680087999999998</v>
      </c>
      <c r="AW207">
        <v>44.112583000000001</v>
      </c>
      <c r="AX207">
        <v>47.471729000000003</v>
      </c>
      <c r="AY207">
        <v>50.507373999999999</v>
      </c>
      <c r="AZ207">
        <v>53.476646000000002</v>
      </c>
      <c r="BA207">
        <v>55.770823999999998</v>
      </c>
      <c r="BB207">
        <v>58.298920000000003</v>
      </c>
      <c r="BC207">
        <v>61.303513000000002</v>
      </c>
      <c r="BD207">
        <v>63.972220999999998</v>
      </c>
      <c r="BE207">
        <v>66.919960000000003</v>
      </c>
      <c r="BF207">
        <v>69.465812999999997</v>
      </c>
      <c r="BG207">
        <v>71.612015</v>
      </c>
      <c r="BH207">
        <v>73.811408999999998</v>
      </c>
      <c r="BI207" s="49">
        <v>7.9000000000000001E-2</v>
      </c>
    </row>
    <row r="208" spans="20:61" x14ac:dyDescent="0.5">
      <c r="T208" t="s">
        <v>454</v>
      </c>
      <c r="U208" t="s">
        <v>455</v>
      </c>
      <c r="V208" t="s">
        <v>117</v>
      </c>
      <c r="X208">
        <v>2.3293509999999999</v>
      </c>
      <c r="Y208">
        <v>3.2689859999999999</v>
      </c>
      <c r="Z208">
        <v>4.0748509999999998</v>
      </c>
      <c r="AA208">
        <v>4.3373179999999998</v>
      </c>
      <c r="AB208">
        <v>4.8091869999999997</v>
      </c>
      <c r="AC208">
        <v>5.5845359999999999</v>
      </c>
      <c r="AD208">
        <v>6.3714620000000002</v>
      </c>
      <c r="AE208">
        <v>7.3289160000000004</v>
      </c>
      <c r="AF208">
        <v>8.7094989999999992</v>
      </c>
      <c r="AG208">
        <v>9.1412510000000005</v>
      </c>
      <c r="AH208">
        <v>9.5199010000000008</v>
      </c>
      <c r="AI208">
        <v>9.7337509999999998</v>
      </c>
      <c r="AK208">
        <v>9.9970239999999997</v>
      </c>
      <c r="AM208">
        <v>10.17995</v>
      </c>
      <c r="AO208">
        <v>10.354232</v>
      </c>
      <c r="AQ208">
        <v>10.354937</v>
      </c>
      <c r="AR208">
        <v>10.312709</v>
      </c>
      <c r="AS208">
        <v>10.237848</v>
      </c>
      <c r="AV208">
        <v>10.159656999999999</v>
      </c>
      <c r="AW208">
        <v>10.000289</v>
      </c>
      <c r="AX208">
        <v>9.9154459999999993</v>
      </c>
      <c r="AY208">
        <v>9.7463890000000006</v>
      </c>
      <c r="AZ208">
        <v>9.5475010000000005</v>
      </c>
      <c r="BA208">
        <v>9.2748170000000005</v>
      </c>
      <c r="BB208">
        <v>9.011711</v>
      </c>
      <c r="BC208">
        <v>8.7871089999999992</v>
      </c>
      <c r="BD208">
        <v>8.6318889999999993</v>
      </c>
      <c r="BE208">
        <v>8.2821840000000009</v>
      </c>
      <c r="BF208">
        <v>7.999015</v>
      </c>
      <c r="BG208">
        <v>7.6506809999999996</v>
      </c>
      <c r="BH208">
        <v>7.3457129999999999</v>
      </c>
      <c r="BI208" s="49">
        <v>3.9E-2</v>
      </c>
    </row>
    <row r="209" spans="20:61" x14ac:dyDescent="0.5">
      <c r="T209" t="s">
        <v>456</v>
      </c>
      <c r="U209" t="s">
        <v>457</v>
      </c>
      <c r="V209" t="s">
        <v>117</v>
      </c>
      <c r="X209">
        <v>0.59608700000000003</v>
      </c>
      <c r="Y209">
        <v>0.65706799999999999</v>
      </c>
      <c r="Z209">
        <v>0.63280999999999998</v>
      </c>
      <c r="AA209">
        <v>0.54982900000000001</v>
      </c>
      <c r="AB209">
        <v>0.51360499999999998</v>
      </c>
      <c r="AC209">
        <v>0.51264100000000001</v>
      </c>
      <c r="AD209">
        <v>0.525312</v>
      </c>
      <c r="AE209">
        <v>0.54865600000000003</v>
      </c>
      <c r="AF209">
        <v>0.59741299999999997</v>
      </c>
      <c r="AG209">
        <v>0.65741700000000003</v>
      </c>
      <c r="AH209">
        <v>0.73906400000000005</v>
      </c>
      <c r="AI209">
        <v>0.80613000000000001</v>
      </c>
      <c r="AK209">
        <v>0.86146999999999996</v>
      </c>
      <c r="AM209">
        <v>0.91122199999999998</v>
      </c>
      <c r="AO209">
        <v>0.95838000000000001</v>
      </c>
      <c r="AQ209">
        <v>0.99051299999999998</v>
      </c>
      <c r="AR209">
        <v>1.0156080000000001</v>
      </c>
      <c r="AS209">
        <v>1.036842</v>
      </c>
      <c r="AV209">
        <v>1.055634</v>
      </c>
      <c r="AW209">
        <v>1.065115</v>
      </c>
      <c r="AX209">
        <v>1.0764499999999999</v>
      </c>
      <c r="AY209">
        <v>1.0831789999999999</v>
      </c>
      <c r="AZ209">
        <v>1.0874889999999999</v>
      </c>
      <c r="BA209">
        <v>1.0807439999999999</v>
      </c>
      <c r="BB209">
        <v>1.0751649999999999</v>
      </c>
      <c r="BC209">
        <v>1.0756650000000001</v>
      </c>
      <c r="BD209">
        <v>1.0764659999999999</v>
      </c>
      <c r="BE209">
        <v>1.063658</v>
      </c>
      <c r="BF209">
        <v>1.0545530000000001</v>
      </c>
      <c r="BG209">
        <v>1.036791</v>
      </c>
      <c r="BH209">
        <v>1.0213030000000001</v>
      </c>
      <c r="BI209" s="49">
        <v>1.7999999999999999E-2</v>
      </c>
    </row>
    <row r="210" spans="20:61" x14ac:dyDescent="0.5">
      <c r="T210" t="s">
        <v>458</v>
      </c>
      <c r="U210" t="s">
        <v>459</v>
      </c>
      <c r="V210" t="s">
        <v>117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</v>
      </c>
      <c r="AM210">
        <v>0</v>
      </c>
      <c r="AO210">
        <v>0</v>
      </c>
      <c r="AQ210">
        <v>0</v>
      </c>
      <c r="AR210">
        <v>0</v>
      </c>
      <c r="AS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137</v>
      </c>
    </row>
    <row r="211" spans="20:61" x14ac:dyDescent="0.5">
      <c r="T211" t="s">
        <v>460</v>
      </c>
      <c r="U211" t="s">
        <v>461</v>
      </c>
      <c r="V211" t="s">
        <v>117</v>
      </c>
      <c r="X211">
        <v>13.594239999999999</v>
      </c>
      <c r="Y211">
        <v>15.224066000000001</v>
      </c>
      <c r="Z211">
        <v>18.344618000000001</v>
      </c>
      <c r="AA211">
        <v>19.412403000000001</v>
      </c>
      <c r="AB211">
        <v>20.589188</v>
      </c>
      <c r="AC211">
        <v>22.011043999999998</v>
      </c>
      <c r="AD211">
        <v>23.316692</v>
      </c>
      <c r="AE211">
        <v>24.664187999999999</v>
      </c>
      <c r="AF211">
        <v>26.835837999999999</v>
      </c>
      <c r="AG211">
        <v>28.590008000000001</v>
      </c>
      <c r="AH211">
        <v>30.492070999999999</v>
      </c>
      <c r="AI211">
        <v>32.366909</v>
      </c>
      <c r="AK211">
        <v>34.021473</v>
      </c>
      <c r="AM211">
        <v>35.763390000000001</v>
      </c>
      <c r="AO211">
        <v>37.554564999999997</v>
      </c>
      <c r="AQ211">
        <v>38.993499999999997</v>
      </c>
      <c r="AR211">
        <v>40.338206999999997</v>
      </c>
      <c r="AS211">
        <v>41.742370999999999</v>
      </c>
      <c r="AV211">
        <v>43.238154999999999</v>
      </c>
      <c r="AW211">
        <v>44.549911000000002</v>
      </c>
      <c r="AX211">
        <v>46.018658000000002</v>
      </c>
      <c r="AY211">
        <v>47.955787999999998</v>
      </c>
      <c r="AZ211">
        <v>49.812603000000003</v>
      </c>
      <c r="BA211">
        <v>51.189129000000001</v>
      </c>
      <c r="BB211">
        <v>52.761398</v>
      </c>
      <c r="BC211">
        <v>54.780467999999999</v>
      </c>
      <c r="BD211">
        <v>56.720356000000002</v>
      </c>
      <c r="BE211">
        <v>58.213515999999998</v>
      </c>
      <c r="BF211">
        <v>59.948452000000003</v>
      </c>
      <c r="BG211">
        <v>61.192684</v>
      </c>
      <c r="BH211">
        <v>62.515182000000003</v>
      </c>
      <c r="BI211" s="49">
        <v>5.1999999999999998E-2</v>
      </c>
    </row>
    <row r="212" spans="20:61" x14ac:dyDescent="0.5">
      <c r="T212" t="s">
        <v>462</v>
      </c>
      <c r="U212" t="s">
        <v>463</v>
      </c>
      <c r="V212" t="s">
        <v>117</v>
      </c>
      <c r="X212">
        <v>3.9072000000000003E-2</v>
      </c>
      <c r="Y212">
        <v>4.0412999999999998E-2</v>
      </c>
      <c r="Z212">
        <v>4.5305999999999999E-2</v>
      </c>
      <c r="AA212">
        <v>4.6178999999999998E-2</v>
      </c>
      <c r="AB212">
        <v>4.6891000000000002E-2</v>
      </c>
      <c r="AC212">
        <v>4.7903000000000001E-2</v>
      </c>
      <c r="AD212">
        <v>4.8018999999999999E-2</v>
      </c>
      <c r="AE212">
        <v>4.7677999999999998E-2</v>
      </c>
      <c r="AF212">
        <v>4.8583000000000001E-2</v>
      </c>
      <c r="AG212">
        <v>4.9270000000000001E-2</v>
      </c>
      <c r="AH212">
        <v>5.0266999999999999E-2</v>
      </c>
      <c r="AI212">
        <v>5.1081000000000001E-2</v>
      </c>
      <c r="AK212">
        <v>5.1586E-2</v>
      </c>
      <c r="AM212">
        <v>5.2151000000000003E-2</v>
      </c>
      <c r="AO212">
        <v>5.2731E-2</v>
      </c>
      <c r="AQ212">
        <v>5.2880999999999997E-2</v>
      </c>
      <c r="AR212">
        <v>5.2874999999999998E-2</v>
      </c>
      <c r="AS212">
        <v>5.2984000000000003E-2</v>
      </c>
      <c r="AV212">
        <v>5.3183000000000001E-2</v>
      </c>
      <c r="AW212">
        <v>5.3168E-2</v>
      </c>
      <c r="AX212">
        <v>5.3226000000000002E-2</v>
      </c>
      <c r="AY212">
        <v>5.3623999999999998E-2</v>
      </c>
      <c r="AZ212">
        <v>5.4075999999999999E-2</v>
      </c>
      <c r="BA212">
        <v>5.3956999999999998E-2</v>
      </c>
      <c r="BB212">
        <v>5.4004000000000003E-2</v>
      </c>
      <c r="BC212">
        <v>5.4503000000000003E-2</v>
      </c>
      <c r="BD212">
        <v>5.4704000000000003E-2</v>
      </c>
      <c r="BE212">
        <v>5.4622999999999998E-2</v>
      </c>
      <c r="BF212">
        <v>5.4677999999999997E-2</v>
      </c>
      <c r="BG212">
        <v>5.4288000000000003E-2</v>
      </c>
      <c r="BH212">
        <v>5.3898000000000001E-2</v>
      </c>
      <c r="BI212" s="49">
        <v>1.0999999999999999E-2</v>
      </c>
    </row>
    <row r="213" spans="20:61" x14ac:dyDescent="0.5">
      <c r="T213" t="s">
        <v>464</v>
      </c>
      <c r="U213" t="s">
        <v>465</v>
      </c>
      <c r="V213" t="s">
        <v>117</v>
      </c>
      <c r="X213">
        <v>0.25861000000000001</v>
      </c>
      <c r="Y213">
        <v>0.27261299999999999</v>
      </c>
      <c r="Z213">
        <v>0.30266100000000001</v>
      </c>
      <c r="AA213">
        <v>0.30785299999999999</v>
      </c>
      <c r="AB213">
        <v>0.31345000000000001</v>
      </c>
      <c r="AC213">
        <v>0.32144099999999998</v>
      </c>
      <c r="AD213">
        <v>0.32322000000000001</v>
      </c>
      <c r="AE213">
        <v>0.32171</v>
      </c>
      <c r="AF213">
        <v>0.32833899999999999</v>
      </c>
      <c r="AG213">
        <v>0.33357799999999999</v>
      </c>
      <c r="AH213">
        <v>0.34110600000000002</v>
      </c>
      <c r="AI213">
        <v>0.34708099999999997</v>
      </c>
      <c r="AK213">
        <v>0.35121200000000002</v>
      </c>
      <c r="AM213">
        <v>0.35577700000000001</v>
      </c>
      <c r="AO213">
        <v>0.36040699999999998</v>
      </c>
      <c r="AQ213">
        <v>0.36202299999999998</v>
      </c>
      <c r="AR213">
        <v>0.36258499999999999</v>
      </c>
      <c r="AS213">
        <v>0.36392099999999999</v>
      </c>
      <c r="AV213">
        <v>0.36588599999999999</v>
      </c>
      <c r="AW213">
        <v>0.36647600000000002</v>
      </c>
      <c r="AX213">
        <v>0.36744700000000002</v>
      </c>
      <c r="AY213">
        <v>0.370668</v>
      </c>
      <c r="AZ213">
        <v>0.37434299999999998</v>
      </c>
      <c r="BA213">
        <v>0.37405899999999997</v>
      </c>
      <c r="BB213">
        <v>0.37493799999999999</v>
      </c>
      <c r="BC213">
        <v>0.37898100000000001</v>
      </c>
      <c r="BD213">
        <v>0.38080700000000001</v>
      </c>
      <c r="BE213">
        <v>0.38073600000000002</v>
      </c>
      <c r="BF213">
        <v>0.38168800000000003</v>
      </c>
      <c r="BG213">
        <v>0.37945400000000001</v>
      </c>
      <c r="BH213">
        <v>0.37722</v>
      </c>
      <c r="BI213" s="49">
        <v>1.2999999999999999E-2</v>
      </c>
    </row>
    <row r="214" spans="20:61" x14ac:dyDescent="0.5">
      <c r="T214" t="s">
        <v>466</v>
      </c>
      <c r="U214" t="s">
        <v>467</v>
      </c>
      <c r="V214" t="s">
        <v>117</v>
      </c>
      <c r="X214">
        <v>6.4990999999999993E-2</v>
      </c>
      <c r="Y214">
        <v>5.3113E-2</v>
      </c>
      <c r="Z214">
        <v>6.3717999999999997E-2</v>
      </c>
      <c r="AA214">
        <v>6.8407999999999997E-2</v>
      </c>
      <c r="AB214">
        <v>6.9416000000000005E-2</v>
      </c>
      <c r="AC214">
        <v>6.9955000000000003E-2</v>
      </c>
      <c r="AD214">
        <v>6.9749000000000005E-2</v>
      </c>
      <c r="AE214">
        <v>6.9206000000000004E-2</v>
      </c>
      <c r="AF214">
        <v>7.0890999999999996E-2</v>
      </c>
      <c r="AG214">
        <v>7.2694999999999996E-2</v>
      </c>
      <c r="AH214">
        <v>7.4199000000000001E-2</v>
      </c>
      <c r="AI214">
        <v>7.7149999999999996E-2</v>
      </c>
      <c r="AK214">
        <v>7.8104000000000007E-2</v>
      </c>
      <c r="AM214">
        <v>7.9715999999999995E-2</v>
      </c>
      <c r="AO214">
        <v>8.1208000000000002E-2</v>
      </c>
      <c r="AQ214">
        <v>8.2336999999999994E-2</v>
      </c>
      <c r="AR214">
        <v>8.2984000000000002E-2</v>
      </c>
      <c r="AS214">
        <v>8.3945000000000006E-2</v>
      </c>
      <c r="AV214">
        <v>8.4902000000000005E-2</v>
      </c>
      <c r="AW214">
        <v>8.5699999999999998E-2</v>
      </c>
      <c r="AX214">
        <v>8.5920999999999997E-2</v>
      </c>
      <c r="AY214">
        <v>8.7522000000000003E-2</v>
      </c>
      <c r="AZ214">
        <v>8.9369000000000004E-2</v>
      </c>
      <c r="BA214">
        <v>8.9887999999999996E-2</v>
      </c>
      <c r="BB214">
        <v>9.0885999999999995E-2</v>
      </c>
      <c r="BC214">
        <v>9.2743000000000006E-2</v>
      </c>
      <c r="BD214">
        <v>9.3090000000000006E-2</v>
      </c>
      <c r="BE214">
        <v>9.4041E-2</v>
      </c>
      <c r="BF214">
        <v>9.4409000000000007E-2</v>
      </c>
      <c r="BG214">
        <v>9.4117000000000006E-2</v>
      </c>
      <c r="BH214">
        <v>9.3729000000000007E-2</v>
      </c>
      <c r="BI214" s="49">
        <v>1.2E-2</v>
      </c>
    </row>
    <row r="215" spans="20:61" x14ac:dyDescent="0.5">
      <c r="T215" t="s">
        <v>466</v>
      </c>
      <c r="U215" t="s">
        <v>468</v>
      </c>
      <c r="V215" t="s">
        <v>117</v>
      </c>
      <c r="X215">
        <v>6.3511999999999999E-2</v>
      </c>
      <c r="Y215">
        <v>6.7226999999999995E-2</v>
      </c>
      <c r="Z215">
        <v>7.4722999999999998E-2</v>
      </c>
      <c r="AA215">
        <v>7.5950000000000004E-2</v>
      </c>
      <c r="AB215">
        <v>7.7188000000000007E-2</v>
      </c>
      <c r="AC215">
        <v>7.9051999999999997E-2</v>
      </c>
      <c r="AD215">
        <v>7.9448000000000005E-2</v>
      </c>
      <c r="AE215">
        <v>7.9047000000000006E-2</v>
      </c>
      <c r="AF215">
        <v>8.0616999999999994E-2</v>
      </c>
      <c r="AG215">
        <v>8.1864999999999993E-2</v>
      </c>
      <c r="AH215">
        <v>8.3656999999999995E-2</v>
      </c>
      <c r="AI215">
        <v>8.5080000000000003E-2</v>
      </c>
      <c r="AK215">
        <v>8.6030999999999996E-2</v>
      </c>
      <c r="AM215">
        <v>8.7104000000000001E-2</v>
      </c>
      <c r="AO215">
        <v>8.8182999999999997E-2</v>
      </c>
      <c r="AQ215">
        <v>8.8520000000000001E-2</v>
      </c>
      <c r="AR215">
        <v>8.8605000000000003E-2</v>
      </c>
      <c r="AS215">
        <v>8.8869000000000004E-2</v>
      </c>
      <c r="AV215">
        <v>8.9293999999999998E-2</v>
      </c>
      <c r="AW215">
        <v>8.9385999999999993E-2</v>
      </c>
      <c r="AX215">
        <v>8.9554999999999996E-2</v>
      </c>
      <c r="AY215">
        <v>9.0285000000000004E-2</v>
      </c>
      <c r="AZ215">
        <v>9.1135999999999995E-2</v>
      </c>
      <c r="BA215">
        <v>9.1011999999999996E-2</v>
      </c>
      <c r="BB215">
        <v>9.1190999999999994E-2</v>
      </c>
      <c r="BC215">
        <v>9.2147999999999994E-2</v>
      </c>
      <c r="BD215">
        <v>9.2547000000000004E-2</v>
      </c>
      <c r="BE215">
        <v>9.2456999999999998E-2</v>
      </c>
      <c r="BF215">
        <v>9.2645000000000005E-2</v>
      </c>
      <c r="BG215">
        <v>9.2051999999999995E-2</v>
      </c>
      <c r="BH215">
        <v>9.1475000000000001E-2</v>
      </c>
      <c r="BI215" s="49">
        <v>1.2E-2</v>
      </c>
    </row>
    <row r="216" spans="20:61" x14ac:dyDescent="0.5">
      <c r="T216" t="s">
        <v>469</v>
      </c>
      <c r="U216" t="s">
        <v>470</v>
      </c>
      <c r="V216" t="s">
        <v>117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</v>
      </c>
      <c r="AM216">
        <v>0</v>
      </c>
      <c r="AO216">
        <v>0</v>
      </c>
      <c r="AQ216">
        <v>0</v>
      </c>
      <c r="AR216">
        <v>0</v>
      </c>
      <c r="AS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 t="s">
        <v>137</v>
      </c>
    </row>
    <row r="217" spans="20:61" x14ac:dyDescent="0.5">
      <c r="T217" t="s">
        <v>471</v>
      </c>
      <c r="U217" t="s">
        <v>472</v>
      </c>
      <c r="V217" t="s">
        <v>117</v>
      </c>
      <c r="X217">
        <v>2.0129000000000001E-2</v>
      </c>
      <c r="Y217">
        <v>2.1224E-2</v>
      </c>
      <c r="Z217">
        <v>2.5451999999999999E-2</v>
      </c>
      <c r="AA217">
        <v>2.8885000000000001E-2</v>
      </c>
      <c r="AB217">
        <v>3.3287999999999998E-2</v>
      </c>
      <c r="AC217">
        <v>3.9535000000000001E-2</v>
      </c>
      <c r="AD217">
        <v>4.5574999999999997E-2</v>
      </c>
      <c r="AE217">
        <v>5.1798999999999998E-2</v>
      </c>
      <c r="AF217">
        <v>5.9950999999999997E-2</v>
      </c>
      <c r="AG217">
        <v>6.8426000000000001E-2</v>
      </c>
      <c r="AH217">
        <v>7.7738000000000002E-2</v>
      </c>
      <c r="AI217">
        <v>8.6774000000000004E-2</v>
      </c>
      <c r="AK217">
        <v>9.5187999999999995E-2</v>
      </c>
      <c r="AM217">
        <v>0.10330300000000001</v>
      </c>
      <c r="AO217">
        <v>0.110906</v>
      </c>
      <c r="AQ217">
        <v>0.11698500000000001</v>
      </c>
      <c r="AR217">
        <v>0.122101</v>
      </c>
      <c r="AS217">
        <v>0.12691</v>
      </c>
      <c r="AV217">
        <v>0.13148799999999999</v>
      </c>
      <c r="AW217">
        <v>0.135188</v>
      </c>
      <c r="AX217">
        <v>0.13869699999999999</v>
      </c>
      <c r="AY217">
        <v>0.142983</v>
      </c>
      <c r="AZ217">
        <v>0.14735599999999999</v>
      </c>
      <c r="BA217">
        <v>0.150032</v>
      </c>
      <c r="BB217">
        <v>0.15313199999999999</v>
      </c>
      <c r="BC217">
        <v>0.157525</v>
      </c>
      <c r="BD217">
        <v>0.16087000000000001</v>
      </c>
      <c r="BE217">
        <v>0.16369300000000001</v>
      </c>
      <c r="BF217">
        <v>0.166742</v>
      </c>
      <c r="BG217">
        <v>0.16838900000000001</v>
      </c>
      <c r="BH217">
        <v>0.16991999999999999</v>
      </c>
      <c r="BI217" s="49">
        <v>7.3999999999999996E-2</v>
      </c>
    </row>
    <row r="218" spans="20:61" x14ac:dyDescent="0.5">
      <c r="T218" t="s">
        <v>473</v>
      </c>
      <c r="U218" t="s">
        <v>474</v>
      </c>
      <c r="V218" t="s">
        <v>117</v>
      </c>
      <c r="X218">
        <v>39.217914999999998</v>
      </c>
      <c r="Y218">
        <v>41.100979000000002</v>
      </c>
      <c r="Z218">
        <v>47.761420999999999</v>
      </c>
      <c r="AA218">
        <v>49.562927000000002</v>
      </c>
      <c r="AB218">
        <v>51.713085</v>
      </c>
      <c r="AC218">
        <v>54.560080999999997</v>
      </c>
      <c r="AD218">
        <v>57.363075000000002</v>
      </c>
      <c r="AE218">
        <v>60.531475</v>
      </c>
      <c r="AF218">
        <v>66.169342</v>
      </c>
      <c r="AG218">
        <v>70.766129000000006</v>
      </c>
      <c r="AH218">
        <v>75.928184999999999</v>
      </c>
      <c r="AI218">
        <v>81.649551000000002</v>
      </c>
      <c r="AK218">
        <v>87.158096</v>
      </c>
      <c r="AM218">
        <v>93.265808000000007</v>
      </c>
      <c r="AO218">
        <v>99.712242000000003</v>
      </c>
      <c r="AQ218">
        <v>105.466179</v>
      </c>
      <c r="AR218">
        <v>111.01965300000001</v>
      </c>
      <c r="AS218">
        <v>116.830376</v>
      </c>
      <c r="AV218">
        <v>122.85485799999999</v>
      </c>
      <c r="AW218">
        <v>128.28898599999999</v>
      </c>
      <c r="AX218">
        <v>133.972534</v>
      </c>
      <c r="AY218">
        <v>139.76357999999999</v>
      </c>
      <c r="AZ218">
        <v>145.38916</v>
      </c>
      <c r="BA218">
        <v>149.47837799999999</v>
      </c>
      <c r="BB218">
        <v>154.089203</v>
      </c>
      <c r="BC218">
        <v>159.912598</v>
      </c>
      <c r="BD218">
        <v>165.40739400000001</v>
      </c>
      <c r="BE218">
        <v>170.15559400000001</v>
      </c>
      <c r="BF218">
        <v>174.93872099999999</v>
      </c>
      <c r="BG218">
        <v>178.45895400000001</v>
      </c>
      <c r="BH218">
        <v>182.242661</v>
      </c>
      <c r="BI218" s="49">
        <v>5.2999999999999999E-2</v>
      </c>
    </row>
    <row r="219" spans="20:61" x14ac:dyDescent="0.5">
      <c r="T219" t="s">
        <v>475</v>
      </c>
      <c r="U219" t="s">
        <v>476</v>
      </c>
      <c r="V219" t="s">
        <v>155</v>
      </c>
      <c r="X219">
        <v>7.1907480000000001</v>
      </c>
      <c r="Y219">
        <v>7.026764</v>
      </c>
      <c r="Z219">
        <v>7.323385</v>
      </c>
      <c r="AA219">
        <v>7.6592269999999996</v>
      </c>
      <c r="AB219">
        <v>7.9701820000000003</v>
      </c>
      <c r="AC219">
        <v>8.2780749999999994</v>
      </c>
      <c r="AD219">
        <v>8.7430970000000006</v>
      </c>
      <c r="AE219">
        <v>9.2982669999999992</v>
      </c>
      <c r="AF219">
        <v>9.9954699999999992</v>
      </c>
      <c r="AG219">
        <v>10.561213</v>
      </c>
      <c r="AH219">
        <v>11.171714</v>
      </c>
      <c r="AI219">
        <v>11.84121</v>
      </c>
      <c r="AK219">
        <v>12.529197999999999</v>
      </c>
      <c r="AM219">
        <v>13.265967</v>
      </c>
      <c r="AO219">
        <v>14.028204000000001</v>
      </c>
      <c r="AQ219">
        <v>14.808655</v>
      </c>
      <c r="AR219">
        <v>15.593311</v>
      </c>
      <c r="AS219">
        <v>16.386617999999999</v>
      </c>
      <c r="AV219">
        <v>17.174230999999999</v>
      </c>
      <c r="AW219">
        <v>17.946605999999999</v>
      </c>
      <c r="AX219">
        <v>18.726459999999999</v>
      </c>
      <c r="AY219">
        <v>19.407762999999999</v>
      </c>
      <c r="AZ219">
        <v>20.040516</v>
      </c>
      <c r="BA219">
        <v>20.671766000000002</v>
      </c>
      <c r="BB219">
        <v>21.314254999999999</v>
      </c>
      <c r="BC219">
        <v>21.949204999999999</v>
      </c>
      <c r="BD219">
        <v>22.638680000000001</v>
      </c>
      <c r="BE219">
        <v>23.371946000000001</v>
      </c>
      <c r="BF219">
        <v>24.037213999999999</v>
      </c>
      <c r="BG219">
        <v>24.730978</v>
      </c>
      <c r="BH219">
        <v>25.460329000000002</v>
      </c>
      <c r="BI219" s="49">
        <v>4.2999999999999997E-2</v>
      </c>
    </row>
    <row r="220" spans="20:61" x14ac:dyDescent="0.5">
      <c r="T220" t="s">
        <v>477</v>
      </c>
      <c r="U220" t="s">
        <v>478</v>
      </c>
      <c r="V220" t="s">
        <v>117</v>
      </c>
      <c r="X220">
        <v>545.39404300000001</v>
      </c>
      <c r="Y220">
        <v>584.92040999999995</v>
      </c>
      <c r="Z220">
        <v>652.17681900000002</v>
      </c>
      <c r="AA220">
        <v>647.10089100000005</v>
      </c>
      <c r="AB220">
        <v>648.831909</v>
      </c>
      <c r="AC220">
        <v>659.09143100000006</v>
      </c>
      <c r="AD220">
        <v>656.095642</v>
      </c>
      <c r="AE220">
        <v>650.99737500000003</v>
      </c>
      <c r="AF220">
        <v>661.99328600000001</v>
      </c>
      <c r="AG220">
        <v>670.05682400000001</v>
      </c>
      <c r="AH220">
        <v>679.64672900000005</v>
      </c>
      <c r="AI220">
        <v>689.53716999999995</v>
      </c>
      <c r="AK220">
        <v>695.63989300000003</v>
      </c>
      <c r="AM220">
        <v>703.04565400000001</v>
      </c>
      <c r="AO220">
        <v>710.79834000000005</v>
      </c>
      <c r="AQ220">
        <v>712.19281000000001</v>
      </c>
      <c r="AR220">
        <v>711.96972700000003</v>
      </c>
      <c r="AS220">
        <v>712.96209699999997</v>
      </c>
      <c r="AV220">
        <v>715.34417699999995</v>
      </c>
      <c r="AW220">
        <v>714.83703600000001</v>
      </c>
      <c r="AX220">
        <v>715.41839600000003</v>
      </c>
      <c r="AY220">
        <v>720.14269999999999</v>
      </c>
      <c r="AZ220">
        <v>725.476135</v>
      </c>
      <c r="BA220">
        <v>723.10400400000003</v>
      </c>
      <c r="BB220">
        <v>722.93969700000002</v>
      </c>
      <c r="BC220">
        <v>728.55755599999998</v>
      </c>
      <c r="BD220">
        <v>730.640625</v>
      </c>
      <c r="BE220">
        <v>728.03344700000002</v>
      </c>
      <c r="BF220">
        <v>727.78283699999997</v>
      </c>
      <c r="BG220">
        <v>721.60082999999997</v>
      </c>
      <c r="BH220">
        <v>715.79064900000003</v>
      </c>
      <c r="BI220" s="49">
        <v>8.9999999999999993E-3</v>
      </c>
    </row>
    <row r="221" spans="20:61" x14ac:dyDescent="0.5">
      <c r="T221" t="s">
        <v>479</v>
      </c>
      <c r="U221" t="s">
        <v>480</v>
      </c>
      <c r="V221" t="s">
        <v>117</v>
      </c>
      <c r="X221">
        <v>761.396973</v>
      </c>
      <c r="Y221">
        <v>856.94164999999998</v>
      </c>
      <c r="Z221">
        <v>877.54730199999995</v>
      </c>
      <c r="AA221">
        <v>886.941101</v>
      </c>
      <c r="AB221">
        <v>916.76916500000004</v>
      </c>
      <c r="AC221">
        <v>938.074341</v>
      </c>
      <c r="AD221">
        <v>924.79168700000002</v>
      </c>
      <c r="AE221">
        <v>906.717896</v>
      </c>
      <c r="AF221">
        <v>906.90234399999997</v>
      </c>
      <c r="AG221">
        <v>905.24047900000005</v>
      </c>
      <c r="AH221">
        <v>891.98230000000001</v>
      </c>
      <c r="AI221">
        <v>889.58569299999999</v>
      </c>
      <c r="AK221">
        <v>885.25512700000002</v>
      </c>
      <c r="AM221">
        <v>882.52209500000004</v>
      </c>
      <c r="AO221">
        <v>878.63952600000005</v>
      </c>
      <c r="AQ221">
        <v>869.69061299999998</v>
      </c>
      <c r="AR221">
        <v>858.61694299999999</v>
      </c>
      <c r="AS221">
        <v>851.24200399999995</v>
      </c>
      <c r="AV221">
        <v>846.57672100000002</v>
      </c>
      <c r="AW221">
        <v>841.06744400000002</v>
      </c>
      <c r="AX221">
        <v>831.53381300000001</v>
      </c>
      <c r="AY221">
        <v>828.63232400000004</v>
      </c>
      <c r="AZ221">
        <v>831.19390899999996</v>
      </c>
      <c r="BA221">
        <v>825.63116500000001</v>
      </c>
      <c r="BB221">
        <v>823.16503899999998</v>
      </c>
      <c r="BC221">
        <v>830.71661400000005</v>
      </c>
      <c r="BD221">
        <v>824.84246800000005</v>
      </c>
      <c r="BE221">
        <v>821.05389400000001</v>
      </c>
      <c r="BF221">
        <v>821.73535200000003</v>
      </c>
      <c r="BG221">
        <v>816.70416299999999</v>
      </c>
      <c r="BH221">
        <v>809.37731900000006</v>
      </c>
      <c r="BI221" s="49">
        <v>2E-3</v>
      </c>
    </row>
    <row r="222" spans="20:61" x14ac:dyDescent="0.5">
      <c r="T222" t="s">
        <v>481</v>
      </c>
      <c r="U222" t="s">
        <v>482</v>
      </c>
      <c r="V222" t="s">
        <v>117</v>
      </c>
      <c r="X222">
        <v>4.1177760000000001</v>
      </c>
      <c r="Y222">
        <v>7.7543629999999997</v>
      </c>
      <c r="Z222">
        <v>11.719818</v>
      </c>
      <c r="AA222">
        <v>10.981553999999999</v>
      </c>
      <c r="AB222">
        <v>10.908825</v>
      </c>
      <c r="AC222">
        <v>11.241317</v>
      </c>
      <c r="AD222">
        <v>11.14912</v>
      </c>
      <c r="AE222">
        <v>10.928959000000001</v>
      </c>
      <c r="AF222">
        <v>11.195349</v>
      </c>
      <c r="AG222">
        <v>11.433858000000001</v>
      </c>
      <c r="AH222">
        <v>11.851274</v>
      </c>
      <c r="AI222">
        <v>11.843099</v>
      </c>
      <c r="AK222">
        <v>11.947438</v>
      </c>
      <c r="AM222">
        <v>12.074733</v>
      </c>
      <c r="AO222">
        <v>12.288214</v>
      </c>
      <c r="AQ222">
        <v>12.370539000000001</v>
      </c>
      <c r="AR222">
        <v>12.468498</v>
      </c>
      <c r="AS222">
        <v>12.447509999999999</v>
      </c>
      <c r="AV222">
        <v>12.512111000000001</v>
      </c>
      <c r="AW222">
        <v>12.626818</v>
      </c>
      <c r="AX222">
        <v>12.4299</v>
      </c>
      <c r="AY222">
        <v>12.495422</v>
      </c>
      <c r="AZ222">
        <v>12.602558</v>
      </c>
      <c r="BA222">
        <v>12.450336</v>
      </c>
      <c r="BB222">
        <v>12.320430999999999</v>
      </c>
      <c r="BC222">
        <v>12.396418000000001</v>
      </c>
      <c r="BD222">
        <v>12.448606</v>
      </c>
      <c r="BE222">
        <v>12.20692</v>
      </c>
      <c r="BF222">
        <v>12.348644</v>
      </c>
      <c r="BG222">
        <v>12.083809</v>
      </c>
      <c r="BH222">
        <v>12.101043000000001</v>
      </c>
      <c r="BI222" s="49">
        <v>3.6999999999999998E-2</v>
      </c>
    </row>
    <row r="223" spans="20:61" x14ac:dyDescent="0.5">
      <c r="T223" t="s">
        <v>483</v>
      </c>
      <c r="U223" t="s">
        <v>484</v>
      </c>
      <c r="V223" t="s">
        <v>117</v>
      </c>
      <c r="X223">
        <v>765.514771</v>
      </c>
      <c r="Y223">
        <v>864.69598399999995</v>
      </c>
      <c r="Z223">
        <v>889.26709000000005</v>
      </c>
      <c r="AA223">
        <v>897.92266800000004</v>
      </c>
      <c r="AB223">
        <v>927.67797900000005</v>
      </c>
      <c r="AC223">
        <v>949.31567399999994</v>
      </c>
      <c r="AD223">
        <v>935.94079599999998</v>
      </c>
      <c r="AE223">
        <v>917.64685099999997</v>
      </c>
      <c r="AF223">
        <v>918.09771699999999</v>
      </c>
      <c r="AG223">
        <v>916.67431599999998</v>
      </c>
      <c r="AH223">
        <v>903.83355700000004</v>
      </c>
      <c r="AI223">
        <v>901.42877199999998</v>
      </c>
      <c r="AK223">
        <v>897.20257600000002</v>
      </c>
      <c r="AM223">
        <v>894.59680200000003</v>
      </c>
      <c r="AO223">
        <v>890.92773399999999</v>
      </c>
      <c r="AQ223">
        <v>882.06115699999998</v>
      </c>
      <c r="AR223">
        <v>871.08544900000004</v>
      </c>
      <c r="AS223">
        <v>863.68951400000003</v>
      </c>
      <c r="AV223">
        <v>859.08880599999998</v>
      </c>
      <c r="AW223">
        <v>853.69427499999995</v>
      </c>
      <c r="AX223">
        <v>843.96368399999994</v>
      </c>
      <c r="AY223">
        <v>841.127747</v>
      </c>
      <c r="AZ223">
        <v>843.79644800000005</v>
      </c>
      <c r="BA223">
        <v>838.08148200000005</v>
      </c>
      <c r="BB223">
        <v>835.48547399999995</v>
      </c>
      <c r="BC223">
        <v>843.11303699999996</v>
      </c>
      <c r="BD223">
        <v>837.29107699999997</v>
      </c>
      <c r="BE223">
        <v>833.26080300000001</v>
      </c>
      <c r="BF223">
        <v>834.08398399999999</v>
      </c>
      <c r="BG223">
        <v>828.78796399999999</v>
      </c>
      <c r="BH223">
        <v>821.47833300000002</v>
      </c>
      <c r="BI223" s="49">
        <v>2E-3</v>
      </c>
    </row>
    <row r="224" spans="20:61" x14ac:dyDescent="0.5">
      <c r="T224" t="s">
        <v>485</v>
      </c>
      <c r="U224" t="s">
        <v>486</v>
      </c>
      <c r="V224" t="s">
        <v>117</v>
      </c>
      <c r="X224">
        <v>76.374352000000002</v>
      </c>
      <c r="Y224">
        <v>78.348297000000002</v>
      </c>
      <c r="Z224">
        <v>80.748717999999997</v>
      </c>
      <c r="AA224">
        <v>81.618378000000007</v>
      </c>
      <c r="AB224">
        <v>84.307343000000003</v>
      </c>
      <c r="AC224">
        <v>86.298034999999999</v>
      </c>
      <c r="AD224">
        <v>85.452415000000002</v>
      </c>
      <c r="AE224">
        <v>84.044228000000004</v>
      </c>
      <c r="AF224">
        <v>84.268180999999998</v>
      </c>
      <c r="AG224">
        <v>84.329796000000002</v>
      </c>
      <c r="AH224">
        <v>83.299789000000004</v>
      </c>
      <c r="AI224">
        <v>83.311615000000003</v>
      </c>
      <c r="AK224">
        <v>83.179069999999996</v>
      </c>
      <c r="AM224">
        <v>83.154587000000006</v>
      </c>
      <c r="AO224">
        <v>83.141150999999994</v>
      </c>
      <c r="AQ224">
        <v>82.612289000000004</v>
      </c>
      <c r="AR224">
        <v>81.868881000000002</v>
      </c>
      <c r="AS224">
        <v>81.433952000000005</v>
      </c>
      <c r="AV224">
        <v>81.267166000000003</v>
      </c>
      <c r="AW224">
        <v>80.995621</v>
      </c>
      <c r="AX224">
        <v>80.353431999999998</v>
      </c>
      <c r="AY224">
        <v>80.310997</v>
      </c>
      <c r="AZ224">
        <v>80.775069999999999</v>
      </c>
      <c r="BA224">
        <v>80.444427000000005</v>
      </c>
      <c r="BB224">
        <v>80.413605000000004</v>
      </c>
      <c r="BC224">
        <v>81.350562999999994</v>
      </c>
      <c r="BD224">
        <v>81.039863999999994</v>
      </c>
      <c r="BE224">
        <v>80.874236999999994</v>
      </c>
      <c r="BF224">
        <v>81.158325000000005</v>
      </c>
      <c r="BG224">
        <v>80.855980000000002</v>
      </c>
      <c r="BH224">
        <v>80.350234999999998</v>
      </c>
      <c r="BI224" s="49">
        <v>2E-3</v>
      </c>
    </row>
    <row r="225" spans="20:61" x14ac:dyDescent="0.5">
      <c r="T225" t="s">
        <v>487</v>
      </c>
      <c r="U225" t="s">
        <v>488</v>
      </c>
      <c r="V225" t="s">
        <v>117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M225">
        <v>0</v>
      </c>
      <c r="AO225">
        <v>0</v>
      </c>
      <c r="AQ225">
        <v>0</v>
      </c>
      <c r="AR225">
        <v>0</v>
      </c>
      <c r="AS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137</v>
      </c>
    </row>
    <row r="226" spans="20:61" x14ac:dyDescent="0.5">
      <c r="T226" t="s">
        <v>489</v>
      </c>
      <c r="U226" t="s">
        <v>490</v>
      </c>
      <c r="V226" t="s">
        <v>117</v>
      </c>
      <c r="X226">
        <v>1.168768</v>
      </c>
      <c r="Y226">
        <v>1.3603320000000001</v>
      </c>
      <c r="Z226">
        <v>1.5526169999999999</v>
      </c>
      <c r="AA226">
        <v>1.6366149999999999</v>
      </c>
      <c r="AB226">
        <v>1.9525509999999999</v>
      </c>
      <c r="AC226">
        <v>2.2734930000000002</v>
      </c>
      <c r="AD226">
        <v>2.6412610000000001</v>
      </c>
      <c r="AE226">
        <v>2.9790549999999998</v>
      </c>
      <c r="AF226">
        <v>3.459047</v>
      </c>
      <c r="AG226">
        <v>4.0064109999999999</v>
      </c>
      <c r="AH226">
        <v>4.5133559999999999</v>
      </c>
      <c r="AI226">
        <v>5.1521330000000001</v>
      </c>
      <c r="AK226">
        <v>5.837059</v>
      </c>
      <c r="AM226">
        <v>6.5602270000000003</v>
      </c>
      <c r="AO226">
        <v>7.2909839999999999</v>
      </c>
      <c r="AQ226">
        <v>7.966761</v>
      </c>
      <c r="AR226">
        <v>8.6080699999999997</v>
      </c>
      <c r="AS226">
        <v>9.2536050000000003</v>
      </c>
      <c r="AV226">
        <v>9.9076500000000003</v>
      </c>
      <c r="AW226">
        <v>10.52543</v>
      </c>
      <c r="AX226">
        <v>11.0928</v>
      </c>
      <c r="AY226">
        <v>11.698009000000001</v>
      </c>
      <c r="AZ226">
        <v>12.36402</v>
      </c>
      <c r="BA226">
        <v>12.911046000000001</v>
      </c>
      <c r="BB226">
        <v>13.497826</v>
      </c>
      <c r="BC226">
        <v>14.241356</v>
      </c>
      <c r="BD226">
        <v>14.819863</v>
      </c>
      <c r="BE226">
        <v>15.383271000000001</v>
      </c>
      <c r="BF226">
        <v>16.035706999999999</v>
      </c>
      <c r="BG226">
        <v>16.570834999999999</v>
      </c>
      <c r="BH226">
        <v>17.086224000000001</v>
      </c>
      <c r="BI226" s="49">
        <v>9.4E-2</v>
      </c>
    </row>
    <row r="227" spans="20:61" x14ac:dyDescent="0.5">
      <c r="T227" t="s">
        <v>491</v>
      </c>
      <c r="U227" t="s">
        <v>492</v>
      </c>
      <c r="V227" t="s">
        <v>117</v>
      </c>
      <c r="X227">
        <v>3.0387970000000002</v>
      </c>
      <c r="Y227">
        <v>3.7176779999999998</v>
      </c>
      <c r="Z227">
        <v>4.3834939999999998</v>
      </c>
      <c r="AA227">
        <v>5.0112540000000001</v>
      </c>
      <c r="AB227">
        <v>5.7045349999999999</v>
      </c>
      <c r="AC227">
        <v>6.2020850000000003</v>
      </c>
      <c r="AD227">
        <v>6.4668590000000004</v>
      </c>
      <c r="AE227">
        <v>6.9913369999999997</v>
      </c>
      <c r="AF227">
        <v>7.9444879999999998</v>
      </c>
      <c r="AG227">
        <v>9.0734139999999996</v>
      </c>
      <c r="AH227">
        <v>10.517578</v>
      </c>
      <c r="AI227">
        <v>12.115088999999999</v>
      </c>
      <c r="AK227">
        <v>13.941708999999999</v>
      </c>
      <c r="AM227">
        <v>15.888622</v>
      </c>
      <c r="AO227">
        <v>17.994450000000001</v>
      </c>
      <c r="AQ227">
        <v>20.074558</v>
      </c>
      <c r="AR227">
        <v>22.176915999999999</v>
      </c>
      <c r="AS227">
        <v>24.366651999999998</v>
      </c>
      <c r="AV227">
        <v>26.637823000000001</v>
      </c>
      <c r="AW227">
        <v>28.812211999999999</v>
      </c>
      <c r="AX227">
        <v>30.991955000000001</v>
      </c>
      <c r="AY227">
        <v>32.655375999999997</v>
      </c>
      <c r="AZ227">
        <v>34.334102999999999</v>
      </c>
      <c r="BA227">
        <v>35.746906000000003</v>
      </c>
      <c r="BB227">
        <v>37.273631999999999</v>
      </c>
      <c r="BC227">
        <v>39.165756000000002</v>
      </c>
      <c r="BD227">
        <v>40.978081000000003</v>
      </c>
      <c r="BE227">
        <v>42.553631000000003</v>
      </c>
      <c r="BF227">
        <v>44.318244999999997</v>
      </c>
      <c r="BG227">
        <v>45.816161999999998</v>
      </c>
      <c r="BH227">
        <v>47.434151</v>
      </c>
      <c r="BI227" s="49">
        <v>9.6000000000000002E-2</v>
      </c>
    </row>
    <row r="228" spans="20:61" x14ac:dyDescent="0.5">
      <c r="T228" t="s">
        <v>493</v>
      </c>
      <c r="U228" t="s">
        <v>494</v>
      </c>
      <c r="V228" t="s">
        <v>117</v>
      </c>
      <c r="X228">
        <v>0.40677200000000002</v>
      </c>
      <c r="Y228">
        <v>0.45662000000000003</v>
      </c>
      <c r="Z228">
        <v>0.47960900000000001</v>
      </c>
      <c r="AA228">
        <v>0.49516100000000002</v>
      </c>
      <c r="AB228">
        <v>0.53214700000000004</v>
      </c>
      <c r="AC228">
        <v>0.54849400000000004</v>
      </c>
      <c r="AD228">
        <v>0.55289100000000002</v>
      </c>
      <c r="AE228">
        <v>0.61254200000000003</v>
      </c>
      <c r="AF228">
        <v>0.69458200000000003</v>
      </c>
      <c r="AG228">
        <v>0.78223299999999996</v>
      </c>
      <c r="AH228">
        <v>0.86387899999999995</v>
      </c>
      <c r="AI228">
        <v>0.95661099999999999</v>
      </c>
      <c r="AK228">
        <v>1.0512300000000001</v>
      </c>
      <c r="AM228">
        <v>1.14567</v>
      </c>
      <c r="AO228">
        <v>1.239215</v>
      </c>
      <c r="AQ228">
        <v>1.323987</v>
      </c>
      <c r="AR228">
        <v>1.413764</v>
      </c>
      <c r="AS228">
        <v>1.5188489999999999</v>
      </c>
      <c r="AV228">
        <v>1.638666</v>
      </c>
      <c r="AW228">
        <v>1.7677860000000001</v>
      </c>
      <c r="AX228">
        <v>1.908717</v>
      </c>
      <c r="AY228">
        <v>2.0739890000000001</v>
      </c>
      <c r="AZ228">
        <v>2.2713290000000002</v>
      </c>
      <c r="BA228">
        <v>2.4739659999999999</v>
      </c>
      <c r="BB228">
        <v>2.7138520000000002</v>
      </c>
      <c r="BC228">
        <v>3.029172</v>
      </c>
      <c r="BD228">
        <v>3.3698030000000001</v>
      </c>
      <c r="BE228">
        <v>3.7554889999999999</v>
      </c>
      <c r="BF228">
        <v>4.2232570000000003</v>
      </c>
      <c r="BG228">
        <v>4.730213</v>
      </c>
      <c r="BH228">
        <v>5.3100440000000004</v>
      </c>
      <c r="BI228" s="49">
        <v>8.8999999999999996E-2</v>
      </c>
    </row>
    <row r="229" spans="20:61" x14ac:dyDescent="0.5">
      <c r="T229" t="s">
        <v>495</v>
      </c>
      <c r="U229" t="s">
        <v>496</v>
      </c>
      <c r="V229" t="s">
        <v>117</v>
      </c>
      <c r="X229">
        <v>2.7857090000000002</v>
      </c>
      <c r="Y229">
        <v>3.3739569999999999</v>
      </c>
      <c r="Z229">
        <v>3.4254540000000002</v>
      </c>
      <c r="AA229">
        <v>3.1767799999999999</v>
      </c>
      <c r="AB229">
        <v>2.9444219999999999</v>
      </c>
      <c r="AC229">
        <v>5.2269610000000002</v>
      </c>
      <c r="AD229">
        <v>15.114775</v>
      </c>
      <c r="AE229">
        <v>17.476025</v>
      </c>
      <c r="AF229">
        <v>17.70919</v>
      </c>
      <c r="AG229">
        <v>17.717676000000001</v>
      </c>
      <c r="AH229">
        <v>17.84075</v>
      </c>
      <c r="AI229">
        <v>18.241095999999999</v>
      </c>
      <c r="AK229">
        <v>18.774113</v>
      </c>
      <c r="AM229">
        <v>19.278905999999999</v>
      </c>
      <c r="AO229">
        <v>19.745025999999999</v>
      </c>
      <c r="AQ229">
        <v>20.032952999999999</v>
      </c>
      <c r="AR229">
        <v>20.222094999999999</v>
      </c>
      <c r="AS229">
        <v>20.430385999999999</v>
      </c>
      <c r="AV229">
        <v>20.639178999999999</v>
      </c>
      <c r="AW229">
        <v>20.749355000000001</v>
      </c>
      <c r="AX229">
        <v>20.788022999999999</v>
      </c>
      <c r="AY229">
        <v>20.807388</v>
      </c>
      <c r="AZ229">
        <v>20.87311</v>
      </c>
      <c r="BA229">
        <v>20.740068000000001</v>
      </c>
      <c r="BB229">
        <v>20.650732000000001</v>
      </c>
      <c r="BC229">
        <v>20.745802000000001</v>
      </c>
      <c r="BD229">
        <v>20.655636000000001</v>
      </c>
      <c r="BE229">
        <v>20.474930000000001</v>
      </c>
      <c r="BF229">
        <v>20.357306999999999</v>
      </c>
      <c r="BG229">
        <v>20.087281999999998</v>
      </c>
      <c r="BH229">
        <v>19.805745999999999</v>
      </c>
      <c r="BI229" s="49">
        <v>6.8000000000000005E-2</v>
      </c>
    </row>
    <row r="230" spans="20:61" x14ac:dyDescent="0.5">
      <c r="T230" t="s">
        <v>497</v>
      </c>
      <c r="U230" t="s">
        <v>498</v>
      </c>
      <c r="V230" t="s">
        <v>117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</v>
      </c>
      <c r="AM230">
        <v>0</v>
      </c>
      <c r="AO230">
        <v>0</v>
      </c>
      <c r="AQ230">
        <v>0</v>
      </c>
      <c r="AR230">
        <v>0</v>
      </c>
      <c r="AS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137</v>
      </c>
    </row>
    <row r="231" spans="20:61" x14ac:dyDescent="0.5">
      <c r="T231" t="s">
        <v>499</v>
      </c>
      <c r="U231" t="s">
        <v>500</v>
      </c>
      <c r="V231" t="s">
        <v>117</v>
      </c>
      <c r="X231">
        <v>24.149087999999999</v>
      </c>
      <c r="Y231">
        <v>29.125805</v>
      </c>
      <c r="Z231">
        <v>31.312823999999999</v>
      </c>
      <c r="AA231">
        <v>32.143279999999997</v>
      </c>
      <c r="AB231">
        <v>33.685074</v>
      </c>
      <c r="AC231">
        <v>35.314373000000003</v>
      </c>
      <c r="AD231">
        <v>42.063034000000002</v>
      </c>
      <c r="AE231">
        <v>44.869385000000001</v>
      </c>
      <c r="AF231">
        <v>46.528629000000002</v>
      </c>
      <c r="AG231">
        <v>47.914692000000002</v>
      </c>
      <c r="AH231">
        <v>49.347678999999999</v>
      </c>
      <c r="AI231">
        <v>51.082348000000003</v>
      </c>
      <c r="AK231">
        <v>52.812888999999998</v>
      </c>
      <c r="AM231">
        <v>54.558551999999999</v>
      </c>
      <c r="AO231">
        <v>56.269508000000002</v>
      </c>
      <c r="AQ231">
        <v>57.578487000000003</v>
      </c>
      <c r="AR231">
        <v>58.761791000000002</v>
      </c>
      <c r="AS231">
        <v>60.059486</v>
      </c>
      <c r="AV231">
        <v>61.485748000000001</v>
      </c>
      <c r="AW231">
        <v>62.756100000000004</v>
      </c>
      <c r="AX231">
        <v>63.893912999999998</v>
      </c>
      <c r="AY231">
        <v>65.269936000000001</v>
      </c>
      <c r="AZ231">
        <v>66.934616000000005</v>
      </c>
      <c r="BA231">
        <v>68.017036000000004</v>
      </c>
      <c r="BB231">
        <v>69.332237000000006</v>
      </c>
      <c r="BC231">
        <v>71.416938999999999</v>
      </c>
      <c r="BD231">
        <v>72.852187999999998</v>
      </c>
      <c r="BE231">
        <v>74.045921000000007</v>
      </c>
      <c r="BF231">
        <v>75.708672000000007</v>
      </c>
      <c r="BG231">
        <v>76.838654000000005</v>
      </c>
      <c r="BH231">
        <v>77.945267000000001</v>
      </c>
      <c r="BI231" s="49">
        <v>0.04</v>
      </c>
    </row>
    <row r="232" spans="20:61" x14ac:dyDescent="0.5">
      <c r="T232" t="s">
        <v>501</v>
      </c>
      <c r="U232" t="s">
        <v>502</v>
      </c>
      <c r="V232" t="s">
        <v>117</v>
      </c>
      <c r="X232">
        <v>0.10002900000000001</v>
      </c>
      <c r="Y232">
        <v>0.112372</v>
      </c>
      <c r="Z232">
        <v>0.1169</v>
      </c>
      <c r="AA232">
        <v>0.11787499999999999</v>
      </c>
      <c r="AB232">
        <v>0.12152300000000001</v>
      </c>
      <c r="AC232">
        <v>0.124652</v>
      </c>
      <c r="AD232">
        <v>0.12485</v>
      </c>
      <c r="AE232">
        <v>0.12349300000000001</v>
      </c>
      <c r="AF232">
        <v>0.124234</v>
      </c>
      <c r="AG232">
        <v>0.124735</v>
      </c>
      <c r="AH232">
        <v>0.12349400000000001</v>
      </c>
      <c r="AI232">
        <v>0.124041</v>
      </c>
      <c r="AK232">
        <v>0.124458</v>
      </c>
      <c r="AM232">
        <v>0.125141</v>
      </c>
      <c r="AO232">
        <v>0.12575900000000001</v>
      </c>
      <c r="AQ232">
        <v>0.125665</v>
      </c>
      <c r="AR232">
        <v>0.125303</v>
      </c>
      <c r="AS232">
        <v>0.125392</v>
      </c>
      <c r="AV232">
        <v>0.12587300000000001</v>
      </c>
      <c r="AW232">
        <v>0.12618799999999999</v>
      </c>
      <c r="AX232">
        <v>0.125943</v>
      </c>
      <c r="AY232">
        <v>0.12654199999999999</v>
      </c>
      <c r="AZ232">
        <v>0.12790499999999999</v>
      </c>
      <c r="BA232">
        <v>0.128021</v>
      </c>
      <c r="BB232">
        <v>0.12861500000000001</v>
      </c>
      <c r="BC232">
        <v>0.13075500000000001</v>
      </c>
      <c r="BD232">
        <v>0.13104199999999999</v>
      </c>
      <c r="BE232">
        <v>0.13147500000000001</v>
      </c>
      <c r="BF232">
        <v>0.132657</v>
      </c>
      <c r="BG232">
        <v>0.13283800000000001</v>
      </c>
      <c r="BH232">
        <v>0.13273499999999999</v>
      </c>
      <c r="BI232" s="49">
        <v>8.9999999999999993E-3</v>
      </c>
    </row>
    <row r="233" spans="20:61" x14ac:dyDescent="0.5">
      <c r="T233" t="s">
        <v>503</v>
      </c>
      <c r="U233" t="s">
        <v>504</v>
      </c>
      <c r="V233" t="s">
        <v>117</v>
      </c>
      <c r="X233">
        <v>0.55176000000000003</v>
      </c>
      <c r="Y233">
        <v>0.61991499999999999</v>
      </c>
      <c r="Z233">
        <v>0.64489700000000005</v>
      </c>
      <c r="AA233">
        <v>0.65031600000000001</v>
      </c>
      <c r="AB233">
        <v>0.67044899999999996</v>
      </c>
      <c r="AC233">
        <v>0.68774900000000005</v>
      </c>
      <c r="AD233">
        <v>0.68886899999999995</v>
      </c>
      <c r="AE233">
        <v>0.68144800000000005</v>
      </c>
      <c r="AF233">
        <v>0.68561700000000003</v>
      </c>
      <c r="AG233">
        <v>0.68847899999999995</v>
      </c>
      <c r="AH233">
        <v>0.68179400000000001</v>
      </c>
      <c r="AI233">
        <v>0.68489299999999997</v>
      </c>
      <c r="AK233">
        <v>0.68729700000000005</v>
      </c>
      <c r="AM233">
        <v>0.69116599999999995</v>
      </c>
      <c r="AO233">
        <v>0.69470799999999999</v>
      </c>
      <c r="AQ233">
        <v>0.69430400000000003</v>
      </c>
      <c r="AR233">
        <v>0.69241699999999995</v>
      </c>
      <c r="AS233">
        <v>0.69301900000000005</v>
      </c>
      <c r="AV233">
        <v>0.69579299999999999</v>
      </c>
      <c r="AW233">
        <v>0.69763699999999995</v>
      </c>
      <c r="AX233">
        <v>0.69644399999999995</v>
      </c>
      <c r="AY233">
        <v>0.69988700000000004</v>
      </c>
      <c r="AZ233">
        <v>0.70752700000000002</v>
      </c>
      <c r="BA233">
        <v>0.70827899999999999</v>
      </c>
      <c r="BB233">
        <v>0.71167800000000003</v>
      </c>
      <c r="BC233">
        <v>0.723607</v>
      </c>
      <c r="BD233">
        <v>0.72540800000000005</v>
      </c>
      <c r="BE233">
        <v>0.72787999999999997</v>
      </c>
      <c r="BF233">
        <v>0.73451500000000003</v>
      </c>
      <c r="BG233">
        <v>0.73560199999999998</v>
      </c>
      <c r="BH233">
        <v>0.73517900000000003</v>
      </c>
      <c r="BI233" s="49">
        <v>0.01</v>
      </c>
    </row>
    <row r="234" spans="20:61" x14ac:dyDescent="0.5">
      <c r="T234" t="s">
        <v>505</v>
      </c>
      <c r="U234" t="s">
        <v>506</v>
      </c>
      <c r="V234" t="s">
        <v>117</v>
      </c>
      <c r="X234">
        <v>0.121201</v>
      </c>
      <c r="Y234">
        <v>0.148143</v>
      </c>
      <c r="Z234">
        <v>0.161879</v>
      </c>
      <c r="AA234">
        <v>0.167098</v>
      </c>
      <c r="AB234">
        <v>0.17258799999999999</v>
      </c>
      <c r="AC234">
        <v>0.178341</v>
      </c>
      <c r="AD234">
        <v>0.18135399999999999</v>
      </c>
      <c r="AE234">
        <v>0.18288499999999999</v>
      </c>
      <c r="AF234">
        <v>0.18728300000000001</v>
      </c>
      <c r="AG234">
        <v>0.191663</v>
      </c>
      <c r="AH234">
        <v>0.195745</v>
      </c>
      <c r="AI234">
        <v>0.199851</v>
      </c>
      <c r="AK234">
        <v>0.203899</v>
      </c>
      <c r="AM234">
        <v>0.208596</v>
      </c>
      <c r="AO234">
        <v>0.214695</v>
      </c>
      <c r="AQ234">
        <v>0.219718</v>
      </c>
      <c r="AR234">
        <v>0.22434499999999999</v>
      </c>
      <c r="AS234">
        <v>0.229324</v>
      </c>
      <c r="AV234">
        <v>0.235378</v>
      </c>
      <c r="AW234">
        <v>0.241396</v>
      </c>
      <c r="AX234">
        <v>0.24754599999999999</v>
      </c>
      <c r="AY234">
        <v>0.25469000000000003</v>
      </c>
      <c r="AZ234">
        <v>0.26315699999999997</v>
      </c>
      <c r="BA234">
        <v>0.26924399999999998</v>
      </c>
      <c r="BB234">
        <v>0.27734599999999998</v>
      </c>
      <c r="BC234">
        <v>0.288966</v>
      </c>
      <c r="BD234">
        <v>0.29971100000000001</v>
      </c>
      <c r="BE234">
        <v>0.30596800000000002</v>
      </c>
      <c r="BF234">
        <v>0.31554199999999999</v>
      </c>
      <c r="BG234">
        <v>0.32267099999999999</v>
      </c>
      <c r="BH234">
        <v>0.33233600000000002</v>
      </c>
      <c r="BI234" s="49">
        <v>3.4000000000000002E-2</v>
      </c>
    </row>
    <row r="235" spans="20:61" x14ac:dyDescent="0.5">
      <c r="T235" t="s">
        <v>507</v>
      </c>
      <c r="U235" t="s">
        <v>508</v>
      </c>
      <c r="V235" t="s">
        <v>117</v>
      </c>
      <c r="X235">
        <v>0.356462</v>
      </c>
      <c r="Y235">
        <v>0.40049400000000002</v>
      </c>
      <c r="Z235">
        <v>0.41662300000000002</v>
      </c>
      <c r="AA235">
        <v>0.42007899999999998</v>
      </c>
      <c r="AB235">
        <v>0.43304399999999998</v>
      </c>
      <c r="AC235">
        <v>0.44418400000000002</v>
      </c>
      <c r="AD235">
        <v>0.44488499999999997</v>
      </c>
      <c r="AE235">
        <v>0.44006400000000001</v>
      </c>
      <c r="AF235">
        <v>0.44270500000000002</v>
      </c>
      <c r="AG235">
        <v>0.44451099999999999</v>
      </c>
      <c r="AH235">
        <v>0.440108</v>
      </c>
      <c r="AI235">
        <v>0.442079</v>
      </c>
      <c r="AK235">
        <v>0.44357999999999997</v>
      </c>
      <c r="AM235">
        <v>0.44603999999999999</v>
      </c>
      <c r="AO235">
        <v>0.44827299999999998</v>
      </c>
      <c r="AQ235">
        <v>0.44796599999999998</v>
      </c>
      <c r="AR235">
        <v>0.44669500000000001</v>
      </c>
      <c r="AS235">
        <v>0.44703300000000001</v>
      </c>
      <c r="AV235">
        <v>0.44877400000000001</v>
      </c>
      <c r="AW235">
        <v>0.44992599999999999</v>
      </c>
      <c r="AX235">
        <v>0.449069</v>
      </c>
      <c r="AY235">
        <v>0.45122299999999999</v>
      </c>
      <c r="AZ235">
        <v>0.45610800000000001</v>
      </c>
      <c r="BA235">
        <v>0.45653700000000003</v>
      </c>
      <c r="BB235">
        <v>0.45868500000000001</v>
      </c>
      <c r="BC235">
        <v>0.46635100000000002</v>
      </c>
      <c r="BD235">
        <v>0.46740399999999999</v>
      </c>
      <c r="BE235">
        <v>0.46895599999999998</v>
      </c>
      <c r="BF235">
        <v>0.473192</v>
      </c>
      <c r="BG235">
        <v>0.47385300000000002</v>
      </c>
      <c r="BH235">
        <v>0.47352</v>
      </c>
      <c r="BI235" s="49">
        <v>0.01</v>
      </c>
    </row>
    <row r="236" spans="20:61" x14ac:dyDescent="0.5">
      <c r="T236" t="s">
        <v>509</v>
      </c>
      <c r="U236" t="s">
        <v>510</v>
      </c>
      <c r="V236" t="s">
        <v>117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</v>
      </c>
      <c r="AM236">
        <v>0</v>
      </c>
      <c r="AO236">
        <v>0</v>
      </c>
      <c r="AQ236">
        <v>0</v>
      </c>
      <c r="AR236">
        <v>0</v>
      </c>
      <c r="AS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137</v>
      </c>
    </row>
    <row r="237" spans="20:61" x14ac:dyDescent="0.5">
      <c r="T237" t="s">
        <v>511</v>
      </c>
      <c r="U237" t="s">
        <v>512</v>
      </c>
      <c r="V237" t="s">
        <v>117</v>
      </c>
      <c r="X237">
        <v>6.0599999999999998E-4</v>
      </c>
      <c r="Y237">
        <v>8.9700000000000001E-4</v>
      </c>
      <c r="Z237">
        <v>1.2310000000000001E-3</v>
      </c>
      <c r="AA237">
        <v>1.6230000000000001E-3</v>
      </c>
      <c r="AB237">
        <v>2.173E-3</v>
      </c>
      <c r="AC237">
        <v>2.9520000000000002E-3</v>
      </c>
      <c r="AD237">
        <v>3.738E-3</v>
      </c>
      <c r="AE237">
        <v>4.6449999999999998E-3</v>
      </c>
      <c r="AF237">
        <v>5.8129999999999996E-3</v>
      </c>
      <c r="AG237">
        <v>7.1590000000000004E-3</v>
      </c>
      <c r="AH237">
        <v>8.574E-3</v>
      </c>
      <c r="AI237">
        <v>1.0211E-2</v>
      </c>
      <c r="AK237">
        <v>1.1939999999999999E-2</v>
      </c>
      <c r="AM237">
        <v>1.3748E-2</v>
      </c>
      <c r="AO237">
        <v>1.5564E-2</v>
      </c>
      <c r="AQ237">
        <v>1.7242E-2</v>
      </c>
      <c r="AR237">
        <v>1.8793000000000001E-2</v>
      </c>
      <c r="AS237">
        <v>2.0298E-2</v>
      </c>
      <c r="AV237">
        <v>2.1759000000000001E-2</v>
      </c>
      <c r="AW237">
        <v>2.3081999999999998E-2</v>
      </c>
      <c r="AX237">
        <v>2.4240999999999999E-2</v>
      </c>
      <c r="AY237">
        <v>2.5478000000000001E-2</v>
      </c>
      <c r="AZ237">
        <v>2.6786999999999998E-2</v>
      </c>
      <c r="BA237">
        <v>2.7785000000000001E-2</v>
      </c>
      <c r="BB237">
        <v>2.8861000000000001E-2</v>
      </c>
      <c r="BC237">
        <v>3.0266000000000001E-2</v>
      </c>
      <c r="BD237">
        <v>3.1326E-2</v>
      </c>
      <c r="BE237">
        <v>3.2279000000000002E-2</v>
      </c>
      <c r="BF237">
        <v>3.3384999999999998E-2</v>
      </c>
      <c r="BG237">
        <v>3.4183999999999999E-2</v>
      </c>
      <c r="BH237">
        <v>3.4906E-2</v>
      </c>
      <c r="BI237" s="49">
        <v>0.14499999999999999</v>
      </c>
    </row>
    <row r="238" spans="20:61" x14ac:dyDescent="0.5">
      <c r="T238" t="s">
        <v>513</v>
      </c>
      <c r="U238" t="s">
        <v>514</v>
      </c>
      <c r="V238" t="s">
        <v>117</v>
      </c>
      <c r="X238">
        <v>109.053528</v>
      </c>
      <c r="Y238">
        <v>117.66452</v>
      </c>
      <c r="Z238">
        <v>123.244247</v>
      </c>
      <c r="AA238">
        <v>125.438461</v>
      </c>
      <c r="AB238">
        <v>130.52583300000001</v>
      </c>
      <c r="AC238">
        <v>137.3013</v>
      </c>
      <c r="AD238">
        <v>153.73492400000001</v>
      </c>
      <c r="AE238">
        <v>158.40509</v>
      </c>
      <c r="AF238">
        <v>162.04977400000001</v>
      </c>
      <c r="AG238">
        <v>165.28076200000001</v>
      </c>
      <c r="AH238">
        <v>167.83273299999999</v>
      </c>
      <c r="AI238">
        <v>172.319962</v>
      </c>
      <c r="AK238">
        <v>177.06724500000001</v>
      </c>
      <c r="AM238">
        <v>182.071259</v>
      </c>
      <c r="AO238">
        <v>187.17932099999999</v>
      </c>
      <c r="AQ238">
        <v>191.09393299999999</v>
      </c>
      <c r="AR238">
        <v>194.55908199999999</v>
      </c>
      <c r="AS238">
        <v>198.578003</v>
      </c>
      <c r="AV238">
        <v>203.10382100000001</v>
      </c>
      <c r="AW238">
        <v>207.14473000000001</v>
      </c>
      <c r="AX238">
        <v>210.57208299999999</v>
      </c>
      <c r="AY238">
        <v>214.37350499999999</v>
      </c>
      <c r="AZ238">
        <v>219.13369800000001</v>
      </c>
      <c r="BA238">
        <v>221.92332500000001</v>
      </c>
      <c r="BB238">
        <v>225.48706100000001</v>
      </c>
      <c r="BC238">
        <v>231.589539</v>
      </c>
      <c r="BD238">
        <v>235.370316</v>
      </c>
      <c r="BE238">
        <v>238.75402800000001</v>
      </c>
      <c r="BF238">
        <v>243.490814</v>
      </c>
      <c r="BG238">
        <v>246.59826699999999</v>
      </c>
      <c r="BH238">
        <v>249.64035000000001</v>
      </c>
      <c r="BI238" s="49">
        <v>2.8000000000000001E-2</v>
      </c>
    </row>
    <row r="239" spans="20:61" x14ac:dyDescent="0.5">
      <c r="T239" t="s">
        <v>515</v>
      </c>
      <c r="U239" t="s">
        <v>516</v>
      </c>
      <c r="V239" t="s">
        <v>155</v>
      </c>
      <c r="X239">
        <v>12.469412999999999</v>
      </c>
      <c r="Y239">
        <v>11.977734</v>
      </c>
      <c r="Z239">
        <v>12.172135000000001</v>
      </c>
      <c r="AA239">
        <v>12.257497000000001</v>
      </c>
      <c r="AB239">
        <v>12.334659</v>
      </c>
      <c r="AC239">
        <v>12.635668000000001</v>
      </c>
      <c r="AD239">
        <v>14.108318000000001</v>
      </c>
      <c r="AE239">
        <v>14.720950999999999</v>
      </c>
      <c r="AF239">
        <v>15.002561</v>
      </c>
      <c r="AG239">
        <v>15.276120000000001</v>
      </c>
      <c r="AH239">
        <v>15.660914</v>
      </c>
      <c r="AI239">
        <v>16.048442999999999</v>
      </c>
      <c r="AK239">
        <v>16.482567</v>
      </c>
      <c r="AM239">
        <v>16.910622</v>
      </c>
      <c r="AO239">
        <v>17.361848999999999</v>
      </c>
      <c r="AQ239">
        <v>17.806740000000001</v>
      </c>
      <c r="AR239">
        <v>18.25741</v>
      </c>
      <c r="AS239">
        <v>18.693784999999998</v>
      </c>
      <c r="AV239">
        <v>19.121185000000001</v>
      </c>
      <c r="AW239">
        <v>19.526501</v>
      </c>
      <c r="AX239">
        <v>19.968225</v>
      </c>
      <c r="AY239">
        <v>20.310113999999999</v>
      </c>
      <c r="AZ239">
        <v>20.616001000000001</v>
      </c>
      <c r="BA239">
        <v>20.936069</v>
      </c>
      <c r="BB239">
        <v>21.252865</v>
      </c>
      <c r="BC239">
        <v>21.549173</v>
      </c>
      <c r="BD239">
        <v>21.942647999999998</v>
      </c>
      <c r="BE239">
        <v>22.271521</v>
      </c>
      <c r="BF239">
        <v>22.596185999999999</v>
      </c>
      <c r="BG239">
        <v>22.931135000000001</v>
      </c>
      <c r="BH239">
        <v>23.306508999999998</v>
      </c>
      <c r="BI239" s="49">
        <v>2.1000000000000001E-2</v>
      </c>
    </row>
    <row r="240" spans="20:61" x14ac:dyDescent="0.5">
      <c r="T240" t="s">
        <v>517</v>
      </c>
      <c r="U240" t="s">
        <v>518</v>
      </c>
      <c r="V240" t="s">
        <v>117</v>
      </c>
      <c r="X240">
        <v>874.56829800000003</v>
      </c>
      <c r="Y240">
        <v>982.36047399999995</v>
      </c>
      <c r="Z240">
        <v>1012.511353</v>
      </c>
      <c r="AA240">
        <v>1023.361145</v>
      </c>
      <c r="AB240">
        <v>1058.203857</v>
      </c>
      <c r="AC240">
        <v>1086.616943</v>
      </c>
      <c r="AD240">
        <v>1089.6757809999999</v>
      </c>
      <c r="AE240">
        <v>1076.0520019999999</v>
      </c>
      <c r="AF240">
        <v>1080.147461</v>
      </c>
      <c r="AG240">
        <v>1081.955078</v>
      </c>
      <c r="AH240">
        <v>1071.66626</v>
      </c>
      <c r="AI240">
        <v>1073.748779</v>
      </c>
      <c r="AK240">
        <v>1074.269775</v>
      </c>
      <c r="AM240">
        <v>1076.668091</v>
      </c>
      <c r="AO240">
        <v>1078.1070560000001</v>
      </c>
      <c r="AQ240">
        <v>1073.155029</v>
      </c>
      <c r="AR240">
        <v>1065.6445309999999</v>
      </c>
      <c r="AS240">
        <v>1062.267578</v>
      </c>
      <c r="AV240">
        <v>1062.1926269999999</v>
      </c>
      <c r="AW240">
        <v>1060.8389890000001</v>
      </c>
      <c r="AX240">
        <v>1054.5357670000001</v>
      </c>
      <c r="AY240">
        <v>1055.501221</v>
      </c>
      <c r="AZ240">
        <v>1062.9301760000001</v>
      </c>
      <c r="BA240">
        <v>1060.0047609999999</v>
      </c>
      <c r="BB240">
        <v>1060.972534</v>
      </c>
      <c r="BC240">
        <v>1074.7026370000001</v>
      </c>
      <c r="BD240">
        <v>1072.6613769999999</v>
      </c>
      <c r="BE240">
        <v>1072.014893</v>
      </c>
      <c r="BF240">
        <v>1077.5748289999999</v>
      </c>
      <c r="BG240">
        <v>1075.3862300000001</v>
      </c>
      <c r="BH240">
        <v>1071.1186520000001</v>
      </c>
      <c r="BI240" s="49">
        <v>7.0000000000000001E-3</v>
      </c>
    </row>
    <row r="241" spans="20:61" x14ac:dyDescent="0.5">
      <c r="T241" t="s">
        <v>519</v>
      </c>
      <c r="U241" t="s">
        <v>520</v>
      </c>
      <c r="V241" t="s">
        <v>155</v>
      </c>
      <c r="X241">
        <v>10.441928000000001</v>
      </c>
      <c r="Y241">
        <v>10.129994999999999</v>
      </c>
      <c r="Z241">
        <v>10.272532999999999</v>
      </c>
      <c r="AA241">
        <v>10.476226</v>
      </c>
      <c r="AB241">
        <v>10.675755000000001</v>
      </c>
      <c r="AC241">
        <v>10.990461</v>
      </c>
      <c r="AD241">
        <v>12.091963</v>
      </c>
      <c r="AE241">
        <v>12.676914</v>
      </c>
      <c r="AF241">
        <v>13.099924</v>
      </c>
      <c r="AG241">
        <v>13.472904</v>
      </c>
      <c r="AH241">
        <v>13.918753000000001</v>
      </c>
      <c r="AI241">
        <v>14.403195</v>
      </c>
      <c r="AK241">
        <v>14.928749</v>
      </c>
      <c r="AM241">
        <v>15.470864000000001</v>
      </c>
      <c r="AO241">
        <v>16.037269999999999</v>
      </c>
      <c r="AQ241">
        <v>16.610775</v>
      </c>
      <c r="AR241">
        <v>17.190382</v>
      </c>
      <c r="AS241">
        <v>17.767185000000001</v>
      </c>
      <c r="AV241">
        <v>18.33766</v>
      </c>
      <c r="AW241">
        <v>18.89048</v>
      </c>
      <c r="AX241">
        <v>19.466301000000001</v>
      </c>
      <c r="AY241">
        <v>19.944147000000001</v>
      </c>
      <c r="AZ241">
        <v>20.382556999999998</v>
      </c>
      <c r="BA241">
        <v>20.828883999999999</v>
      </c>
      <c r="BB241">
        <v>21.277743999999998</v>
      </c>
      <c r="BC241">
        <v>21.710795999999998</v>
      </c>
      <c r="BD241">
        <v>22.224661000000001</v>
      </c>
      <c r="BE241">
        <v>22.716591000000001</v>
      </c>
      <c r="BF241">
        <v>23.177102999999999</v>
      </c>
      <c r="BG241">
        <v>23.653883</v>
      </c>
      <c r="BH241">
        <v>24.169273</v>
      </c>
      <c r="BI241" s="49">
        <v>2.8000000000000001E-2</v>
      </c>
    </row>
    <row r="242" spans="20:61" x14ac:dyDescent="0.5">
      <c r="T242" t="s">
        <v>521</v>
      </c>
      <c r="U242" t="s">
        <v>522</v>
      </c>
      <c r="V242" t="s">
        <v>117</v>
      </c>
      <c r="X242">
        <v>9.3349709999999995</v>
      </c>
      <c r="Y242">
        <v>10.508108999999999</v>
      </c>
      <c r="Z242">
        <v>11.324837</v>
      </c>
      <c r="AA242">
        <v>11.706433000000001</v>
      </c>
      <c r="AB242">
        <v>12.470578</v>
      </c>
      <c r="AC242">
        <v>13.25184</v>
      </c>
      <c r="AD242">
        <v>13.844785999999999</v>
      </c>
      <c r="AE242">
        <v>14.317425999999999</v>
      </c>
      <c r="AF242">
        <v>15.135904999999999</v>
      </c>
      <c r="AG242">
        <v>15.973898</v>
      </c>
      <c r="AH242">
        <v>16.743172000000001</v>
      </c>
      <c r="AI242">
        <v>17.645897000000001</v>
      </c>
      <c r="AK242">
        <v>18.501187999999999</v>
      </c>
      <c r="AM242">
        <v>19.359587000000001</v>
      </c>
      <c r="AO242">
        <v>20.170466999999999</v>
      </c>
      <c r="AQ242">
        <v>20.791319000000001</v>
      </c>
      <c r="AR242">
        <v>21.301919999999999</v>
      </c>
      <c r="AS242">
        <v>21.818680000000001</v>
      </c>
      <c r="AV242">
        <v>22.343648999999999</v>
      </c>
      <c r="AW242">
        <v>22.774588000000001</v>
      </c>
      <c r="AX242">
        <v>23.114896999999999</v>
      </c>
      <c r="AY242">
        <v>23.572648999999998</v>
      </c>
      <c r="AZ242">
        <v>24.108333999999999</v>
      </c>
      <c r="BA242">
        <v>24.384916</v>
      </c>
      <c r="BB242">
        <v>24.730709000000001</v>
      </c>
      <c r="BC242">
        <v>25.331011</v>
      </c>
      <c r="BD242">
        <v>25.647691999999999</v>
      </c>
      <c r="BE242">
        <v>25.921444000000001</v>
      </c>
      <c r="BF242">
        <v>26.312971000000001</v>
      </c>
      <c r="BG242">
        <v>26.492899000000001</v>
      </c>
      <c r="BH242">
        <v>26.633165000000002</v>
      </c>
      <c r="BI242" s="49">
        <v>3.5999999999999997E-2</v>
      </c>
    </row>
    <row r="243" spans="20:61" x14ac:dyDescent="0.5">
      <c r="T243" t="s">
        <v>523</v>
      </c>
      <c r="U243" t="s">
        <v>524</v>
      </c>
      <c r="V243" t="s">
        <v>117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</v>
      </c>
      <c r="AM243">
        <v>0</v>
      </c>
      <c r="AO243">
        <v>0</v>
      </c>
      <c r="AQ243">
        <v>0</v>
      </c>
      <c r="AR243">
        <v>0</v>
      </c>
      <c r="AS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137</v>
      </c>
    </row>
    <row r="244" spans="20:61" x14ac:dyDescent="0.5">
      <c r="T244" t="s">
        <v>525</v>
      </c>
      <c r="U244" t="s">
        <v>526</v>
      </c>
      <c r="V244" t="s">
        <v>117</v>
      </c>
      <c r="X244">
        <v>1267.5642089999999</v>
      </c>
      <c r="Y244">
        <v>1400.752563</v>
      </c>
      <c r="Z244">
        <v>1481.9526370000001</v>
      </c>
      <c r="AA244">
        <v>1484.4693600000001</v>
      </c>
      <c r="AB244">
        <v>1513.8785399999999</v>
      </c>
      <c r="AC244">
        <v>1542.596313</v>
      </c>
      <c r="AD244">
        <v>1523.5147710000001</v>
      </c>
      <c r="AE244">
        <v>1497.174561</v>
      </c>
      <c r="AF244">
        <v>1502.716919</v>
      </c>
      <c r="AG244">
        <v>1504.521851</v>
      </c>
      <c r="AH244">
        <v>1495.691284</v>
      </c>
      <c r="AI244">
        <v>1497.463501</v>
      </c>
      <c r="AK244">
        <v>1493.727173</v>
      </c>
      <c r="AM244">
        <v>1492.2921140000001</v>
      </c>
      <c r="AO244">
        <v>1489.7158199999999</v>
      </c>
      <c r="AQ244">
        <v>1476.4073490000001</v>
      </c>
      <c r="AR244">
        <v>1459.5570070000001</v>
      </c>
      <c r="AS244">
        <v>1447.3638920000001</v>
      </c>
      <c r="AV244">
        <v>1439.056274</v>
      </c>
      <c r="AW244">
        <v>1427.605591</v>
      </c>
      <c r="AX244">
        <v>1412.9700929999999</v>
      </c>
      <c r="AY244">
        <v>1409.001831</v>
      </c>
      <c r="AZ244">
        <v>1411.271362</v>
      </c>
      <c r="BA244">
        <v>1399.247314</v>
      </c>
      <c r="BB244">
        <v>1392.006226</v>
      </c>
      <c r="BC244">
        <v>1399.3522949999999</v>
      </c>
      <c r="BD244">
        <v>1390.0665280000001</v>
      </c>
      <c r="BE244">
        <v>1378.9229740000001</v>
      </c>
      <c r="BF244">
        <v>1374.570557</v>
      </c>
      <c r="BG244">
        <v>1359.8374020000001</v>
      </c>
      <c r="BH244">
        <v>1342.9167480000001</v>
      </c>
      <c r="BI244" s="49">
        <v>2E-3</v>
      </c>
    </row>
    <row r="245" spans="20:61" x14ac:dyDescent="0.5">
      <c r="T245" t="s">
        <v>527</v>
      </c>
      <c r="U245" t="s">
        <v>528</v>
      </c>
      <c r="V245" t="s">
        <v>117</v>
      </c>
      <c r="X245">
        <v>4.1266420000000004</v>
      </c>
      <c r="Y245">
        <v>7.7629440000000001</v>
      </c>
      <c r="Z245">
        <v>11.729931000000001</v>
      </c>
      <c r="AA245">
        <v>10.991272</v>
      </c>
      <c r="AB245">
        <v>10.918240000000001</v>
      </c>
      <c r="AC245">
        <v>11.250736</v>
      </c>
      <c r="AD245">
        <v>11.158576999999999</v>
      </c>
      <c r="AE245">
        <v>10.938177</v>
      </c>
      <c r="AF245">
        <v>11.204658999999999</v>
      </c>
      <c r="AG245">
        <v>11.443269000000001</v>
      </c>
      <c r="AH245">
        <v>11.860908999999999</v>
      </c>
      <c r="AI245">
        <v>11.852836999999999</v>
      </c>
      <c r="AK245">
        <v>11.957155</v>
      </c>
      <c r="AM245">
        <v>12.084498</v>
      </c>
      <c r="AO245">
        <v>12.298068000000001</v>
      </c>
      <c r="AQ245">
        <v>12.380411</v>
      </c>
      <c r="AR245">
        <v>12.478372999999999</v>
      </c>
      <c r="AS245">
        <v>12.457324</v>
      </c>
      <c r="AV245">
        <v>12.521895000000001</v>
      </c>
      <c r="AW245">
        <v>12.636587</v>
      </c>
      <c r="AX245">
        <v>12.43947</v>
      </c>
      <c r="AY245">
        <v>12.505020999999999</v>
      </c>
      <c r="AZ245">
        <v>12.612171</v>
      </c>
      <c r="BA245">
        <v>12.459769</v>
      </c>
      <c r="BB245">
        <v>12.329700000000001</v>
      </c>
      <c r="BC245">
        <v>12.405618</v>
      </c>
      <c r="BD245">
        <v>12.457746</v>
      </c>
      <c r="BE245">
        <v>12.215856</v>
      </c>
      <c r="BF245">
        <v>12.357526999999999</v>
      </c>
      <c r="BG245">
        <v>12.092402999999999</v>
      </c>
      <c r="BH245">
        <v>12.109522999999999</v>
      </c>
      <c r="BI245" s="49">
        <v>3.6999999999999998E-2</v>
      </c>
    </row>
    <row r="246" spans="20:61" x14ac:dyDescent="0.5">
      <c r="T246" t="s">
        <v>529</v>
      </c>
      <c r="U246" t="s">
        <v>530</v>
      </c>
      <c r="V246" t="s">
        <v>117</v>
      </c>
      <c r="X246">
        <v>85.893494000000004</v>
      </c>
      <c r="Y246">
        <v>88.538100999999997</v>
      </c>
      <c r="Z246">
        <v>92.068802000000005</v>
      </c>
      <c r="AA246">
        <v>92.945914999999999</v>
      </c>
      <c r="AB246">
        <v>95.718384</v>
      </c>
      <c r="AC246">
        <v>97.910194000000004</v>
      </c>
      <c r="AD246">
        <v>97.032898000000003</v>
      </c>
      <c r="AE246">
        <v>95.513237000000004</v>
      </c>
      <c r="AF246">
        <v>95.902289999999994</v>
      </c>
      <c r="AG246">
        <v>96.087112000000005</v>
      </c>
      <c r="AH246">
        <v>95.226273000000006</v>
      </c>
      <c r="AI246">
        <v>95.381576999999993</v>
      </c>
      <c r="AK246">
        <v>95.324523999999997</v>
      </c>
      <c r="AM246">
        <v>95.389854</v>
      </c>
      <c r="AO246">
        <v>95.464668000000003</v>
      </c>
      <c r="AQ246">
        <v>94.915610999999998</v>
      </c>
      <c r="AR246">
        <v>94.119118</v>
      </c>
      <c r="AS246">
        <v>93.653182999999999</v>
      </c>
      <c r="AV246">
        <v>93.478012000000007</v>
      </c>
      <c r="AW246">
        <v>93.150215000000003</v>
      </c>
      <c r="AX246">
        <v>92.465477000000007</v>
      </c>
      <c r="AY246">
        <v>92.462211999999994</v>
      </c>
      <c r="AZ246">
        <v>92.980750999999998</v>
      </c>
      <c r="BA246">
        <v>92.573646999999994</v>
      </c>
      <c r="BB246">
        <v>92.503197</v>
      </c>
      <c r="BC246">
        <v>93.499863000000005</v>
      </c>
      <c r="BD246">
        <v>93.177193000000003</v>
      </c>
      <c r="BE246">
        <v>92.925774000000004</v>
      </c>
      <c r="BF246">
        <v>93.165679999999995</v>
      </c>
      <c r="BG246">
        <v>92.720093000000006</v>
      </c>
      <c r="BH246">
        <v>92.071395999999993</v>
      </c>
      <c r="BI246" s="49">
        <v>2E-3</v>
      </c>
    </row>
    <row r="247" spans="20:61" x14ac:dyDescent="0.5">
      <c r="T247" t="s">
        <v>531</v>
      </c>
      <c r="U247" t="s">
        <v>532</v>
      </c>
      <c r="V247" t="s">
        <v>117</v>
      </c>
      <c r="X247">
        <v>16.940342000000001</v>
      </c>
      <c r="Y247">
        <v>16.38447</v>
      </c>
      <c r="Z247">
        <v>18.813320000000001</v>
      </c>
      <c r="AA247">
        <v>20.056431</v>
      </c>
      <c r="AB247">
        <v>21.506921999999999</v>
      </c>
      <c r="AC247">
        <v>22.757394999999999</v>
      </c>
      <c r="AD247">
        <v>24.111235000000001</v>
      </c>
      <c r="AE247">
        <v>25.921654</v>
      </c>
      <c r="AF247">
        <v>29.207636000000001</v>
      </c>
      <c r="AG247">
        <v>33.094124000000001</v>
      </c>
      <c r="AH247">
        <v>37.654632999999997</v>
      </c>
      <c r="AI247">
        <v>43.292862</v>
      </c>
      <c r="AK247">
        <v>49.249339999999997</v>
      </c>
      <c r="AM247">
        <v>55.946765999999997</v>
      </c>
      <c r="AO247">
        <v>63.113540999999998</v>
      </c>
      <c r="AQ247">
        <v>70.162482999999995</v>
      </c>
      <c r="AR247">
        <v>77.178734000000006</v>
      </c>
      <c r="AS247">
        <v>84.497710999999995</v>
      </c>
      <c r="AV247">
        <v>92.011291999999997</v>
      </c>
      <c r="AW247">
        <v>99.126784999999998</v>
      </c>
      <c r="AX247">
        <v>106.199844</v>
      </c>
      <c r="AY247">
        <v>112.435295</v>
      </c>
      <c r="AZ247">
        <v>118.677734</v>
      </c>
      <c r="BA247">
        <v>123.703468</v>
      </c>
      <c r="BB247">
        <v>129.158615</v>
      </c>
      <c r="BC247">
        <v>135.751282</v>
      </c>
      <c r="BD247">
        <v>141.85730000000001</v>
      </c>
      <c r="BE247">
        <v>147.69603000000001</v>
      </c>
      <c r="BF247">
        <v>153.493134</v>
      </c>
      <c r="BG247">
        <v>158.31338500000001</v>
      </c>
      <c r="BH247">
        <v>163.37344400000001</v>
      </c>
      <c r="BI247" s="49">
        <v>7.8E-2</v>
      </c>
    </row>
    <row r="248" spans="20:61" x14ac:dyDescent="0.5">
      <c r="T248" t="s">
        <v>533</v>
      </c>
      <c r="U248" t="s">
        <v>534</v>
      </c>
      <c r="V248" t="s">
        <v>117</v>
      </c>
      <c r="X248">
        <v>6.1179189999999997</v>
      </c>
      <c r="Y248">
        <v>7.7566319999999997</v>
      </c>
      <c r="Z248">
        <v>8.612724</v>
      </c>
      <c r="AA248">
        <v>8.5590890000000002</v>
      </c>
      <c r="AB248">
        <v>8.7993620000000004</v>
      </c>
      <c r="AC248">
        <v>11.872633</v>
      </c>
      <c r="AD248">
        <v>22.564442</v>
      </c>
      <c r="AE248">
        <v>25.966137</v>
      </c>
      <c r="AF248">
        <v>27.710684000000001</v>
      </c>
      <c r="AG248">
        <v>28.298576000000001</v>
      </c>
      <c r="AH248">
        <v>28.963595999999999</v>
      </c>
      <c r="AI248">
        <v>29.737590999999998</v>
      </c>
      <c r="AK248">
        <v>30.683834000000001</v>
      </c>
      <c r="AM248">
        <v>31.515747000000001</v>
      </c>
      <c r="AO248">
        <v>32.296852000000001</v>
      </c>
      <c r="AQ248">
        <v>32.702388999999997</v>
      </c>
      <c r="AR248">
        <v>32.964176000000002</v>
      </c>
      <c r="AS248">
        <v>33.223927000000003</v>
      </c>
      <c r="AV248">
        <v>33.493136999999997</v>
      </c>
      <c r="AW248">
        <v>33.582546000000001</v>
      </c>
      <c r="AX248">
        <v>33.688633000000003</v>
      </c>
      <c r="AY248">
        <v>33.710948999999999</v>
      </c>
      <c r="AZ248">
        <v>33.779426999999998</v>
      </c>
      <c r="BA248">
        <v>33.569592</v>
      </c>
      <c r="BB248">
        <v>33.451461999999999</v>
      </c>
      <c r="BC248">
        <v>33.637752999999996</v>
      </c>
      <c r="BD248">
        <v>33.733790999999997</v>
      </c>
      <c r="BE248">
        <v>33.576259999999998</v>
      </c>
      <c r="BF248">
        <v>33.634132000000001</v>
      </c>
      <c r="BG248">
        <v>33.504967000000001</v>
      </c>
      <c r="BH248">
        <v>33.482802999999997</v>
      </c>
      <c r="BI248" s="49">
        <v>5.8000000000000003E-2</v>
      </c>
    </row>
    <row r="249" spans="20:61" x14ac:dyDescent="0.5">
      <c r="T249" t="s">
        <v>535</v>
      </c>
      <c r="U249" t="s">
        <v>536</v>
      </c>
      <c r="V249" t="s">
        <v>117</v>
      </c>
      <c r="X249">
        <v>37.743332000000002</v>
      </c>
      <c r="Y249">
        <v>44.349873000000002</v>
      </c>
      <c r="Z249">
        <v>49.657440000000001</v>
      </c>
      <c r="AA249">
        <v>51.555686999999999</v>
      </c>
      <c r="AB249">
        <v>54.274261000000003</v>
      </c>
      <c r="AC249">
        <v>57.325417000000002</v>
      </c>
      <c r="AD249">
        <v>65.379722999999998</v>
      </c>
      <c r="AE249">
        <v>69.533569</v>
      </c>
      <c r="AF249">
        <v>73.364463999999998</v>
      </c>
      <c r="AG249">
        <v>76.5047</v>
      </c>
      <c r="AH249">
        <v>79.839752000000004</v>
      </c>
      <c r="AI249">
        <v>83.449257000000003</v>
      </c>
      <c r="AK249">
        <v>86.834366000000003</v>
      </c>
      <c r="AM249">
        <v>90.321944999999999</v>
      </c>
      <c r="AO249">
        <v>93.824073999999996</v>
      </c>
      <c r="AQ249">
        <v>96.571990999999997</v>
      </c>
      <c r="AR249">
        <v>99.099991000000003</v>
      </c>
      <c r="AS249">
        <v>101.801857</v>
      </c>
      <c r="AV249">
        <v>104.7239</v>
      </c>
      <c r="AW249">
        <v>107.30600699999999</v>
      </c>
      <c r="AX249">
        <v>109.912575</v>
      </c>
      <c r="AY249">
        <v>113.225723</v>
      </c>
      <c r="AZ249">
        <v>116.747215</v>
      </c>
      <c r="BA249">
        <v>119.20616099999999</v>
      </c>
      <c r="BB249">
        <v>122.093636</v>
      </c>
      <c r="BC249">
        <v>126.197395</v>
      </c>
      <c r="BD249">
        <v>129.57254</v>
      </c>
      <c r="BE249">
        <v>132.25943000000001</v>
      </c>
      <c r="BF249">
        <v>135.65713500000001</v>
      </c>
      <c r="BG249">
        <v>138.03132600000001</v>
      </c>
      <c r="BH249">
        <v>140.460464</v>
      </c>
      <c r="BI249" s="49">
        <v>4.4999999999999998E-2</v>
      </c>
    </row>
    <row r="250" spans="20:61" x14ac:dyDescent="0.5">
      <c r="T250" t="s">
        <v>537</v>
      </c>
      <c r="U250" t="s">
        <v>538</v>
      </c>
      <c r="V250" t="s">
        <v>117</v>
      </c>
      <c r="X250">
        <v>1.555639</v>
      </c>
      <c r="Y250">
        <v>1.7142900000000001</v>
      </c>
      <c r="Z250">
        <v>1.826708</v>
      </c>
      <c r="AA250">
        <v>1.8537589999999999</v>
      </c>
      <c r="AB250">
        <v>1.904549</v>
      </c>
      <c r="AC250">
        <v>1.953276</v>
      </c>
      <c r="AD250">
        <v>1.960394</v>
      </c>
      <c r="AE250">
        <v>1.94553</v>
      </c>
      <c r="AF250">
        <v>1.968269</v>
      </c>
      <c r="AG250">
        <v>1.9867950000000001</v>
      </c>
      <c r="AH250">
        <v>1.99037</v>
      </c>
      <c r="AI250">
        <v>2.0112559999999999</v>
      </c>
      <c r="AK250">
        <v>2.0261659999999999</v>
      </c>
      <c r="AM250">
        <v>2.0456910000000001</v>
      </c>
      <c r="AO250">
        <v>2.065963</v>
      </c>
      <c r="AQ250">
        <v>2.0734140000000001</v>
      </c>
      <c r="AR250">
        <v>2.075809</v>
      </c>
      <c r="AS250">
        <v>2.0844879999999999</v>
      </c>
      <c r="AV250">
        <v>2.0990829999999998</v>
      </c>
      <c r="AW250">
        <v>2.109877</v>
      </c>
      <c r="AX250">
        <v>2.1151499999999999</v>
      </c>
      <c r="AY250">
        <v>2.1344430000000001</v>
      </c>
      <c r="AZ250">
        <v>2.163621</v>
      </c>
      <c r="BA250">
        <v>2.170998</v>
      </c>
      <c r="BB250">
        <v>2.1873429999999998</v>
      </c>
      <c r="BC250">
        <v>2.2280549999999999</v>
      </c>
      <c r="BD250">
        <v>2.244713</v>
      </c>
      <c r="BE250">
        <v>2.2561360000000001</v>
      </c>
      <c r="BF250">
        <v>2.2793260000000002</v>
      </c>
      <c r="BG250">
        <v>2.2848730000000002</v>
      </c>
      <c r="BH250">
        <v>2.2900909999999999</v>
      </c>
      <c r="BI250" s="49">
        <v>1.2999999999999999E-2</v>
      </c>
    </row>
    <row r="251" spans="20:61" x14ac:dyDescent="0.5">
      <c r="T251" t="s">
        <v>539</v>
      </c>
      <c r="U251" t="s">
        <v>540</v>
      </c>
      <c r="V251" t="s">
        <v>117</v>
      </c>
      <c r="X251">
        <v>2.0735E-2</v>
      </c>
      <c r="Y251">
        <v>2.2120999999999998E-2</v>
      </c>
      <c r="Z251">
        <v>2.6682999999999998E-2</v>
      </c>
      <c r="AA251">
        <v>3.0508E-2</v>
      </c>
      <c r="AB251">
        <v>3.5460999999999999E-2</v>
      </c>
      <c r="AC251">
        <v>4.2486999999999997E-2</v>
      </c>
      <c r="AD251">
        <v>4.9312000000000002E-2</v>
      </c>
      <c r="AE251">
        <v>5.6444000000000001E-2</v>
      </c>
      <c r="AF251">
        <v>6.5764000000000003E-2</v>
      </c>
      <c r="AG251">
        <v>7.5584999999999999E-2</v>
      </c>
      <c r="AH251">
        <v>8.6312E-2</v>
      </c>
      <c r="AI251">
        <v>9.6985000000000002E-2</v>
      </c>
      <c r="AK251">
        <v>0.107128</v>
      </c>
      <c r="AM251">
        <v>0.117051</v>
      </c>
      <c r="AO251">
        <v>0.126471</v>
      </c>
      <c r="AQ251">
        <v>0.13422700000000001</v>
      </c>
      <c r="AR251">
        <v>0.14089399999999999</v>
      </c>
      <c r="AS251">
        <v>0.147207</v>
      </c>
      <c r="AV251">
        <v>0.15324599999999999</v>
      </c>
      <c r="AW251">
        <v>0.15826999999999999</v>
      </c>
      <c r="AX251">
        <v>0.162938</v>
      </c>
      <c r="AY251">
        <v>0.168461</v>
      </c>
      <c r="AZ251">
        <v>0.17414299999999999</v>
      </c>
      <c r="BA251">
        <v>0.177817</v>
      </c>
      <c r="BB251">
        <v>0.18199299999999999</v>
      </c>
      <c r="BC251">
        <v>0.18779000000000001</v>
      </c>
      <c r="BD251">
        <v>0.19219600000000001</v>
      </c>
      <c r="BE251">
        <v>0.19597200000000001</v>
      </c>
      <c r="BF251">
        <v>0.200128</v>
      </c>
      <c r="BG251">
        <v>0.202574</v>
      </c>
      <c r="BH251">
        <v>0.20482600000000001</v>
      </c>
      <c r="BI251" s="49">
        <v>7.9000000000000001E-2</v>
      </c>
    </row>
    <row r="252" spans="20:61" x14ac:dyDescent="0.5">
      <c r="T252" t="s">
        <v>541</v>
      </c>
      <c r="U252" t="s">
        <v>542</v>
      </c>
      <c r="V252" t="s">
        <v>117</v>
      </c>
      <c r="X252">
        <v>1419.9624020000001</v>
      </c>
      <c r="Y252">
        <v>1567.280884</v>
      </c>
      <c r="Z252">
        <v>1664.688232</v>
      </c>
      <c r="AA252">
        <v>1670.4620359999999</v>
      </c>
      <c r="AB252">
        <v>1707.0357670000001</v>
      </c>
      <c r="AC252">
        <v>1745.708374</v>
      </c>
      <c r="AD252">
        <v>1745.7714840000001</v>
      </c>
      <c r="AE252">
        <v>1727.0493160000001</v>
      </c>
      <c r="AF252">
        <v>1742.1407469999999</v>
      </c>
      <c r="AG252">
        <v>1752.0119629999999</v>
      </c>
      <c r="AH252">
        <v>1751.3129879999999</v>
      </c>
      <c r="AI252">
        <v>1763.285889</v>
      </c>
      <c r="AK252">
        <v>1769.909668</v>
      </c>
      <c r="AM252">
        <v>1779.713745</v>
      </c>
      <c r="AO252">
        <v>1788.9053960000001</v>
      </c>
      <c r="AQ252">
        <v>1785.3479</v>
      </c>
      <c r="AR252">
        <v>1777.6142580000001</v>
      </c>
      <c r="AS252">
        <v>1775.229736</v>
      </c>
      <c r="AV252">
        <v>1777.536865</v>
      </c>
      <c r="AW252">
        <v>1775.676025</v>
      </c>
      <c r="AX252">
        <v>1769.9541019999999</v>
      </c>
      <c r="AY252">
        <v>1775.6439210000001</v>
      </c>
      <c r="AZ252">
        <v>1788.40625</v>
      </c>
      <c r="BA252">
        <v>1783.1087649999999</v>
      </c>
      <c r="BB252">
        <v>1783.912231</v>
      </c>
      <c r="BC252">
        <v>1803.260254</v>
      </c>
      <c r="BD252">
        <v>1803.3020019999999</v>
      </c>
      <c r="BE252">
        <v>1800.0483400000001</v>
      </c>
      <c r="BF252">
        <v>1805.3576660000001</v>
      </c>
      <c r="BG252">
        <v>1796.987061</v>
      </c>
      <c r="BH252">
        <v>1786.909302</v>
      </c>
      <c r="BI252" s="49">
        <v>8.0000000000000002E-3</v>
      </c>
    </row>
    <row r="253" spans="20:61" x14ac:dyDescent="0.5">
      <c r="T253" t="s">
        <v>543</v>
      </c>
      <c r="U253" t="s">
        <v>544</v>
      </c>
      <c r="V253" t="s">
        <v>117</v>
      </c>
      <c r="X253">
        <v>486.61227400000001</v>
      </c>
      <c r="Y253">
        <v>590.01946999999996</v>
      </c>
      <c r="Z253">
        <v>676.24603300000001</v>
      </c>
      <c r="AA253">
        <v>740.17120399999999</v>
      </c>
      <c r="AB253">
        <v>812.732483</v>
      </c>
      <c r="AC253">
        <v>858.78259300000002</v>
      </c>
      <c r="AD253">
        <v>872.22289999999998</v>
      </c>
      <c r="AE253">
        <v>857.02844200000004</v>
      </c>
      <c r="AF253">
        <v>860.20910600000002</v>
      </c>
      <c r="AG253">
        <v>861.199524</v>
      </c>
      <c r="AH253">
        <v>856.82672100000002</v>
      </c>
      <c r="AI253">
        <v>857.79656999999997</v>
      </c>
      <c r="AK253">
        <v>857.22021500000005</v>
      </c>
      <c r="AM253">
        <v>864.14117399999998</v>
      </c>
      <c r="AO253">
        <v>870.89190699999995</v>
      </c>
      <c r="AQ253">
        <v>871.94335899999999</v>
      </c>
      <c r="AR253">
        <v>871.03448500000002</v>
      </c>
      <c r="AS253">
        <v>874.043091</v>
      </c>
      <c r="AV253">
        <v>871.53973399999995</v>
      </c>
      <c r="AW253">
        <v>872.49328600000001</v>
      </c>
      <c r="AX253">
        <v>868.83044400000006</v>
      </c>
      <c r="AY253">
        <v>870.41717500000004</v>
      </c>
      <c r="AZ253">
        <v>874.00268600000004</v>
      </c>
      <c r="BA253">
        <v>870.93603499999995</v>
      </c>
      <c r="BB253">
        <v>869.37628199999995</v>
      </c>
      <c r="BC253">
        <v>875.56793200000004</v>
      </c>
      <c r="BD253">
        <v>871.963257</v>
      </c>
      <c r="BE253">
        <v>867.16980000000001</v>
      </c>
      <c r="BF253">
        <v>864.38842799999998</v>
      </c>
      <c r="BG253">
        <v>857.21014400000001</v>
      </c>
      <c r="BH253">
        <v>847.80304000000001</v>
      </c>
      <c r="BI253" s="49">
        <v>1.9E-2</v>
      </c>
    </row>
    <row r="254" spans="20:61" x14ac:dyDescent="0.5">
      <c r="T254" t="s">
        <v>545</v>
      </c>
      <c r="U254" t="s">
        <v>546</v>
      </c>
      <c r="V254" t="s">
        <v>117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</v>
      </c>
      <c r="AM254">
        <v>0</v>
      </c>
      <c r="AO254">
        <v>0</v>
      </c>
      <c r="AQ254">
        <v>0</v>
      </c>
      <c r="AR254">
        <v>0</v>
      </c>
      <c r="AS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137</v>
      </c>
    </row>
    <row r="255" spans="20:61" x14ac:dyDescent="0.5">
      <c r="T255" t="s">
        <v>547</v>
      </c>
      <c r="U255" t="s">
        <v>548</v>
      </c>
      <c r="V255" t="s">
        <v>117</v>
      </c>
      <c r="X255">
        <v>639.01037599999995</v>
      </c>
      <c r="Y255">
        <v>756.54797399999995</v>
      </c>
      <c r="Z255">
        <v>858.98168899999996</v>
      </c>
      <c r="AA255">
        <v>926.16394000000003</v>
      </c>
      <c r="AB255">
        <v>1005.889526</v>
      </c>
      <c r="AC255">
        <v>1061.8948969999999</v>
      </c>
      <c r="AD255">
        <v>1094.47937</v>
      </c>
      <c r="AE255">
        <v>1086.9030760000001</v>
      </c>
      <c r="AF255">
        <v>1099.6326899999999</v>
      </c>
      <c r="AG255">
        <v>1108.6895750000001</v>
      </c>
      <c r="AH255">
        <v>1112.4486079999999</v>
      </c>
      <c r="AI255">
        <v>1123.619019</v>
      </c>
      <c r="AK255">
        <v>1133.4027100000001</v>
      </c>
      <c r="AM255">
        <v>1151.5626219999999</v>
      </c>
      <c r="AO255">
        <v>1170.081543</v>
      </c>
      <c r="AQ255">
        <v>1180.8839109999999</v>
      </c>
      <c r="AR255">
        <v>1189.0916749999999</v>
      </c>
      <c r="AS255">
        <v>1201.9085689999999</v>
      </c>
      <c r="AV255">
        <v>1210.0203859999999</v>
      </c>
      <c r="AW255">
        <v>1220.5633539999999</v>
      </c>
      <c r="AX255">
        <v>1225.8145750000001</v>
      </c>
      <c r="AY255">
        <v>1237.0592039999999</v>
      </c>
      <c r="AZ255">
        <v>1251.137817</v>
      </c>
      <c r="BA255">
        <v>1254.797607</v>
      </c>
      <c r="BB255">
        <v>1261.2821039999999</v>
      </c>
      <c r="BC255">
        <v>1279.475586</v>
      </c>
      <c r="BD255">
        <v>1285.1986079999999</v>
      </c>
      <c r="BE255">
        <v>1288.295288</v>
      </c>
      <c r="BF255">
        <v>1295.1755370000001</v>
      </c>
      <c r="BG255">
        <v>1294.3598629999999</v>
      </c>
      <c r="BH255">
        <v>1291.795654</v>
      </c>
      <c r="BI255" s="49">
        <v>2.4E-2</v>
      </c>
    </row>
    <row r="259" spans="20:61" x14ac:dyDescent="0.5">
      <c r="T259" s="25" t="s">
        <v>439</v>
      </c>
    </row>
    <row r="260" spans="20:61" x14ac:dyDescent="0.5">
      <c r="T260" t="s">
        <v>110</v>
      </c>
      <c r="U260" t="s">
        <v>218</v>
      </c>
      <c r="V260" t="s">
        <v>111</v>
      </c>
      <c r="W260">
        <v>2019</v>
      </c>
      <c r="X260">
        <v>2020</v>
      </c>
      <c r="Y260">
        <v>2021</v>
      </c>
      <c r="Z260">
        <v>2022</v>
      </c>
      <c r="AA260">
        <v>2023</v>
      </c>
      <c r="AB260">
        <v>2024</v>
      </c>
      <c r="AC260">
        <v>2025</v>
      </c>
      <c r="AD260">
        <v>2026</v>
      </c>
      <c r="AE260">
        <v>2027</v>
      </c>
      <c r="AF260">
        <v>2028</v>
      </c>
      <c r="AG260">
        <v>2029</v>
      </c>
      <c r="AH260">
        <v>2030</v>
      </c>
      <c r="AI260">
        <v>2031</v>
      </c>
      <c r="AK260">
        <v>2032</v>
      </c>
      <c r="AM260">
        <v>2033</v>
      </c>
      <c r="AO260">
        <v>2034</v>
      </c>
      <c r="AQ260">
        <v>2035</v>
      </c>
      <c r="AR260">
        <v>2036</v>
      </c>
      <c r="AS260">
        <v>2037</v>
      </c>
      <c r="AV260">
        <v>2038</v>
      </c>
      <c r="AW260">
        <v>2039</v>
      </c>
      <c r="AX260">
        <v>2040</v>
      </c>
      <c r="AY260">
        <v>2041</v>
      </c>
      <c r="AZ260">
        <v>2042</v>
      </c>
      <c r="BA260">
        <v>2043</v>
      </c>
      <c r="BB260">
        <v>2044</v>
      </c>
      <c r="BC260">
        <v>2045</v>
      </c>
      <c r="BD260">
        <v>2046</v>
      </c>
      <c r="BE260">
        <v>2047</v>
      </c>
      <c r="BF260">
        <v>2048</v>
      </c>
      <c r="BG260">
        <v>2049</v>
      </c>
      <c r="BH260">
        <v>2050</v>
      </c>
      <c r="BI260" t="s">
        <v>112</v>
      </c>
    </row>
    <row r="261" spans="20:61" x14ac:dyDescent="0.5">
      <c r="U261" t="s">
        <v>219</v>
      </c>
    </row>
    <row r="262" spans="20:61" x14ac:dyDescent="0.5">
      <c r="T262" t="s">
        <v>549</v>
      </c>
      <c r="U262" t="s">
        <v>550</v>
      </c>
      <c r="V262" t="s">
        <v>117</v>
      </c>
      <c r="X262">
        <v>506.121826</v>
      </c>
      <c r="Y262">
        <v>543.93627900000001</v>
      </c>
      <c r="Z262">
        <v>604.42175299999997</v>
      </c>
      <c r="AA262">
        <v>597.79974400000003</v>
      </c>
      <c r="AB262">
        <v>596.91290300000003</v>
      </c>
      <c r="AC262">
        <v>604.29760699999997</v>
      </c>
      <c r="AD262">
        <v>598.82946800000002</v>
      </c>
      <c r="AE262">
        <v>590.98529099999996</v>
      </c>
      <c r="AF262">
        <v>595.75329599999998</v>
      </c>
      <c r="AG262">
        <v>599.63537599999995</v>
      </c>
      <c r="AH262">
        <v>604.25329599999998</v>
      </c>
      <c r="AI262">
        <v>607.97003199999995</v>
      </c>
      <c r="AK262">
        <v>608.66986099999997</v>
      </c>
      <c r="AM262">
        <v>609.87847899999997</v>
      </c>
      <c r="AO262">
        <v>610.99835199999995</v>
      </c>
      <c r="AQ262">
        <v>606.55468800000006</v>
      </c>
      <c r="AR262">
        <v>600.27618399999994</v>
      </c>
      <c r="AS262">
        <v>595.22216800000001</v>
      </c>
      <c r="AV262">
        <v>591.83862299999998</v>
      </c>
      <c r="AW262">
        <v>586.02972399999999</v>
      </c>
      <c r="AX262">
        <v>581.01580799999999</v>
      </c>
      <c r="AY262">
        <v>579.64202899999998</v>
      </c>
      <c r="AZ262">
        <v>579.11688200000003</v>
      </c>
      <c r="BA262">
        <v>573.45385699999997</v>
      </c>
      <c r="BB262">
        <v>568.44653300000004</v>
      </c>
      <c r="BC262">
        <v>567.21606399999996</v>
      </c>
      <c r="BD262">
        <v>562.66717500000004</v>
      </c>
      <c r="BE262">
        <v>557.24206500000003</v>
      </c>
      <c r="BF262">
        <v>549.154358</v>
      </c>
      <c r="BG262">
        <v>541.64300500000002</v>
      </c>
      <c r="BH262">
        <v>531.33605999999997</v>
      </c>
      <c r="BI262" s="49">
        <v>2E-3</v>
      </c>
    </row>
    <row r="263" spans="20:61" x14ac:dyDescent="0.5">
      <c r="T263" t="s">
        <v>551</v>
      </c>
      <c r="U263" t="s">
        <v>552</v>
      </c>
      <c r="V263" t="s">
        <v>117</v>
      </c>
      <c r="X263">
        <v>8.8640000000000004E-3</v>
      </c>
      <c r="Y263">
        <v>8.5880000000000001E-3</v>
      </c>
      <c r="Z263">
        <v>1.0127000000000001E-2</v>
      </c>
      <c r="AA263">
        <v>9.7389999999999994E-3</v>
      </c>
      <c r="AB263">
        <v>9.4029999999999999E-3</v>
      </c>
      <c r="AC263">
        <v>9.4079999999999997E-3</v>
      </c>
      <c r="AD263">
        <v>9.4549999999999999E-3</v>
      </c>
      <c r="AE263">
        <v>9.2149999999999992E-3</v>
      </c>
      <c r="AF263">
        <v>9.3039999999999998E-3</v>
      </c>
      <c r="AG263">
        <v>9.4269999999999996E-3</v>
      </c>
      <c r="AH263">
        <v>9.6629999999999997E-3</v>
      </c>
      <c r="AI263">
        <v>9.7140000000000004E-3</v>
      </c>
      <c r="AK263">
        <v>9.7330000000000003E-3</v>
      </c>
      <c r="AM263">
        <v>9.7140000000000004E-3</v>
      </c>
      <c r="AO263">
        <v>9.7949999999999999E-3</v>
      </c>
      <c r="AQ263">
        <v>9.8049999999999995E-3</v>
      </c>
      <c r="AR263">
        <v>9.7990000000000004E-3</v>
      </c>
      <c r="AS263">
        <v>9.7800000000000005E-3</v>
      </c>
      <c r="AV263">
        <v>9.7689999999999999E-3</v>
      </c>
      <c r="AW263">
        <v>9.7459999999999995E-3</v>
      </c>
      <c r="AX263">
        <v>9.5499999999999995E-3</v>
      </c>
      <c r="AY263">
        <v>9.5670000000000009E-3</v>
      </c>
      <c r="AZ263">
        <v>9.5530000000000007E-3</v>
      </c>
      <c r="BA263">
        <v>9.4000000000000004E-3</v>
      </c>
      <c r="BB263">
        <v>9.2300000000000004E-3</v>
      </c>
      <c r="BC263">
        <v>9.2049999999999996E-3</v>
      </c>
      <c r="BD263">
        <v>8.9160000000000003E-3</v>
      </c>
      <c r="BE263">
        <v>8.8409999999999999E-3</v>
      </c>
      <c r="BF263">
        <v>8.8149999999999999E-3</v>
      </c>
      <c r="BG263">
        <v>8.6230000000000005E-3</v>
      </c>
      <c r="BH263">
        <v>8.4390000000000003E-3</v>
      </c>
      <c r="BI263" s="49">
        <v>-2E-3</v>
      </c>
    </row>
    <row r="264" spans="20:61" x14ac:dyDescent="0.5">
      <c r="T264" t="s">
        <v>553</v>
      </c>
      <c r="U264" t="s">
        <v>554</v>
      </c>
      <c r="V264" t="s">
        <v>117</v>
      </c>
      <c r="X264">
        <v>506.13067599999999</v>
      </c>
      <c r="Y264">
        <v>543.944885</v>
      </c>
      <c r="Z264">
        <v>604.43188499999997</v>
      </c>
      <c r="AA264">
        <v>597.80950900000005</v>
      </c>
      <c r="AB264">
        <v>596.92230199999995</v>
      </c>
      <c r="AC264">
        <v>604.307007</v>
      </c>
      <c r="AD264">
        <v>598.83892800000001</v>
      </c>
      <c r="AE264">
        <v>590.994507</v>
      </c>
      <c r="AF264">
        <v>595.76257299999997</v>
      </c>
      <c r="AG264">
        <v>599.64477499999998</v>
      </c>
      <c r="AH264">
        <v>604.26293899999996</v>
      </c>
      <c r="AI264">
        <v>607.979736</v>
      </c>
      <c r="AK264">
        <v>608.67956500000003</v>
      </c>
      <c r="AM264">
        <v>609.88818400000002</v>
      </c>
      <c r="AO264">
        <v>611.00811799999997</v>
      </c>
      <c r="AQ264">
        <v>606.56451400000003</v>
      </c>
      <c r="AR264">
        <v>600.28601100000003</v>
      </c>
      <c r="AS264">
        <v>595.23193400000002</v>
      </c>
      <c r="AV264">
        <v>591.848389</v>
      </c>
      <c r="AW264">
        <v>586.03949</v>
      </c>
      <c r="AX264">
        <v>581.02533000000005</v>
      </c>
      <c r="AY264">
        <v>579.651611</v>
      </c>
      <c r="AZ264">
        <v>579.12646500000005</v>
      </c>
      <c r="BA264">
        <v>573.463257</v>
      </c>
      <c r="BB264">
        <v>568.45574999999997</v>
      </c>
      <c r="BC264">
        <v>567.225281</v>
      </c>
      <c r="BD264">
        <v>562.67608600000005</v>
      </c>
      <c r="BE264">
        <v>557.25091599999996</v>
      </c>
      <c r="BF264">
        <v>549.16314699999998</v>
      </c>
      <c r="BG264">
        <v>541.651611</v>
      </c>
      <c r="BH264">
        <v>531.34448199999997</v>
      </c>
      <c r="BI264" s="49">
        <v>2E-3</v>
      </c>
    </row>
    <row r="265" spans="20:61" x14ac:dyDescent="0.5">
      <c r="T265" t="s">
        <v>555</v>
      </c>
      <c r="U265" t="s">
        <v>556</v>
      </c>
      <c r="V265" t="s">
        <v>117</v>
      </c>
      <c r="X265">
        <v>9.5181319999999996</v>
      </c>
      <c r="Y265">
        <v>10.191998999999999</v>
      </c>
      <c r="Z265">
        <v>11.320539999999999</v>
      </c>
      <c r="AA265">
        <v>11.3325</v>
      </c>
      <c r="AB265">
        <v>11.408132</v>
      </c>
      <c r="AC265">
        <v>11.607874000000001</v>
      </c>
      <c r="AD265">
        <v>11.582875</v>
      </c>
      <c r="AE265">
        <v>11.480756</v>
      </c>
      <c r="AF265">
        <v>11.633819000000001</v>
      </c>
      <c r="AG265">
        <v>11.765177</v>
      </c>
      <c r="AH265">
        <v>11.939729</v>
      </c>
      <c r="AI265">
        <v>12.07375</v>
      </c>
      <c r="AK265">
        <v>12.152246999999999</v>
      </c>
      <c r="AM265">
        <v>12.240583000000001</v>
      </c>
      <c r="AO265">
        <v>12.325552999999999</v>
      </c>
      <c r="AQ265">
        <v>12.306372</v>
      </c>
      <c r="AR265">
        <v>12.243364</v>
      </c>
      <c r="AS265">
        <v>12.206942</v>
      </c>
      <c r="AV265">
        <v>12.205273999999999</v>
      </c>
      <c r="AW265">
        <v>12.152675</v>
      </c>
      <c r="AX265">
        <v>12.112587</v>
      </c>
      <c r="AY265">
        <v>12.144515</v>
      </c>
      <c r="AZ265">
        <v>12.195281</v>
      </c>
      <c r="BA265">
        <v>12.136405</v>
      </c>
      <c r="BB265">
        <v>12.092999000000001</v>
      </c>
      <c r="BC265">
        <v>12.130761</v>
      </c>
      <c r="BD265">
        <v>12.102512000000001</v>
      </c>
      <c r="BE265">
        <v>12.053513000000001</v>
      </c>
      <c r="BF265">
        <v>11.949785</v>
      </c>
      <c r="BG265">
        <v>11.851748000000001</v>
      </c>
      <c r="BH265">
        <v>11.699529999999999</v>
      </c>
      <c r="BI265" s="49">
        <v>7.0000000000000001E-3</v>
      </c>
    </row>
    <row r="266" spans="20:61" x14ac:dyDescent="0.5">
      <c r="T266" t="s">
        <v>557</v>
      </c>
      <c r="U266" t="s">
        <v>558</v>
      </c>
      <c r="V266" t="s">
        <v>117</v>
      </c>
      <c r="X266">
        <v>0.21690300000000001</v>
      </c>
      <c r="Y266">
        <v>0.23688699999999999</v>
      </c>
      <c r="Z266">
        <v>0.25097999999999998</v>
      </c>
      <c r="AA266">
        <v>0.241699</v>
      </c>
      <c r="AB266">
        <v>0.243279</v>
      </c>
      <c r="AC266">
        <v>0.25545800000000002</v>
      </c>
      <c r="AD266">
        <v>0.267515</v>
      </c>
      <c r="AE266">
        <v>0.28006199999999998</v>
      </c>
      <c r="AF266">
        <v>0.30175999999999997</v>
      </c>
      <c r="AG266">
        <v>0.32484099999999999</v>
      </c>
      <c r="AH266">
        <v>0.35211199999999998</v>
      </c>
      <c r="AI266">
        <v>0.37684899999999999</v>
      </c>
      <c r="AK266">
        <v>0.40035900000000002</v>
      </c>
      <c r="AM266">
        <v>0.42213299999999998</v>
      </c>
      <c r="AO266">
        <v>0.44229299999999999</v>
      </c>
      <c r="AQ266">
        <v>0.45654099999999997</v>
      </c>
      <c r="AR266">
        <v>0.467171</v>
      </c>
      <c r="AS266">
        <v>0.47681899999999999</v>
      </c>
      <c r="AV266">
        <v>0.48624000000000001</v>
      </c>
      <c r="AW266">
        <v>0.49212600000000001</v>
      </c>
      <c r="AX266">
        <v>0.49778699999999998</v>
      </c>
      <c r="AY266">
        <v>0.50431300000000001</v>
      </c>
      <c r="AZ266">
        <v>0.51126000000000005</v>
      </c>
      <c r="BA266">
        <v>0.51338300000000003</v>
      </c>
      <c r="BB266">
        <v>0.51572099999999998</v>
      </c>
      <c r="BC266">
        <v>0.52127699999999999</v>
      </c>
      <c r="BD266">
        <v>0.52381299999999997</v>
      </c>
      <c r="BE266">
        <v>0.52553700000000003</v>
      </c>
      <c r="BF266">
        <v>0.52462900000000001</v>
      </c>
      <c r="BG266">
        <v>0.52401399999999998</v>
      </c>
      <c r="BH266">
        <v>0.520679</v>
      </c>
      <c r="BI266" s="49">
        <v>0.03</v>
      </c>
    </row>
    <row r="267" spans="20:61" x14ac:dyDescent="0.5">
      <c r="T267" t="s">
        <v>559</v>
      </c>
      <c r="U267" t="s">
        <v>560</v>
      </c>
      <c r="V267" t="s">
        <v>117</v>
      </c>
      <c r="X267">
        <v>4.9019159999999999</v>
      </c>
      <c r="Y267">
        <v>4.6981419999999998</v>
      </c>
      <c r="Z267">
        <v>5.0466569999999997</v>
      </c>
      <c r="AA267">
        <v>4.7188249999999998</v>
      </c>
      <c r="AB267">
        <v>4.508864</v>
      </c>
      <c r="AC267">
        <v>4.6033460000000002</v>
      </c>
      <c r="AD267">
        <v>4.6107139999999998</v>
      </c>
      <c r="AE267">
        <v>4.8469230000000003</v>
      </c>
      <c r="AF267">
        <v>5.3355699999999997</v>
      </c>
      <c r="AG267">
        <v>5.9372629999999997</v>
      </c>
      <c r="AH267">
        <v>6.7062720000000002</v>
      </c>
      <c r="AI267">
        <v>7.5578979999999998</v>
      </c>
      <c r="AK267">
        <v>8.5110460000000003</v>
      </c>
      <c r="AM267">
        <v>9.51206</v>
      </c>
      <c r="AO267">
        <v>10.564416</v>
      </c>
      <c r="AQ267">
        <v>11.536282</v>
      </c>
      <c r="AR267">
        <v>12.488652</v>
      </c>
      <c r="AS267">
        <v>13.458878</v>
      </c>
      <c r="AV267">
        <v>14.458289000000001</v>
      </c>
      <c r="AW267">
        <v>15.357438</v>
      </c>
      <c r="AX267">
        <v>16.333099000000001</v>
      </c>
      <c r="AY267">
        <v>17.268345</v>
      </c>
      <c r="AZ267">
        <v>18.195633000000001</v>
      </c>
      <c r="BA267">
        <v>19.005022</v>
      </c>
      <c r="BB267">
        <v>19.846905</v>
      </c>
      <c r="BC267">
        <v>20.850002</v>
      </c>
      <c r="BD267">
        <v>21.725193000000001</v>
      </c>
      <c r="BE267">
        <v>22.663447999999999</v>
      </c>
      <c r="BF267">
        <v>23.4282</v>
      </c>
      <c r="BG267">
        <v>24.306784</v>
      </c>
      <c r="BH267">
        <v>25.018822</v>
      </c>
      <c r="BI267" s="49">
        <v>5.6000000000000001E-2</v>
      </c>
    </row>
    <row r="268" spans="20:61" x14ac:dyDescent="0.5">
      <c r="T268" t="s">
        <v>561</v>
      </c>
      <c r="U268" t="s">
        <v>562</v>
      </c>
      <c r="V268" t="s">
        <v>117</v>
      </c>
      <c r="X268">
        <v>7.608949</v>
      </c>
      <c r="Y268">
        <v>6.3759930000000002</v>
      </c>
      <c r="Z268">
        <v>7.5824550000000004</v>
      </c>
      <c r="AA268">
        <v>8.450253</v>
      </c>
      <c r="AB268">
        <v>9.113251</v>
      </c>
      <c r="AC268">
        <v>9.4379170000000006</v>
      </c>
      <c r="AD268">
        <v>10.185727999999999</v>
      </c>
      <c r="AE268">
        <v>10.951340999999999</v>
      </c>
      <c r="AF268">
        <v>12.303682</v>
      </c>
      <c r="AG268">
        <v>13.937132</v>
      </c>
      <c r="AH268">
        <v>15.802035</v>
      </c>
      <c r="AI268">
        <v>18.313621999999999</v>
      </c>
      <c r="AK268">
        <v>20.847511000000001</v>
      </c>
      <c r="AM268">
        <v>23.915199000000001</v>
      </c>
      <c r="AO268">
        <v>27.254930000000002</v>
      </c>
      <c r="AQ268">
        <v>30.681910999999999</v>
      </c>
      <c r="AR268">
        <v>34.017761</v>
      </c>
      <c r="AS268">
        <v>37.585982999999999</v>
      </c>
      <c r="AV268">
        <v>41.314388000000001</v>
      </c>
      <c r="AW268">
        <v>44.844433000000002</v>
      </c>
      <c r="AX268">
        <v>48.292717000000003</v>
      </c>
      <c r="AY268">
        <v>51.348778000000003</v>
      </c>
      <c r="AZ268">
        <v>54.361992000000001</v>
      </c>
      <c r="BA268">
        <v>56.812981000000001</v>
      </c>
      <c r="BB268">
        <v>59.419891</v>
      </c>
      <c r="BC268">
        <v>62.456721999999999</v>
      </c>
      <c r="BD268">
        <v>65.255989</v>
      </c>
      <c r="BE268">
        <v>68.076026999999996</v>
      </c>
      <c r="BF268">
        <v>70.738495</v>
      </c>
      <c r="BG268">
        <v>73.286766</v>
      </c>
      <c r="BH268">
        <v>75.853333000000006</v>
      </c>
      <c r="BI268" s="49">
        <v>0.08</v>
      </c>
    </row>
    <row r="269" spans="20:61" x14ac:dyDescent="0.5">
      <c r="T269" t="s">
        <v>563</v>
      </c>
      <c r="U269" t="s">
        <v>564</v>
      </c>
      <c r="V269" t="s">
        <v>117</v>
      </c>
      <c r="X269">
        <v>2.3296890000000001</v>
      </c>
      <c r="Y269">
        <v>3.2710729999999999</v>
      </c>
      <c r="Z269">
        <v>4.0746560000000001</v>
      </c>
      <c r="AA269">
        <v>4.3410760000000002</v>
      </c>
      <c r="AB269">
        <v>4.8058019999999999</v>
      </c>
      <c r="AC269">
        <v>5.5888299999999997</v>
      </c>
      <c r="AD269">
        <v>6.390612</v>
      </c>
      <c r="AE269">
        <v>7.3631570000000002</v>
      </c>
      <c r="AF269">
        <v>8.756024</v>
      </c>
      <c r="AG269">
        <v>9.2083259999999996</v>
      </c>
      <c r="AH269">
        <v>9.5809850000000001</v>
      </c>
      <c r="AI269">
        <v>9.7913069999999998</v>
      </c>
      <c r="AK269">
        <v>10.060653</v>
      </c>
      <c r="AM269">
        <v>10.254466000000001</v>
      </c>
      <c r="AO269">
        <v>10.43792</v>
      </c>
      <c r="AQ269">
        <v>10.436623000000001</v>
      </c>
      <c r="AR269">
        <v>10.394665</v>
      </c>
      <c r="AS269">
        <v>10.330973999999999</v>
      </c>
      <c r="AV269">
        <v>10.265060999999999</v>
      </c>
      <c r="AW269">
        <v>10.103991000000001</v>
      </c>
      <c r="AX269">
        <v>10.016724999999999</v>
      </c>
      <c r="AY269">
        <v>9.8489109999999993</v>
      </c>
      <c r="AZ269">
        <v>9.6452799999999996</v>
      </c>
      <c r="BA269">
        <v>9.3832269999999998</v>
      </c>
      <c r="BB269">
        <v>9.1234219999999997</v>
      </c>
      <c r="BC269">
        <v>8.9259450000000005</v>
      </c>
      <c r="BD269">
        <v>8.6517280000000003</v>
      </c>
      <c r="BE269">
        <v>8.4082799999999995</v>
      </c>
      <c r="BF269">
        <v>8.0759080000000001</v>
      </c>
      <c r="BG269">
        <v>7.8092160000000002</v>
      </c>
      <c r="BH269">
        <v>7.4684059999999999</v>
      </c>
      <c r="BI269" s="49">
        <v>0.04</v>
      </c>
    </row>
    <row r="270" spans="20:61" x14ac:dyDescent="0.5">
      <c r="T270" t="s">
        <v>565</v>
      </c>
      <c r="U270" t="s">
        <v>566</v>
      </c>
      <c r="V270" t="s">
        <v>117</v>
      </c>
      <c r="X270">
        <v>0.59625099999999998</v>
      </c>
      <c r="Y270">
        <v>0.65769100000000003</v>
      </c>
      <c r="Z270">
        <v>0.63275499999999996</v>
      </c>
      <c r="AA270">
        <v>0.55023</v>
      </c>
      <c r="AB270">
        <v>0.51356100000000005</v>
      </c>
      <c r="AC270">
        <v>0.51326499999999997</v>
      </c>
      <c r="AD270">
        <v>0.5272</v>
      </c>
      <c r="AE270">
        <v>0.55168600000000001</v>
      </c>
      <c r="AF270">
        <v>0.60051600000000005</v>
      </c>
      <c r="AG270">
        <v>0.66169800000000001</v>
      </c>
      <c r="AH270">
        <v>0.74377899999999997</v>
      </c>
      <c r="AI270">
        <v>0.81055100000000002</v>
      </c>
      <c r="AK270">
        <v>0.86681799999999998</v>
      </c>
      <c r="AM270">
        <v>0.91746499999999997</v>
      </c>
      <c r="AO270">
        <v>0.96542700000000004</v>
      </c>
      <c r="AQ270">
        <v>0.99822200000000005</v>
      </c>
      <c r="AR270">
        <v>1.0232220000000001</v>
      </c>
      <c r="AS270">
        <v>1.0449949999999999</v>
      </c>
      <c r="AV270">
        <v>1.0650580000000001</v>
      </c>
      <c r="AW270">
        <v>1.0748139999999999</v>
      </c>
      <c r="AX270">
        <v>1.0864419999999999</v>
      </c>
      <c r="AY270">
        <v>1.0930880000000001</v>
      </c>
      <c r="AZ270">
        <v>1.0971</v>
      </c>
      <c r="BA270">
        <v>1.0919239999999999</v>
      </c>
      <c r="BB270">
        <v>1.0867469999999999</v>
      </c>
      <c r="BC270">
        <v>1.0881730000000001</v>
      </c>
      <c r="BD270">
        <v>1.0818760000000001</v>
      </c>
      <c r="BE270">
        <v>1.076354</v>
      </c>
      <c r="BF270">
        <v>1.062719</v>
      </c>
      <c r="BG270">
        <v>1.0522320000000001</v>
      </c>
      <c r="BH270">
        <v>1.034845</v>
      </c>
      <c r="BI270" s="49">
        <v>1.9E-2</v>
      </c>
    </row>
    <row r="271" spans="20:61" x14ac:dyDescent="0.5">
      <c r="T271" t="s">
        <v>567</v>
      </c>
      <c r="U271" t="s">
        <v>568</v>
      </c>
      <c r="V271" t="s">
        <v>117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</v>
      </c>
      <c r="AM271">
        <v>0</v>
      </c>
      <c r="AO271">
        <v>0</v>
      </c>
      <c r="AQ271">
        <v>0</v>
      </c>
      <c r="AR271">
        <v>0</v>
      </c>
      <c r="AS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137</v>
      </c>
    </row>
    <row r="272" spans="20:61" x14ac:dyDescent="0.5">
      <c r="T272" t="s">
        <v>569</v>
      </c>
      <c r="U272" t="s">
        <v>570</v>
      </c>
      <c r="V272" t="s">
        <v>117</v>
      </c>
      <c r="X272">
        <v>13.592323</v>
      </c>
      <c r="Y272">
        <v>15.229032999999999</v>
      </c>
      <c r="Z272">
        <v>18.346465999999999</v>
      </c>
      <c r="AA272">
        <v>19.423739999999999</v>
      </c>
      <c r="AB272">
        <v>20.582163000000001</v>
      </c>
      <c r="AC272">
        <v>22.002827</v>
      </c>
      <c r="AD272">
        <v>23.329563</v>
      </c>
      <c r="AE272">
        <v>24.701443000000001</v>
      </c>
      <c r="AF272">
        <v>26.859300999999999</v>
      </c>
      <c r="AG272">
        <v>28.646547000000002</v>
      </c>
      <c r="AH272">
        <v>30.555364999999998</v>
      </c>
      <c r="AI272">
        <v>32.404353999999998</v>
      </c>
      <c r="AK272">
        <v>34.066279999999999</v>
      </c>
      <c r="AM272">
        <v>35.808906999999998</v>
      </c>
      <c r="AO272">
        <v>37.597706000000002</v>
      </c>
      <c r="AQ272">
        <v>39.026539</v>
      </c>
      <c r="AR272">
        <v>40.334305000000001</v>
      </c>
      <c r="AS272">
        <v>41.731895000000002</v>
      </c>
      <c r="AV272">
        <v>43.256625999999997</v>
      </c>
      <c r="AW272">
        <v>44.576434999999996</v>
      </c>
      <c r="AX272">
        <v>46.039368000000003</v>
      </c>
      <c r="AY272">
        <v>47.945189999999997</v>
      </c>
      <c r="AZ272">
        <v>49.774666000000003</v>
      </c>
      <c r="BA272">
        <v>51.207149999999999</v>
      </c>
      <c r="BB272">
        <v>52.747410000000002</v>
      </c>
      <c r="BC272">
        <v>54.714801999999999</v>
      </c>
      <c r="BD272">
        <v>56.401878000000004</v>
      </c>
      <c r="BE272">
        <v>58.087482000000001</v>
      </c>
      <c r="BF272">
        <v>59.488773000000002</v>
      </c>
      <c r="BG272">
        <v>61.042858000000003</v>
      </c>
      <c r="BH272">
        <v>62.273986999999998</v>
      </c>
      <c r="BI272" s="49">
        <v>5.1999999999999998E-2</v>
      </c>
    </row>
    <row r="273" spans="20:61" x14ac:dyDescent="0.5">
      <c r="T273" t="s">
        <v>571</v>
      </c>
      <c r="U273" t="s">
        <v>572</v>
      </c>
      <c r="V273" t="s">
        <v>117</v>
      </c>
      <c r="X273">
        <v>3.9065000000000003E-2</v>
      </c>
      <c r="Y273">
        <v>4.0420999999999999E-2</v>
      </c>
      <c r="Z273">
        <v>4.5312999999999999E-2</v>
      </c>
      <c r="AA273">
        <v>4.6205000000000003E-2</v>
      </c>
      <c r="AB273">
        <v>4.6891000000000002E-2</v>
      </c>
      <c r="AC273">
        <v>4.7895E-2</v>
      </c>
      <c r="AD273">
        <v>4.8052999999999998E-2</v>
      </c>
      <c r="AE273">
        <v>4.777E-2</v>
      </c>
      <c r="AF273">
        <v>4.8626000000000003E-2</v>
      </c>
      <c r="AG273">
        <v>4.9345E-2</v>
      </c>
      <c r="AH273">
        <v>5.0376999999999998E-2</v>
      </c>
      <c r="AI273">
        <v>5.1145000000000003E-2</v>
      </c>
      <c r="AK273">
        <v>5.1667999999999999E-2</v>
      </c>
      <c r="AM273">
        <v>5.2226000000000002E-2</v>
      </c>
      <c r="AO273">
        <v>5.2796000000000003E-2</v>
      </c>
      <c r="AQ273">
        <v>5.2963999999999997E-2</v>
      </c>
      <c r="AR273">
        <v>5.2918E-2</v>
      </c>
      <c r="AS273">
        <v>5.3005999999999998E-2</v>
      </c>
      <c r="AV273">
        <v>5.3240000000000003E-2</v>
      </c>
      <c r="AW273">
        <v>5.3245000000000001E-2</v>
      </c>
      <c r="AX273">
        <v>5.3310999999999997E-2</v>
      </c>
      <c r="AY273">
        <v>5.3690000000000002E-2</v>
      </c>
      <c r="AZ273">
        <v>5.4135999999999997E-2</v>
      </c>
      <c r="BA273">
        <v>5.4094999999999997E-2</v>
      </c>
      <c r="BB273">
        <v>5.4135999999999997E-2</v>
      </c>
      <c r="BC273">
        <v>5.4549E-2</v>
      </c>
      <c r="BD273">
        <v>5.4699999999999999E-2</v>
      </c>
      <c r="BE273">
        <v>5.4760999999999997E-2</v>
      </c>
      <c r="BF273">
        <v>5.4579999999999997E-2</v>
      </c>
      <c r="BG273">
        <v>5.4403E-2</v>
      </c>
      <c r="BH273">
        <v>5.3999999999999999E-2</v>
      </c>
      <c r="BI273" s="49">
        <v>1.0999999999999999E-2</v>
      </c>
    </row>
    <row r="274" spans="20:61" x14ac:dyDescent="0.5">
      <c r="T274" t="s">
        <v>573</v>
      </c>
      <c r="U274" t="s">
        <v>574</v>
      </c>
      <c r="V274" t="s">
        <v>117</v>
      </c>
      <c r="X274">
        <v>0.258575</v>
      </c>
      <c r="Y274">
        <v>0.27266200000000002</v>
      </c>
      <c r="Z274">
        <v>0.30268299999999998</v>
      </c>
      <c r="AA274">
        <v>0.30798900000000001</v>
      </c>
      <c r="AB274">
        <v>0.31340499999999999</v>
      </c>
      <c r="AC274">
        <v>0.32133800000000001</v>
      </c>
      <c r="AD274">
        <v>0.32333400000000001</v>
      </c>
      <c r="AE274">
        <v>0.32215199999999999</v>
      </c>
      <c r="AF274">
        <v>0.32844499999999999</v>
      </c>
      <c r="AG274">
        <v>0.33391300000000002</v>
      </c>
      <c r="AH274">
        <v>0.34165299999999998</v>
      </c>
      <c r="AI274">
        <v>0.34733199999999997</v>
      </c>
      <c r="AK274">
        <v>0.35158400000000001</v>
      </c>
      <c r="AM274">
        <v>0.35611199999999998</v>
      </c>
      <c r="AO274">
        <v>0.36066300000000001</v>
      </c>
      <c r="AQ274">
        <v>0.36239199999999999</v>
      </c>
      <c r="AR274">
        <v>0.362674</v>
      </c>
      <c r="AS274">
        <v>0.36384499999999997</v>
      </c>
      <c r="AV274">
        <v>0.36605700000000002</v>
      </c>
      <c r="AW274">
        <v>0.366786</v>
      </c>
      <c r="AX274">
        <v>0.367844</v>
      </c>
      <c r="AY274">
        <v>0.37090499999999998</v>
      </c>
      <c r="AZ274">
        <v>0.37452299999999999</v>
      </c>
      <c r="BA274">
        <v>0.37479800000000002</v>
      </c>
      <c r="BB274">
        <v>0.37561600000000001</v>
      </c>
      <c r="BC274">
        <v>0.379021</v>
      </c>
      <c r="BD274">
        <v>0.38052599999999998</v>
      </c>
      <c r="BE274">
        <v>0.38142900000000002</v>
      </c>
      <c r="BF274">
        <v>0.38072299999999998</v>
      </c>
      <c r="BG274">
        <v>0.380023</v>
      </c>
      <c r="BH274">
        <v>0.37767899999999999</v>
      </c>
      <c r="BI274" s="49">
        <v>1.2999999999999999E-2</v>
      </c>
    </row>
    <row r="275" spans="20:61" x14ac:dyDescent="0.5">
      <c r="T275" t="s">
        <v>575</v>
      </c>
      <c r="U275" t="s">
        <v>576</v>
      </c>
      <c r="V275" t="s">
        <v>117</v>
      </c>
      <c r="X275">
        <v>6.4953999999999998E-2</v>
      </c>
      <c r="Y275">
        <v>5.3109999999999997E-2</v>
      </c>
      <c r="Z275">
        <v>6.3747999999999999E-2</v>
      </c>
      <c r="AA275">
        <v>6.8399000000000001E-2</v>
      </c>
      <c r="AB275">
        <v>6.9434999999999997E-2</v>
      </c>
      <c r="AC275">
        <v>6.9847999999999993E-2</v>
      </c>
      <c r="AD275">
        <v>6.9695999999999994E-2</v>
      </c>
      <c r="AE275">
        <v>6.9251999999999994E-2</v>
      </c>
      <c r="AF275">
        <v>7.0751999999999995E-2</v>
      </c>
      <c r="AG275">
        <v>7.2607000000000005E-2</v>
      </c>
      <c r="AH275">
        <v>7.4288000000000007E-2</v>
      </c>
      <c r="AI275">
        <v>7.7048000000000005E-2</v>
      </c>
      <c r="AK275">
        <v>7.8048000000000006E-2</v>
      </c>
      <c r="AM275">
        <v>7.9589999999999994E-2</v>
      </c>
      <c r="AO275">
        <v>8.1023999999999999E-2</v>
      </c>
      <c r="AQ275">
        <v>8.2175999999999999E-2</v>
      </c>
      <c r="AR275">
        <v>8.2642999999999994E-2</v>
      </c>
      <c r="AS275">
        <v>8.3477999999999997E-2</v>
      </c>
      <c r="AV275">
        <v>8.4541000000000005E-2</v>
      </c>
      <c r="AW275">
        <v>8.5413000000000003E-2</v>
      </c>
      <c r="AX275">
        <v>8.5710999999999996E-2</v>
      </c>
      <c r="AY275">
        <v>8.7151000000000006E-2</v>
      </c>
      <c r="AZ275">
        <v>8.8911000000000004E-2</v>
      </c>
      <c r="BA275">
        <v>8.9584999999999998E-2</v>
      </c>
      <c r="BB275">
        <v>9.0457999999999997E-2</v>
      </c>
      <c r="BC275">
        <v>9.1916999999999999E-2</v>
      </c>
      <c r="BD275">
        <v>9.2731999999999995E-2</v>
      </c>
      <c r="BE275">
        <v>9.3035000000000007E-2</v>
      </c>
      <c r="BF275">
        <v>9.3290999999999999E-2</v>
      </c>
      <c r="BG275">
        <v>9.3142000000000003E-2</v>
      </c>
      <c r="BH275">
        <v>9.3065999999999996E-2</v>
      </c>
      <c r="BI275" s="49">
        <v>1.2E-2</v>
      </c>
    </row>
    <row r="276" spans="20:61" x14ac:dyDescent="0.5">
      <c r="T276" t="s">
        <v>575</v>
      </c>
      <c r="U276" t="s">
        <v>577</v>
      </c>
      <c r="V276" t="s">
        <v>117</v>
      </c>
      <c r="X276">
        <v>6.3505000000000006E-2</v>
      </c>
      <c r="Y276">
        <v>6.7239999999999994E-2</v>
      </c>
      <c r="Z276">
        <v>7.4729000000000004E-2</v>
      </c>
      <c r="AA276">
        <v>7.5979000000000005E-2</v>
      </c>
      <c r="AB276">
        <v>7.7170000000000002E-2</v>
      </c>
      <c r="AC276">
        <v>7.9017000000000004E-2</v>
      </c>
      <c r="AD276">
        <v>7.9464000000000007E-2</v>
      </c>
      <c r="AE276">
        <v>7.9133999999999996E-2</v>
      </c>
      <c r="AF276">
        <v>8.0611000000000002E-2</v>
      </c>
      <c r="AG276">
        <v>8.1916000000000003E-2</v>
      </c>
      <c r="AH276">
        <v>8.3760000000000001E-2</v>
      </c>
      <c r="AI276">
        <v>8.5107000000000002E-2</v>
      </c>
      <c r="AK276">
        <v>8.6086999999999997E-2</v>
      </c>
      <c r="AM276">
        <v>8.7149000000000004E-2</v>
      </c>
      <c r="AO276">
        <v>8.8204000000000005E-2</v>
      </c>
      <c r="AQ276">
        <v>8.8562000000000002E-2</v>
      </c>
      <c r="AR276">
        <v>8.8574E-2</v>
      </c>
      <c r="AS276">
        <v>8.8792999999999997E-2</v>
      </c>
      <c r="AV276">
        <v>8.9279999999999998E-2</v>
      </c>
      <c r="AW276">
        <v>8.9402999999999996E-2</v>
      </c>
      <c r="AX276">
        <v>8.9597999999999997E-2</v>
      </c>
      <c r="AY276">
        <v>9.0279999999999999E-2</v>
      </c>
      <c r="AZ276">
        <v>9.1108999999999996E-2</v>
      </c>
      <c r="BA276">
        <v>9.1121999999999995E-2</v>
      </c>
      <c r="BB276">
        <v>9.1277999999999998E-2</v>
      </c>
      <c r="BC276">
        <v>9.2073000000000002E-2</v>
      </c>
      <c r="BD276">
        <v>9.2369999999999994E-2</v>
      </c>
      <c r="BE276">
        <v>9.2511999999999997E-2</v>
      </c>
      <c r="BF276">
        <v>9.2286000000000007E-2</v>
      </c>
      <c r="BG276">
        <v>9.2077999999999993E-2</v>
      </c>
      <c r="BH276">
        <v>9.1454999999999995E-2</v>
      </c>
      <c r="BI276" s="49">
        <v>1.2E-2</v>
      </c>
    </row>
    <row r="277" spans="20:61" x14ac:dyDescent="0.5">
      <c r="T277" t="s">
        <v>578</v>
      </c>
      <c r="U277" t="s">
        <v>579</v>
      </c>
      <c r="V277" t="s">
        <v>117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</v>
      </c>
      <c r="AM277">
        <v>0</v>
      </c>
      <c r="AO277">
        <v>0</v>
      </c>
      <c r="AQ277">
        <v>0</v>
      </c>
      <c r="AR277">
        <v>0</v>
      </c>
      <c r="AS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137</v>
      </c>
    </row>
    <row r="278" spans="20:61" x14ac:dyDescent="0.5">
      <c r="T278" t="s">
        <v>580</v>
      </c>
      <c r="U278" t="s">
        <v>581</v>
      </c>
      <c r="V278" t="s">
        <v>117</v>
      </c>
      <c r="X278">
        <v>2.0126000000000002E-2</v>
      </c>
      <c r="Y278">
        <v>2.1228E-2</v>
      </c>
      <c r="Z278">
        <v>2.5453E-2</v>
      </c>
      <c r="AA278">
        <v>2.8896999999999999E-2</v>
      </c>
      <c r="AB278">
        <v>3.3279999999999997E-2</v>
      </c>
      <c r="AC278">
        <v>3.9522000000000002E-2</v>
      </c>
      <c r="AD278">
        <v>4.5587000000000003E-2</v>
      </c>
      <c r="AE278">
        <v>5.1860000000000003E-2</v>
      </c>
      <c r="AF278">
        <v>5.9957000000000003E-2</v>
      </c>
      <c r="AG278">
        <v>6.8479999999999999E-2</v>
      </c>
      <c r="AH278">
        <v>7.7841999999999995E-2</v>
      </c>
      <c r="AI278">
        <v>8.6818999999999993E-2</v>
      </c>
      <c r="AK278">
        <v>9.5268000000000005E-2</v>
      </c>
      <c r="AM278">
        <v>0.10338</v>
      </c>
      <c r="AO278">
        <v>0.11096300000000001</v>
      </c>
      <c r="AQ278">
        <v>0.11708200000000001</v>
      </c>
      <c r="AR278">
        <v>0.122102</v>
      </c>
      <c r="AS278">
        <v>0.12684699999999999</v>
      </c>
      <c r="AV278">
        <v>0.13151099999999999</v>
      </c>
      <c r="AW278">
        <v>0.135265</v>
      </c>
      <c r="AX278">
        <v>0.13880799999999999</v>
      </c>
      <c r="AY278">
        <v>0.14301800000000001</v>
      </c>
      <c r="AZ278">
        <v>0.14736099999999999</v>
      </c>
      <c r="BA278">
        <v>0.150253</v>
      </c>
      <c r="BB278">
        <v>0.15330199999999999</v>
      </c>
      <c r="BC278">
        <v>0.15737899999999999</v>
      </c>
      <c r="BD278">
        <v>0.16067999999999999</v>
      </c>
      <c r="BE278">
        <v>0.16363</v>
      </c>
      <c r="BF278">
        <v>0.16599</v>
      </c>
      <c r="BG278">
        <v>0.168209</v>
      </c>
      <c r="BH278">
        <v>0.16980200000000001</v>
      </c>
      <c r="BI278" s="49">
        <v>7.3999999999999996E-2</v>
      </c>
    </row>
    <row r="279" spans="20:61" x14ac:dyDescent="0.5">
      <c r="T279" t="s">
        <v>582</v>
      </c>
      <c r="U279" t="s">
        <v>583</v>
      </c>
      <c r="V279" t="s">
        <v>117</v>
      </c>
      <c r="X279">
        <v>39.210388000000002</v>
      </c>
      <c r="Y279">
        <v>41.115479000000001</v>
      </c>
      <c r="Z279">
        <v>47.766438000000001</v>
      </c>
      <c r="AA279">
        <v>49.585788999999998</v>
      </c>
      <c r="AB279">
        <v>51.715229000000001</v>
      </c>
      <c r="AC279">
        <v>54.567131000000003</v>
      </c>
      <c r="AD279">
        <v>57.460341999999997</v>
      </c>
      <c r="AE279">
        <v>60.745541000000003</v>
      </c>
      <c r="AF279">
        <v>66.379065999999995</v>
      </c>
      <c r="AG279">
        <v>71.087249999999997</v>
      </c>
      <c r="AH279">
        <v>76.308197000000007</v>
      </c>
      <c r="AI279">
        <v>81.975776999999994</v>
      </c>
      <c r="AK279">
        <v>87.567573999999993</v>
      </c>
      <c r="AM279">
        <v>93.749260000000007</v>
      </c>
      <c r="AO279">
        <v>100.281891</v>
      </c>
      <c r="AQ279">
        <v>106.14566000000001</v>
      </c>
      <c r="AR279">
        <v>111.67804700000001</v>
      </c>
      <c r="AS279">
        <v>117.55246</v>
      </c>
      <c r="AV279">
        <v>123.77555099999999</v>
      </c>
      <c r="AW279">
        <v>129.33201600000001</v>
      </c>
      <c r="AX279">
        <v>135.11399800000001</v>
      </c>
      <c r="AY279">
        <v>140.898178</v>
      </c>
      <c r="AZ279">
        <v>146.53724700000001</v>
      </c>
      <c r="BA279">
        <v>150.90995799999999</v>
      </c>
      <c r="BB279">
        <v>155.59790000000001</v>
      </c>
      <c r="BC279">
        <v>161.462616</v>
      </c>
      <c r="BD279">
        <v>166.52398700000001</v>
      </c>
      <c r="BE279">
        <v>171.67602500000001</v>
      </c>
      <c r="BF279">
        <v>176.055374</v>
      </c>
      <c r="BG279">
        <v>180.66146900000001</v>
      </c>
      <c r="BH279">
        <v>184.65559400000001</v>
      </c>
      <c r="BI279" s="49">
        <v>5.2999999999999999E-2</v>
      </c>
    </row>
    <row r="280" spans="20:61" x14ac:dyDescent="0.5">
      <c r="T280" t="s">
        <v>584</v>
      </c>
      <c r="U280" t="s">
        <v>585</v>
      </c>
      <c r="V280" t="s">
        <v>155</v>
      </c>
      <c r="X280">
        <v>7.190067</v>
      </c>
      <c r="Y280">
        <v>7.0275619999999996</v>
      </c>
      <c r="Z280">
        <v>7.3239130000000001</v>
      </c>
      <c r="AA280">
        <v>7.6592750000000001</v>
      </c>
      <c r="AB280">
        <v>7.9729010000000002</v>
      </c>
      <c r="AC280">
        <v>8.2818749999999994</v>
      </c>
      <c r="AD280">
        <v>8.7552050000000001</v>
      </c>
      <c r="AE280">
        <v>9.3205170000000006</v>
      </c>
      <c r="AF280">
        <v>10.024903</v>
      </c>
      <c r="AG280">
        <v>10.598457</v>
      </c>
      <c r="AH280">
        <v>11.212376000000001</v>
      </c>
      <c r="AI280">
        <v>11.881313</v>
      </c>
      <c r="AK280">
        <v>12.577083</v>
      </c>
      <c r="AM280">
        <v>13.323517000000001</v>
      </c>
      <c r="AO280">
        <v>14.098594</v>
      </c>
      <c r="AQ280">
        <v>14.893243</v>
      </c>
      <c r="AR280">
        <v>15.685911000000001</v>
      </c>
      <c r="AS280">
        <v>16.492007999999998</v>
      </c>
      <c r="AV280">
        <v>17.296171000000001</v>
      </c>
      <c r="AW280">
        <v>18.078999</v>
      </c>
      <c r="AX280">
        <v>18.866999</v>
      </c>
      <c r="AY280">
        <v>19.554258000000001</v>
      </c>
      <c r="AZ280">
        <v>20.193548</v>
      </c>
      <c r="BA280">
        <v>20.833176000000002</v>
      </c>
      <c r="BB280">
        <v>21.489830000000001</v>
      </c>
      <c r="BC280">
        <v>22.157993000000001</v>
      </c>
      <c r="BD280">
        <v>22.836528999999999</v>
      </c>
      <c r="BE280">
        <v>23.551884000000001</v>
      </c>
      <c r="BF280">
        <v>24.276184000000001</v>
      </c>
      <c r="BG280">
        <v>25.011517999999999</v>
      </c>
      <c r="BH280">
        <v>25.789885000000002</v>
      </c>
      <c r="BI280" s="49">
        <v>4.2999999999999997E-2</v>
      </c>
    </row>
    <row r="281" spans="20:61" x14ac:dyDescent="0.5">
      <c r="T281" t="s">
        <v>586</v>
      </c>
      <c r="U281" t="s">
        <v>587</v>
      </c>
      <c r="V281" t="s">
        <v>117</v>
      </c>
      <c r="X281">
        <v>545.34106399999996</v>
      </c>
      <c r="Y281">
        <v>585.06036400000005</v>
      </c>
      <c r="Z281">
        <v>652.19830300000001</v>
      </c>
      <c r="AA281">
        <v>647.39532499999996</v>
      </c>
      <c r="AB281">
        <v>648.63751200000002</v>
      </c>
      <c r="AC281">
        <v>658.874146</v>
      </c>
      <c r="AD281">
        <v>656.29925500000002</v>
      </c>
      <c r="AE281">
        <v>651.74005099999999</v>
      </c>
      <c r="AF281">
        <v>662.14166299999999</v>
      </c>
      <c r="AG281">
        <v>670.73205600000006</v>
      </c>
      <c r="AH281">
        <v>680.57116699999995</v>
      </c>
      <c r="AI281">
        <v>689.95550500000002</v>
      </c>
      <c r="AK281">
        <v>696.24713099999997</v>
      </c>
      <c r="AM281">
        <v>703.63745100000006</v>
      </c>
      <c r="AO281">
        <v>711.29003899999998</v>
      </c>
      <c r="AQ281">
        <v>712.71020499999997</v>
      </c>
      <c r="AR281">
        <v>711.96405000000004</v>
      </c>
      <c r="AS281">
        <v>712.78442399999994</v>
      </c>
      <c r="AV281">
        <v>715.62396200000001</v>
      </c>
      <c r="AW281">
        <v>715.37152100000003</v>
      </c>
      <c r="AX281">
        <v>716.13934300000005</v>
      </c>
      <c r="AY281">
        <v>720.54980499999999</v>
      </c>
      <c r="AZ281">
        <v>725.66369599999996</v>
      </c>
      <c r="BA281">
        <v>724.37323000000004</v>
      </c>
      <c r="BB281">
        <v>724.05364999999995</v>
      </c>
      <c r="BC281">
        <v>728.68786599999999</v>
      </c>
      <c r="BD281">
        <v>729.20007299999997</v>
      </c>
      <c r="BE281">
        <v>728.92694100000006</v>
      </c>
      <c r="BF281">
        <v>725.21850600000005</v>
      </c>
      <c r="BG281">
        <v>722.31311000000005</v>
      </c>
      <c r="BH281">
        <v>716.00006099999996</v>
      </c>
      <c r="BI281" s="49">
        <v>8.9999999999999993E-3</v>
      </c>
    </row>
    <row r="282" spans="20:61" x14ac:dyDescent="0.5">
      <c r="T282" t="s">
        <v>588</v>
      </c>
      <c r="U282" t="s">
        <v>589</v>
      </c>
      <c r="V282" t="s">
        <v>117</v>
      </c>
      <c r="X282">
        <v>761.43933100000004</v>
      </c>
      <c r="Y282">
        <v>856.72143600000004</v>
      </c>
      <c r="Z282">
        <v>877.337219</v>
      </c>
      <c r="AA282">
        <v>886.55102499999998</v>
      </c>
      <c r="AB282">
        <v>916.97412099999997</v>
      </c>
      <c r="AC282">
        <v>938.18048099999999</v>
      </c>
      <c r="AD282">
        <v>924.67883300000005</v>
      </c>
      <c r="AE282">
        <v>907.74096699999996</v>
      </c>
      <c r="AF282">
        <v>906.50488299999995</v>
      </c>
      <c r="AG282">
        <v>904.08837900000003</v>
      </c>
      <c r="AH282">
        <v>892.02032499999996</v>
      </c>
      <c r="AI282">
        <v>889.18933100000004</v>
      </c>
      <c r="AK282">
        <v>885.28070100000002</v>
      </c>
      <c r="AM282">
        <v>882.45129399999996</v>
      </c>
      <c r="AO282">
        <v>877.92968800000006</v>
      </c>
      <c r="AQ282">
        <v>869.90515100000005</v>
      </c>
      <c r="AR282">
        <v>858.46923800000002</v>
      </c>
      <c r="AS282">
        <v>849.77703899999995</v>
      </c>
      <c r="AV282">
        <v>844.65551800000003</v>
      </c>
      <c r="AW282">
        <v>839.24804700000004</v>
      </c>
      <c r="AX282">
        <v>830.58416699999998</v>
      </c>
      <c r="AY282">
        <v>827.49352999999996</v>
      </c>
      <c r="AZ282">
        <v>830.07904099999996</v>
      </c>
      <c r="BA282">
        <v>826.34393299999999</v>
      </c>
      <c r="BB282">
        <v>824.17279099999996</v>
      </c>
      <c r="BC282">
        <v>827.39465299999995</v>
      </c>
      <c r="BD282">
        <v>828.08068800000001</v>
      </c>
      <c r="BE282">
        <v>825.39263900000003</v>
      </c>
      <c r="BF282">
        <v>822.03118900000004</v>
      </c>
      <c r="BG282">
        <v>816.524719</v>
      </c>
      <c r="BH282">
        <v>808.97473100000002</v>
      </c>
      <c r="BI282" s="49">
        <v>2E-3</v>
      </c>
    </row>
    <row r="283" spans="20:61" x14ac:dyDescent="0.5">
      <c r="T283" t="s">
        <v>590</v>
      </c>
      <c r="U283" t="s">
        <v>591</v>
      </c>
      <c r="V283" t="s">
        <v>117</v>
      </c>
      <c r="X283">
        <v>4.1190090000000001</v>
      </c>
      <c r="Y283">
        <v>7.7622600000000004</v>
      </c>
      <c r="Z283">
        <v>11.736786</v>
      </c>
      <c r="AA283">
        <v>11.011741000000001</v>
      </c>
      <c r="AB283">
        <v>10.882134000000001</v>
      </c>
      <c r="AC283">
        <v>11.237793999999999</v>
      </c>
      <c r="AD283">
        <v>11.147755</v>
      </c>
      <c r="AE283">
        <v>10.921238000000001</v>
      </c>
      <c r="AF283">
        <v>11.189614000000001</v>
      </c>
      <c r="AG283">
        <v>11.446308</v>
      </c>
      <c r="AH283">
        <v>11.873176000000001</v>
      </c>
      <c r="AI283">
        <v>11.796950000000001</v>
      </c>
      <c r="AK283">
        <v>11.968378</v>
      </c>
      <c r="AM283">
        <v>11.993449</v>
      </c>
      <c r="AO283">
        <v>12.190431</v>
      </c>
      <c r="AQ283">
        <v>12.26825</v>
      </c>
      <c r="AR283">
        <v>12.368494999999999</v>
      </c>
      <c r="AS283">
        <v>12.410924</v>
      </c>
      <c r="AV283">
        <v>12.491076</v>
      </c>
      <c r="AW283">
        <v>12.577709</v>
      </c>
      <c r="AX283">
        <v>12.395057</v>
      </c>
      <c r="AY283">
        <v>12.453844999999999</v>
      </c>
      <c r="AZ283">
        <v>12.525309</v>
      </c>
      <c r="BA283">
        <v>12.425162</v>
      </c>
      <c r="BB283">
        <v>12.30035</v>
      </c>
      <c r="BC283">
        <v>12.42943</v>
      </c>
      <c r="BD283">
        <v>12.144015</v>
      </c>
      <c r="BE283">
        <v>12.197820999999999</v>
      </c>
      <c r="BF283">
        <v>12.345692</v>
      </c>
      <c r="BG283">
        <v>12.23752</v>
      </c>
      <c r="BH283">
        <v>12.100607999999999</v>
      </c>
      <c r="BI283" s="49">
        <v>3.6999999999999998E-2</v>
      </c>
    </row>
    <row r="284" spans="20:61" x14ac:dyDescent="0.5">
      <c r="T284" t="s">
        <v>592</v>
      </c>
      <c r="U284" t="s">
        <v>593</v>
      </c>
      <c r="V284" t="s">
        <v>117</v>
      </c>
      <c r="X284">
        <v>765.55835000000002</v>
      </c>
      <c r="Y284">
        <v>864.48370399999999</v>
      </c>
      <c r="Z284">
        <v>889.07397500000002</v>
      </c>
      <c r="AA284">
        <v>897.56274399999995</v>
      </c>
      <c r="AB284">
        <v>927.85626200000002</v>
      </c>
      <c r="AC284">
        <v>949.418274</v>
      </c>
      <c r="AD284">
        <v>935.82659899999999</v>
      </c>
      <c r="AE284">
        <v>918.66223100000002</v>
      </c>
      <c r="AF284">
        <v>917.69451900000001</v>
      </c>
      <c r="AG284">
        <v>915.53466800000001</v>
      </c>
      <c r="AH284">
        <v>903.89349400000003</v>
      </c>
      <c r="AI284">
        <v>900.986267</v>
      </c>
      <c r="AK284">
        <v>897.24908400000004</v>
      </c>
      <c r="AM284">
        <v>894.44476299999997</v>
      </c>
      <c r="AO284">
        <v>890.12011700000005</v>
      </c>
      <c r="AQ284">
        <v>882.17340100000001</v>
      </c>
      <c r="AR284">
        <v>870.83770800000002</v>
      </c>
      <c r="AS284">
        <v>862.18798800000002</v>
      </c>
      <c r="AV284">
        <v>857.14660600000002</v>
      </c>
      <c r="AW284">
        <v>851.82574499999998</v>
      </c>
      <c r="AX284">
        <v>842.97924799999998</v>
      </c>
      <c r="AY284">
        <v>839.94738800000005</v>
      </c>
      <c r="AZ284">
        <v>842.60437000000002</v>
      </c>
      <c r="BA284">
        <v>838.76910399999997</v>
      </c>
      <c r="BB284">
        <v>836.47314500000005</v>
      </c>
      <c r="BC284">
        <v>839.82409700000005</v>
      </c>
      <c r="BD284">
        <v>840.22473100000002</v>
      </c>
      <c r="BE284">
        <v>837.59045400000002</v>
      </c>
      <c r="BF284">
        <v>834.376892</v>
      </c>
      <c r="BG284">
        <v>828.76226799999995</v>
      </c>
      <c r="BH284">
        <v>821.07531700000004</v>
      </c>
      <c r="BI284" s="49">
        <v>2E-3</v>
      </c>
    </row>
    <row r="285" spans="20:61" x14ac:dyDescent="0.5">
      <c r="T285" t="s">
        <v>594</v>
      </c>
      <c r="U285" t="s">
        <v>595</v>
      </c>
      <c r="V285" t="s">
        <v>117</v>
      </c>
      <c r="X285">
        <v>76.378936999999993</v>
      </c>
      <c r="Y285">
        <v>78.329848999999996</v>
      </c>
      <c r="Z285">
        <v>80.730286000000007</v>
      </c>
      <c r="AA285">
        <v>81.585075000000003</v>
      </c>
      <c r="AB285">
        <v>84.323562999999993</v>
      </c>
      <c r="AC285">
        <v>86.307793000000004</v>
      </c>
      <c r="AD285">
        <v>85.446106</v>
      </c>
      <c r="AE285">
        <v>84.143416999999999</v>
      </c>
      <c r="AF285">
        <v>84.240905999999995</v>
      </c>
      <c r="AG285">
        <v>84.237755000000007</v>
      </c>
      <c r="AH285">
        <v>83.313438000000005</v>
      </c>
      <c r="AI285">
        <v>83.285240000000002</v>
      </c>
      <c r="AK285">
        <v>83.193184000000002</v>
      </c>
      <c r="AM285">
        <v>83.160278000000005</v>
      </c>
      <c r="AO285">
        <v>83.096107000000003</v>
      </c>
      <c r="AQ285">
        <v>82.646621999999994</v>
      </c>
      <c r="AR285">
        <v>81.869536999999994</v>
      </c>
      <c r="AS285">
        <v>81.318375000000003</v>
      </c>
      <c r="AV285">
        <v>81.111626000000001</v>
      </c>
      <c r="AW285">
        <v>80.849586000000002</v>
      </c>
      <c r="AX285">
        <v>80.290543</v>
      </c>
      <c r="AY285">
        <v>80.231887999999998</v>
      </c>
      <c r="AZ285">
        <v>80.696297000000001</v>
      </c>
      <c r="BA285">
        <v>80.543364999999994</v>
      </c>
      <c r="BB285">
        <v>80.544380000000004</v>
      </c>
      <c r="BC285">
        <v>81.083343999999997</v>
      </c>
      <c r="BD285">
        <v>81.352530999999999</v>
      </c>
      <c r="BE285">
        <v>81.329505999999995</v>
      </c>
      <c r="BF285">
        <v>81.219329999999999</v>
      </c>
      <c r="BG285">
        <v>80.911308000000005</v>
      </c>
      <c r="BH285">
        <v>80.372733999999994</v>
      </c>
      <c r="BI285" s="49">
        <v>2E-3</v>
      </c>
    </row>
    <row r="286" spans="20:61" x14ac:dyDescent="0.5">
      <c r="T286" t="s">
        <v>596</v>
      </c>
      <c r="U286" t="s">
        <v>597</v>
      </c>
      <c r="V286" t="s">
        <v>117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</v>
      </c>
      <c r="AM286">
        <v>0</v>
      </c>
      <c r="AO286">
        <v>0</v>
      </c>
      <c r="AQ286">
        <v>0</v>
      </c>
      <c r="AR286">
        <v>0</v>
      </c>
      <c r="AS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 t="s">
        <v>137</v>
      </c>
    </row>
    <row r="287" spans="20:61" x14ac:dyDescent="0.5">
      <c r="T287" t="s">
        <v>598</v>
      </c>
      <c r="U287" t="s">
        <v>599</v>
      </c>
      <c r="V287" t="s">
        <v>117</v>
      </c>
      <c r="X287">
        <v>1.1686430000000001</v>
      </c>
      <c r="Y287">
        <v>1.3606670000000001</v>
      </c>
      <c r="Z287">
        <v>1.5521309999999999</v>
      </c>
      <c r="AA287">
        <v>1.6364989999999999</v>
      </c>
      <c r="AB287">
        <v>1.9529810000000001</v>
      </c>
      <c r="AC287">
        <v>2.276462</v>
      </c>
      <c r="AD287">
        <v>2.647656</v>
      </c>
      <c r="AE287">
        <v>2.991495</v>
      </c>
      <c r="AF287">
        <v>3.4695170000000002</v>
      </c>
      <c r="AG287">
        <v>4.0160999999999998</v>
      </c>
      <c r="AH287">
        <v>4.5256569999999998</v>
      </c>
      <c r="AI287">
        <v>5.1624379999999999</v>
      </c>
      <c r="AK287">
        <v>5.851985</v>
      </c>
      <c r="AM287">
        <v>6.5774749999999997</v>
      </c>
      <c r="AO287">
        <v>7.3070959999999996</v>
      </c>
      <c r="AQ287">
        <v>7.9930209999999997</v>
      </c>
      <c r="AR287">
        <v>8.6344390000000004</v>
      </c>
      <c r="AS287">
        <v>9.272634</v>
      </c>
      <c r="AV287">
        <v>9.9250959999999999</v>
      </c>
      <c r="AW287">
        <v>10.544237000000001</v>
      </c>
      <c r="AX287">
        <v>11.123939999999999</v>
      </c>
      <c r="AY287">
        <v>11.730135000000001</v>
      </c>
      <c r="AZ287">
        <v>12.397282000000001</v>
      </c>
      <c r="BA287">
        <v>12.975616</v>
      </c>
      <c r="BB287">
        <v>13.574816999999999</v>
      </c>
      <c r="BC287">
        <v>14.271609</v>
      </c>
      <c r="BD287">
        <v>14.916359</v>
      </c>
      <c r="BE287">
        <v>15.537791</v>
      </c>
      <c r="BF287">
        <v>16.126615999999999</v>
      </c>
      <c r="BG287">
        <v>16.696065999999998</v>
      </c>
      <c r="BH287">
        <v>17.208203999999999</v>
      </c>
      <c r="BI287" s="49">
        <v>9.4E-2</v>
      </c>
    </row>
    <row r="288" spans="20:61" x14ac:dyDescent="0.5">
      <c r="T288" t="s">
        <v>600</v>
      </c>
      <c r="U288" t="s">
        <v>601</v>
      </c>
      <c r="V288" t="s">
        <v>117</v>
      </c>
      <c r="X288">
        <v>3.0390269999999999</v>
      </c>
      <c r="Y288">
        <v>3.718588</v>
      </c>
      <c r="Z288">
        <v>4.3830200000000001</v>
      </c>
      <c r="AA288">
        <v>5.0102039999999999</v>
      </c>
      <c r="AB288">
        <v>5.7089549999999996</v>
      </c>
      <c r="AC288">
        <v>6.2147139999999998</v>
      </c>
      <c r="AD288">
        <v>6.4982160000000002</v>
      </c>
      <c r="AE288">
        <v>7.0508350000000002</v>
      </c>
      <c r="AF288">
        <v>8.0169540000000001</v>
      </c>
      <c r="AG288">
        <v>9.1640879999999996</v>
      </c>
      <c r="AH288">
        <v>10.629799999999999</v>
      </c>
      <c r="AI288">
        <v>12.233306000000001</v>
      </c>
      <c r="AK288">
        <v>14.095684</v>
      </c>
      <c r="AM288">
        <v>16.084651999999998</v>
      </c>
      <c r="AO288">
        <v>18.233875000000001</v>
      </c>
      <c r="AQ288">
        <v>20.379549000000001</v>
      </c>
      <c r="AR288">
        <v>22.523363</v>
      </c>
      <c r="AS288">
        <v>24.749825000000001</v>
      </c>
      <c r="AV288">
        <v>27.077866</v>
      </c>
      <c r="AW288">
        <v>29.295280000000002</v>
      </c>
      <c r="AX288">
        <v>31.539145999999999</v>
      </c>
      <c r="AY288">
        <v>33.243617999999998</v>
      </c>
      <c r="AZ288">
        <v>34.960284999999999</v>
      </c>
      <c r="BA288">
        <v>36.486094999999999</v>
      </c>
      <c r="BB288">
        <v>38.110329</v>
      </c>
      <c r="BC288">
        <v>40.056252000000001</v>
      </c>
      <c r="BD288">
        <v>41.857872</v>
      </c>
      <c r="BE288">
        <v>43.759746999999997</v>
      </c>
      <c r="BF288">
        <v>45.493335999999999</v>
      </c>
      <c r="BG288">
        <v>47.360661</v>
      </c>
      <c r="BH288">
        <v>49.039146000000002</v>
      </c>
      <c r="BI288" s="49">
        <v>9.7000000000000003E-2</v>
      </c>
    </row>
    <row r="289" spans="20:61" x14ac:dyDescent="0.5">
      <c r="T289" t="s">
        <v>602</v>
      </c>
      <c r="U289" t="s">
        <v>603</v>
      </c>
      <c r="V289" t="s">
        <v>117</v>
      </c>
      <c r="X289">
        <v>0.40677799999999997</v>
      </c>
      <c r="Y289">
        <v>0.45656799999999997</v>
      </c>
      <c r="Z289">
        <v>0.47946800000000001</v>
      </c>
      <c r="AA289">
        <v>0.49497600000000003</v>
      </c>
      <c r="AB289">
        <v>0.53226300000000004</v>
      </c>
      <c r="AC289">
        <v>0.54871499999999995</v>
      </c>
      <c r="AD289">
        <v>0.55318400000000001</v>
      </c>
      <c r="AE289">
        <v>0.61379600000000001</v>
      </c>
      <c r="AF289">
        <v>0.69517300000000004</v>
      </c>
      <c r="AG289">
        <v>0.78249899999999994</v>
      </c>
      <c r="AH289">
        <v>0.86509599999999998</v>
      </c>
      <c r="AI289">
        <v>0.95751399999999998</v>
      </c>
      <c r="AK289">
        <v>1.0529580000000001</v>
      </c>
      <c r="AM289">
        <v>1.1477820000000001</v>
      </c>
      <c r="AO289">
        <v>1.24115</v>
      </c>
      <c r="AQ289">
        <v>1.3275669999999999</v>
      </c>
      <c r="AR289">
        <v>1.4184030000000001</v>
      </c>
      <c r="AS289">
        <v>1.523134</v>
      </c>
      <c r="AV289">
        <v>1.6437360000000001</v>
      </c>
      <c r="AW289">
        <v>1.7742849999999999</v>
      </c>
      <c r="AX289">
        <v>1.918458</v>
      </c>
      <c r="AY289">
        <v>2.0854780000000002</v>
      </c>
      <c r="AZ289">
        <v>2.2849719999999998</v>
      </c>
      <c r="BA289">
        <v>2.4954269999999998</v>
      </c>
      <c r="BB289">
        <v>2.7409349999999999</v>
      </c>
      <c r="BC289">
        <v>3.052025</v>
      </c>
      <c r="BD289">
        <v>3.4059149999999998</v>
      </c>
      <c r="BE289">
        <v>3.8133550000000001</v>
      </c>
      <c r="BF289">
        <v>4.272151</v>
      </c>
      <c r="BG289">
        <v>4.8004319999999998</v>
      </c>
      <c r="BH289">
        <v>5.386374</v>
      </c>
      <c r="BI289" s="49">
        <v>0.09</v>
      </c>
    </row>
    <row r="290" spans="20:61" x14ac:dyDescent="0.5">
      <c r="T290" t="s">
        <v>604</v>
      </c>
      <c r="U290" t="s">
        <v>605</v>
      </c>
      <c r="V290" t="s">
        <v>117</v>
      </c>
      <c r="X290">
        <v>2.7856190000000001</v>
      </c>
      <c r="Y290">
        <v>3.3746139999999998</v>
      </c>
      <c r="Z290">
        <v>3.4251119999999999</v>
      </c>
      <c r="AA290">
        <v>3.176145</v>
      </c>
      <c r="AB290">
        <v>2.9467690000000002</v>
      </c>
      <c r="AC290">
        <v>5.2381539999999998</v>
      </c>
      <c r="AD290">
        <v>15.174068</v>
      </c>
      <c r="AE290">
        <v>17.598144999999999</v>
      </c>
      <c r="AF290">
        <v>17.828409000000001</v>
      </c>
      <c r="AG290">
        <v>17.845133000000001</v>
      </c>
      <c r="AH290">
        <v>17.982327999999999</v>
      </c>
      <c r="AI290">
        <v>18.370535</v>
      </c>
      <c r="AK290">
        <v>18.928303</v>
      </c>
      <c r="AM290">
        <v>19.452573999999998</v>
      </c>
      <c r="AO290">
        <v>19.930906</v>
      </c>
      <c r="AQ290">
        <v>20.256069</v>
      </c>
      <c r="AR290">
        <v>20.447762000000001</v>
      </c>
      <c r="AS290">
        <v>20.647690000000001</v>
      </c>
      <c r="AV290">
        <v>20.867325000000001</v>
      </c>
      <c r="AW290">
        <v>20.983270999999998</v>
      </c>
      <c r="AX290">
        <v>21.041792000000001</v>
      </c>
      <c r="AY290">
        <v>21.063831</v>
      </c>
      <c r="AZ290">
        <v>21.134274000000001</v>
      </c>
      <c r="BA290">
        <v>21.050215000000001</v>
      </c>
      <c r="BB290">
        <v>20.987401999999999</v>
      </c>
      <c r="BC290">
        <v>21.050594</v>
      </c>
      <c r="BD290">
        <v>21.002490999999999</v>
      </c>
      <c r="BE290">
        <v>20.923023000000001</v>
      </c>
      <c r="BF290">
        <v>20.748442000000001</v>
      </c>
      <c r="BG290">
        <v>20.559116</v>
      </c>
      <c r="BH290">
        <v>20.272112</v>
      </c>
      <c r="BI290" s="49">
        <v>6.8000000000000005E-2</v>
      </c>
    </row>
    <row r="291" spans="20:61" x14ac:dyDescent="0.5">
      <c r="T291" t="s">
        <v>606</v>
      </c>
      <c r="U291" t="s">
        <v>607</v>
      </c>
      <c r="V291" t="s">
        <v>117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</v>
      </c>
      <c r="AM291">
        <v>0</v>
      </c>
      <c r="AO291">
        <v>0</v>
      </c>
      <c r="AQ291">
        <v>0</v>
      </c>
      <c r="AR291">
        <v>0</v>
      </c>
      <c r="AS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137</v>
      </c>
    </row>
    <row r="292" spans="20:61" x14ac:dyDescent="0.5">
      <c r="T292" t="s">
        <v>608</v>
      </c>
      <c r="U292" t="s">
        <v>609</v>
      </c>
      <c r="V292" t="s">
        <v>117</v>
      </c>
      <c r="X292">
        <v>24.151378999999999</v>
      </c>
      <c r="Y292">
        <v>29.124472000000001</v>
      </c>
      <c r="Z292">
        <v>31.306677000000001</v>
      </c>
      <c r="AA292">
        <v>32.139156</v>
      </c>
      <c r="AB292">
        <v>33.681792999999999</v>
      </c>
      <c r="AC292">
        <v>35.319847000000003</v>
      </c>
      <c r="AD292">
        <v>42.110149</v>
      </c>
      <c r="AE292">
        <v>44.999434999999998</v>
      </c>
      <c r="AF292">
        <v>46.619892</v>
      </c>
      <c r="AG292">
        <v>48.001368999999997</v>
      </c>
      <c r="AH292">
        <v>49.465980999999999</v>
      </c>
      <c r="AI292">
        <v>51.177188999999998</v>
      </c>
      <c r="AK292">
        <v>52.937900999999997</v>
      </c>
      <c r="AM292">
        <v>54.698193000000003</v>
      </c>
      <c r="AO292">
        <v>56.399532000000001</v>
      </c>
      <c r="AQ292">
        <v>57.758442000000002</v>
      </c>
      <c r="AR292">
        <v>58.927582000000001</v>
      </c>
      <c r="AS292">
        <v>60.175873000000003</v>
      </c>
      <c r="AV292">
        <v>61.598323999999998</v>
      </c>
      <c r="AW292">
        <v>62.870041000000001</v>
      </c>
      <c r="AX292">
        <v>64.049666999999999</v>
      </c>
      <c r="AY292">
        <v>65.415588</v>
      </c>
      <c r="AZ292">
        <v>67.076729</v>
      </c>
      <c r="BA292">
        <v>68.290030999999999</v>
      </c>
      <c r="BB292">
        <v>69.637046999999995</v>
      </c>
      <c r="BC292">
        <v>71.508972</v>
      </c>
      <c r="BD292">
        <v>73.115898000000001</v>
      </c>
      <c r="BE292">
        <v>74.609024000000005</v>
      </c>
      <c r="BF292">
        <v>75.900581000000003</v>
      </c>
      <c r="BG292">
        <v>77.224327000000002</v>
      </c>
      <c r="BH292">
        <v>78.245154999999997</v>
      </c>
      <c r="BI292" s="49">
        <v>0.04</v>
      </c>
    </row>
    <row r="293" spans="20:61" x14ac:dyDescent="0.5">
      <c r="T293" t="s">
        <v>610</v>
      </c>
      <c r="U293" t="s">
        <v>611</v>
      </c>
      <c r="V293" t="s">
        <v>117</v>
      </c>
      <c r="X293">
        <v>0.100035</v>
      </c>
      <c r="Y293">
        <v>0.112347</v>
      </c>
      <c r="Z293">
        <v>0.11687500000000001</v>
      </c>
      <c r="AA293">
        <v>0.11783100000000001</v>
      </c>
      <c r="AB293">
        <v>0.121541</v>
      </c>
      <c r="AC293">
        <v>0.12467</v>
      </c>
      <c r="AD293">
        <v>0.12485599999999999</v>
      </c>
      <c r="AE293">
        <v>0.12366099999999999</v>
      </c>
      <c r="AF293">
        <v>0.12422900000000001</v>
      </c>
      <c r="AG293">
        <v>0.124644</v>
      </c>
      <c r="AH293">
        <v>0.123554</v>
      </c>
      <c r="AI293">
        <v>0.12403599999999999</v>
      </c>
      <c r="AK293">
        <v>0.124524</v>
      </c>
      <c r="AM293">
        <v>0.125195</v>
      </c>
      <c r="AO293">
        <v>0.12574199999999999</v>
      </c>
      <c r="AQ293">
        <v>0.12577199999999999</v>
      </c>
      <c r="AR293">
        <v>0.125365</v>
      </c>
      <c r="AS293">
        <v>0.12529999999999999</v>
      </c>
      <c r="AV293">
        <v>0.12572800000000001</v>
      </c>
      <c r="AW293">
        <v>0.126056</v>
      </c>
      <c r="AX293">
        <v>0.125945</v>
      </c>
      <c r="AY293">
        <v>0.126527</v>
      </c>
      <c r="AZ293">
        <v>0.127886</v>
      </c>
      <c r="BA293">
        <v>0.12828999999999999</v>
      </c>
      <c r="BB293">
        <v>0.12894800000000001</v>
      </c>
      <c r="BC293">
        <v>0.13050700000000001</v>
      </c>
      <c r="BD293">
        <v>0.13159299999999999</v>
      </c>
      <c r="BE293">
        <v>0.13234099999999999</v>
      </c>
      <c r="BF293">
        <v>0.132909</v>
      </c>
      <c r="BG293">
        <v>0.133162</v>
      </c>
      <c r="BH293">
        <v>0.132993</v>
      </c>
      <c r="BI293" s="49">
        <v>0.01</v>
      </c>
    </row>
    <row r="294" spans="20:61" x14ac:dyDescent="0.5">
      <c r="T294" t="s">
        <v>612</v>
      </c>
      <c r="U294" t="s">
        <v>613</v>
      </c>
      <c r="V294" t="s">
        <v>117</v>
      </c>
      <c r="X294">
        <v>0.55179199999999995</v>
      </c>
      <c r="Y294">
        <v>0.61977899999999997</v>
      </c>
      <c r="Z294">
        <v>0.64476</v>
      </c>
      <c r="AA294">
        <v>0.65007300000000001</v>
      </c>
      <c r="AB294">
        <v>0.67054800000000003</v>
      </c>
      <c r="AC294">
        <v>0.68784100000000004</v>
      </c>
      <c r="AD294">
        <v>0.68890099999999999</v>
      </c>
      <c r="AE294">
        <v>0.68237000000000003</v>
      </c>
      <c r="AF294">
        <v>0.68559599999999998</v>
      </c>
      <c r="AG294">
        <v>0.68798400000000004</v>
      </c>
      <c r="AH294">
        <v>0.68213500000000005</v>
      </c>
      <c r="AI294">
        <v>0.68487600000000004</v>
      </c>
      <c r="AK294">
        <v>0.68767199999999995</v>
      </c>
      <c r="AM294">
        <v>0.69147400000000003</v>
      </c>
      <c r="AO294">
        <v>0.69462800000000002</v>
      </c>
      <c r="AQ294">
        <v>0.69489500000000004</v>
      </c>
      <c r="AR294">
        <v>0.69276099999999996</v>
      </c>
      <c r="AS294">
        <v>0.692523</v>
      </c>
      <c r="AV294">
        <v>0.69500799999999996</v>
      </c>
      <c r="AW294">
        <v>0.69692200000000004</v>
      </c>
      <c r="AX294">
        <v>0.69647199999999998</v>
      </c>
      <c r="AY294">
        <v>0.69982900000000003</v>
      </c>
      <c r="AZ294">
        <v>0.70743900000000004</v>
      </c>
      <c r="BA294">
        <v>0.70978699999999995</v>
      </c>
      <c r="BB294">
        <v>0.71354499999999998</v>
      </c>
      <c r="BC294">
        <v>0.72231199999999995</v>
      </c>
      <c r="BD294">
        <v>0.72843000000000002</v>
      </c>
      <c r="BE294">
        <v>0.73271500000000001</v>
      </c>
      <c r="BF294">
        <v>0.73594800000000005</v>
      </c>
      <c r="BG294">
        <v>0.73751999999999995</v>
      </c>
      <c r="BH294">
        <v>0.73670500000000005</v>
      </c>
      <c r="BI294" s="49">
        <v>0.01</v>
      </c>
    </row>
    <row r="295" spans="20:61" x14ac:dyDescent="0.5">
      <c r="T295" t="s">
        <v>614</v>
      </c>
      <c r="U295" t="s">
        <v>615</v>
      </c>
      <c r="V295" t="s">
        <v>117</v>
      </c>
      <c r="X295">
        <v>0.121214</v>
      </c>
      <c r="Y295">
        <v>0.14812</v>
      </c>
      <c r="Z295">
        <v>0.16187099999999999</v>
      </c>
      <c r="AA295">
        <v>0.16703499999999999</v>
      </c>
      <c r="AB295">
        <v>0.172405</v>
      </c>
      <c r="AC295">
        <v>0.17818200000000001</v>
      </c>
      <c r="AD295">
        <v>0.18127099999999999</v>
      </c>
      <c r="AE295">
        <v>0.18287500000000001</v>
      </c>
      <c r="AF295">
        <v>0.18689500000000001</v>
      </c>
      <c r="AG295">
        <v>0.191272</v>
      </c>
      <c r="AH295">
        <v>0.19545899999999999</v>
      </c>
      <c r="AI295">
        <v>0.199318</v>
      </c>
      <c r="AK295">
        <v>0.20343800000000001</v>
      </c>
      <c r="AM295">
        <v>0.208034</v>
      </c>
      <c r="AO295">
        <v>0.21387999999999999</v>
      </c>
      <c r="AQ295">
        <v>0.218616</v>
      </c>
      <c r="AR295">
        <v>0.222993</v>
      </c>
      <c r="AS295">
        <v>0.22770599999999999</v>
      </c>
      <c r="AV295">
        <v>0.233824</v>
      </c>
      <c r="AW295">
        <v>0.23971300000000001</v>
      </c>
      <c r="AX295">
        <v>0.24603700000000001</v>
      </c>
      <c r="AY295">
        <v>0.25285200000000002</v>
      </c>
      <c r="AZ295">
        <v>0.26083699999999999</v>
      </c>
      <c r="BA295">
        <v>0.26733200000000001</v>
      </c>
      <c r="BB295">
        <v>0.27525899999999998</v>
      </c>
      <c r="BC295">
        <v>0.28653299999999998</v>
      </c>
      <c r="BD295">
        <v>0.29464800000000002</v>
      </c>
      <c r="BE295">
        <v>0.30303799999999997</v>
      </c>
      <c r="BF295">
        <v>0.31045299999999998</v>
      </c>
      <c r="BG295">
        <v>0.32057200000000002</v>
      </c>
      <c r="BH295">
        <v>0.32819500000000001</v>
      </c>
      <c r="BI295" s="49">
        <v>3.4000000000000002E-2</v>
      </c>
    </row>
    <row r="296" spans="20:61" x14ac:dyDescent="0.5">
      <c r="T296" t="s">
        <v>616</v>
      </c>
      <c r="U296" t="s">
        <v>617</v>
      </c>
      <c r="V296" t="s">
        <v>117</v>
      </c>
      <c r="X296">
        <v>0.35648299999999999</v>
      </c>
      <c r="Y296">
        <v>0.40040700000000001</v>
      </c>
      <c r="Z296">
        <v>0.41653499999999999</v>
      </c>
      <c r="AA296">
        <v>0.41991899999999999</v>
      </c>
      <c r="AB296">
        <v>0.43310599999999999</v>
      </c>
      <c r="AC296">
        <v>0.44424000000000002</v>
      </c>
      <c r="AD296">
        <v>0.44489699999999999</v>
      </c>
      <c r="AE296">
        <v>0.44064599999999998</v>
      </c>
      <c r="AF296">
        <v>0.44266899999999998</v>
      </c>
      <c r="AG296">
        <v>0.44416699999999998</v>
      </c>
      <c r="AH296">
        <v>0.44030399999999997</v>
      </c>
      <c r="AI296">
        <v>0.44204399999999999</v>
      </c>
      <c r="AK296">
        <v>0.44379800000000003</v>
      </c>
      <c r="AM296">
        <v>0.446214</v>
      </c>
      <c r="AO296">
        <v>0.44819199999999998</v>
      </c>
      <c r="AQ296">
        <v>0.44832</v>
      </c>
      <c r="AR296">
        <v>0.44688499999999998</v>
      </c>
      <c r="AS296">
        <v>0.44667299999999999</v>
      </c>
      <c r="AV296">
        <v>0.44822499999999998</v>
      </c>
      <c r="AW296">
        <v>0.44942199999999999</v>
      </c>
      <c r="AX296">
        <v>0.44905</v>
      </c>
      <c r="AY296">
        <v>0.45113799999999998</v>
      </c>
      <c r="AZ296">
        <v>0.45599899999999999</v>
      </c>
      <c r="BA296">
        <v>0.45745999999999998</v>
      </c>
      <c r="BB296">
        <v>0.45983099999999999</v>
      </c>
      <c r="BC296">
        <v>0.46542600000000001</v>
      </c>
      <c r="BD296">
        <v>0.46930699999999997</v>
      </c>
      <c r="BE296">
        <v>0.47198800000000002</v>
      </c>
      <c r="BF296">
        <v>0.474028</v>
      </c>
      <c r="BG296">
        <v>0.474964</v>
      </c>
      <c r="BH296">
        <v>0.47438000000000002</v>
      </c>
      <c r="BI296" s="49">
        <v>0.01</v>
      </c>
    </row>
    <row r="297" spans="20:61" x14ac:dyDescent="0.5">
      <c r="T297" t="s">
        <v>618</v>
      </c>
      <c r="U297" t="s">
        <v>619</v>
      </c>
      <c r="V297" t="s">
        <v>117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</v>
      </c>
      <c r="AM297">
        <v>0</v>
      </c>
      <c r="AO297">
        <v>0</v>
      </c>
      <c r="AQ297">
        <v>0</v>
      </c>
      <c r="AR297">
        <v>0</v>
      </c>
      <c r="AS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137</v>
      </c>
    </row>
    <row r="298" spans="20:61" x14ac:dyDescent="0.5">
      <c r="T298" t="s">
        <v>620</v>
      </c>
      <c r="U298" t="s">
        <v>621</v>
      </c>
      <c r="V298" t="s">
        <v>117</v>
      </c>
      <c r="X298">
        <v>6.0599999999999998E-4</v>
      </c>
      <c r="Y298">
        <v>8.9700000000000001E-4</v>
      </c>
      <c r="Z298">
        <v>1.2310000000000001E-3</v>
      </c>
      <c r="AA298">
        <v>1.6230000000000001E-3</v>
      </c>
      <c r="AB298">
        <v>2.173E-3</v>
      </c>
      <c r="AC298">
        <v>2.9520000000000002E-3</v>
      </c>
      <c r="AD298">
        <v>3.738E-3</v>
      </c>
      <c r="AE298">
        <v>4.6509999999999998E-3</v>
      </c>
      <c r="AF298">
        <v>5.8120000000000003E-3</v>
      </c>
      <c r="AG298">
        <v>7.1539999999999998E-3</v>
      </c>
      <c r="AH298">
        <v>8.5780000000000006E-3</v>
      </c>
      <c r="AI298">
        <v>1.021E-2</v>
      </c>
      <c r="AK298">
        <v>1.1946E-2</v>
      </c>
      <c r="AM298">
        <v>1.3753E-2</v>
      </c>
      <c r="AO298">
        <v>1.5561999999999999E-2</v>
      </c>
      <c r="AQ298">
        <v>1.7253999999999999E-2</v>
      </c>
      <c r="AR298">
        <v>1.8797999999999999E-2</v>
      </c>
      <c r="AS298">
        <v>2.0281E-2</v>
      </c>
      <c r="AV298">
        <v>2.1734E-2</v>
      </c>
      <c r="AW298">
        <v>2.3057999999999999E-2</v>
      </c>
      <c r="AX298">
        <v>2.4236000000000001E-2</v>
      </c>
      <c r="AY298">
        <v>2.5468000000000001E-2</v>
      </c>
      <c r="AZ298">
        <v>2.6773000000000002E-2</v>
      </c>
      <c r="BA298">
        <v>2.7827000000000001E-2</v>
      </c>
      <c r="BB298">
        <v>2.8909000000000001E-2</v>
      </c>
      <c r="BC298">
        <v>3.0209E-2</v>
      </c>
      <c r="BD298">
        <v>3.1361E-2</v>
      </c>
      <c r="BE298">
        <v>3.2417000000000001E-2</v>
      </c>
      <c r="BF298">
        <v>3.3354000000000002E-2</v>
      </c>
      <c r="BG298">
        <v>3.4236000000000003E-2</v>
      </c>
      <c r="BH298">
        <v>3.4921000000000001E-2</v>
      </c>
      <c r="BI298" s="49">
        <v>0.14499999999999999</v>
      </c>
    </row>
    <row r="299" spans="20:61" x14ac:dyDescent="0.5">
      <c r="T299" t="s">
        <v>622</v>
      </c>
      <c r="U299" t="s">
        <v>623</v>
      </c>
      <c r="V299" t="s">
        <v>117</v>
      </c>
      <c r="X299">
        <v>109.060509</v>
      </c>
      <c r="Y299">
        <v>117.646309</v>
      </c>
      <c r="Z299">
        <v>123.21796399999999</v>
      </c>
      <c r="AA299">
        <v>125.398529</v>
      </c>
      <c r="AB299">
        <v>130.546097</v>
      </c>
      <c r="AC299">
        <v>137.343536</v>
      </c>
      <c r="AD299">
        <v>153.873062</v>
      </c>
      <c r="AE299">
        <v>158.83132900000001</v>
      </c>
      <c r="AF299">
        <v>162.31603999999999</v>
      </c>
      <c r="AG299">
        <v>165.502182</v>
      </c>
      <c r="AH299">
        <v>168.23232999999999</v>
      </c>
      <c r="AI299">
        <v>172.64671300000001</v>
      </c>
      <c r="AK299">
        <v>177.53140300000001</v>
      </c>
      <c r="AM299">
        <v>182.60562100000001</v>
      </c>
      <c r="AO299">
        <v>187.70668000000001</v>
      </c>
      <c r="AQ299">
        <v>191.86613500000001</v>
      </c>
      <c r="AR299">
        <v>195.32789600000001</v>
      </c>
      <c r="AS299">
        <v>199.20002700000001</v>
      </c>
      <c r="AV299">
        <v>203.74848900000001</v>
      </c>
      <c r="AW299">
        <v>207.85185200000001</v>
      </c>
      <c r="AX299">
        <v>211.50528</v>
      </c>
      <c r="AY299">
        <v>215.32635500000001</v>
      </c>
      <c r="AZ299">
        <v>220.12875399999999</v>
      </c>
      <c r="BA299">
        <v>223.43147300000001</v>
      </c>
      <c r="BB299">
        <v>227.201401</v>
      </c>
      <c r="BC299">
        <v>232.65777600000001</v>
      </c>
      <c r="BD299">
        <v>237.30641199999999</v>
      </c>
      <c r="BE299">
        <v>241.644958</v>
      </c>
      <c r="BF299">
        <v>245.44714400000001</v>
      </c>
      <c r="BG299">
        <v>249.252365</v>
      </c>
      <c r="BH299">
        <v>252.230942</v>
      </c>
      <c r="BI299" s="49">
        <v>2.8000000000000001E-2</v>
      </c>
    </row>
    <row r="300" spans="20:61" x14ac:dyDescent="0.5">
      <c r="T300" t="s">
        <v>624</v>
      </c>
      <c r="U300" t="s">
        <v>625</v>
      </c>
      <c r="V300" t="s">
        <v>155</v>
      </c>
      <c r="X300">
        <v>12.46949</v>
      </c>
      <c r="Y300">
        <v>11.97869</v>
      </c>
      <c r="Z300">
        <v>12.172176</v>
      </c>
      <c r="AA300">
        <v>12.258385000000001</v>
      </c>
      <c r="AB300">
        <v>12.33426</v>
      </c>
      <c r="AC300">
        <v>12.637869</v>
      </c>
      <c r="AD300">
        <v>14.120685</v>
      </c>
      <c r="AE300">
        <v>14.740816000000001</v>
      </c>
      <c r="AF300">
        <v>15.029118</v>
      </c>
      <c r="AG300">
        <v>15.309578</v>
      </c>
      <c r="AH300">
        <v>15.691473</v>
      </c>
      <c r="AI300">
        <v>16.080608000000002</v>
      </c>
      <c r="AK300">
        <v>16.517921000000001</v>
      </c>
      <c r="AM300">
        <v>16.954231</v>
      </c>
      <c r="AO300">
        <v>17.415292999999998</v>
      </c>
      <c r="AQ300">
        <v>17.863972</v>
      </c>
      <c r="AR300">
        <v>18.320596999999999</v>
      </c>
      <c r="AS300">
        <v>18.767878</v>
      </c>
      <c r="AV300">
        <v>19.205338000000001</v>
      </c>
      <c r="AW300">
        <v>19.614632</v>
      </c>
      <c r="AX300">
        <v>20.057694999999999</v>
      </c>
      <c r="AY300">
        <v>20.404786999999999</v>
      </c>
      <c r="AZ300">
        <v>20.713455</v>
      </c>
      <c r="BA300">
        <v>21.034773000000001</v>
      </c>
      <c r="BB300">
        <v>21.360047999999999</v>
      </c>
      <c r="BC300">
        <v>21.693397999999998</v>
      </c>
      <c r="BD300">
        <v>22.023161000000002</v>
      </c>
      <c r="BE300">
        <v>22.390387</v>
      </c>
      <c r="BF300">
        <v>22.730293</v>
      </c>
      <c r="BG300">
        <v>23.121428000000002</v>
      </c>
      <c r="BH300">
        <v>23.50037</v>
      </c>
      <c r="BI300" s="49">
        <v>2.1000000000000001E-2</v>
      </c>
    </row>
    <row r="301" spans="20:61" x14ac:dyDescent="0.5">
      <c r="T301" t="s">
        <v>626</v>
      </c>
      <c r="U301" t="s">
        <v>627</v>
      </c>
      <c r="V301" t="s">
        <v>117</v>
      </c>
      <c r="X301">
        <v>874.61883499999999</v>
      </c>
      <c r="Y301">
        <v>982.13000499999998</v>
      </c>
      <c r="Z301">
        <v>1012.291931</v>
      </c>
      <c r="AA301">
        <v>1022.961304</v>
      </c>
      <c r="AB301">
        <v>1058.4023440000001</v>
      </c>
      <c r="AC301">
        <v>1086.761841</v>
      </c>
      <c r="AD301">
        <v>1089.699707</v>
      </c>
      <c r="AE301">
        <v>1077.49353</v>
      </c>
      <c r="AF301">
        <v>1080.0104980000001</v>
      </c>
      <c r="AG301">
        <v>1081.036865</v>
      </c>
      <c r="AH301">
        <v>1072.1258539999999</v>
      </c>
      <c r="AI301">
        <v>1073.6329350000001</v>
      </c>
      <c r="AK301">
        <v>1074.780518</v>
      </c>
      <c r="AM301">
        <v>1077.0504149999999</v>
      </c>
      <c r="AO301">
        <v>1077.8267820000001</v>
      </c>
      <c r="AQ301">
        <v>1074.0395510000001</v>
      </c>
      <c r="AR301">
        <v>1066.165649</v>
      </c>
      <c r="AS301">
        <v>1061.388062</v>
      </c>
      <c r="AV301">
        <v>1060.8951420000001</v>
      </c>
      <c r="AW301">
        <v>1059.677612</v>
      </c>
      <c r="AX301">
        <v>1054.4844969999999</v>
      </c>
      <c r="AY301">
        <v>1055.273682</v>
      </c>
      <c r="AZ301">
        <v>1062.733154</v>
      </c>
      <c r="BA301">
        <v>1062.200562</v>
      </c>
      <c r="BB301">
        <v>1063.674561</v>
      </c>
      <c r="BC301">
        <v>1072.4819339999999</v>
      </c>
      <c r="BD301">
        <v>1077.5311280000001</v>
      </c>
      <c r="BE301">
        <v>1079.2353519999999</v>
      </c>
      <c r="BF301">
        <v>1079.823975</v>
      </c>
      <c r="BG301">
        <v>1078.0146480000001</v>
      </c>
      <c r="BH301">
        <v>1073.306274</v>
      </c>
      <c r="BI301" s="49">
        <v>7.0000000000000001E-3</v>
      </c>
    </row>
    <row r="302" spans="20:61" x14ac:dyDescent="0.5">
      <c r="T302" t="s">
        <v>628</v>
      </c>
      <c r="U302" t="s">
        <v>629</v>
      </c>
      <c r="V302" t="s">
        <v>155</v>
      </c>
      <c r="X302">
        <v>10.441905999999999</v>
      </c>
      <c r="Y302">
        <v>10.130343999999999</v>
      </c>
      <c r="Z302">
        <v>10.272478</v>
      </c>
      <c r="AA302">
        <v>10.475866999999999</v>
      </c>
      <c r="AB302">
        <v>10.677040999999999</v>
      </c>
      <c r="AC302">
        <v>10.993741</v>
      </c>
      <c r="AD302">
        <v>12.103868</v>
      </c>
      <c r="AE302">
        <v>12.697929</v>
      </c>
      <c r="AF302">
        <v>13.12716</v>
      </c>
      <c r="AG302">
        <v>13.505743000000001</v>
      </c>
      <c r="AH302">
        <v>13.952242</v>
      </c>
      <c r="AI302">
        <v>14.437749999999999</v>
      </c>
      <c r="AK302">
        <v>14.96865</v>
      </c>
      <c r="AM302">
        <v>15.51956</v>
      </c>
      <c r="AO302">
        <v>16.096689000000001</v>
      </c>
      <c r="AQ302">
        <v>16.678988</v>
      </c>
      <c r="AR302">
        <v>17.265667000000001</v>
      </c>
      <c r="AS302">
        <v>17.853532999999999</v>
      </c>
      <c r="AV302">
        <v>18.436285000000002</v>
      </c>
      <c r="AW302">
        <v>18.995749</v>
      </c>
      <c r="AX302">
        <v>19.576108999999999</v>
      </c>
      <c r="AY302">
        <v>20.059681000000001</v>
      </c>
      <c r="AZ302">
        <v>20.502499</v>
      </c>
      <c r="BA302">
        <v>20.953036999999998</v>
      </c>
      <c r="BB302">
        <v>21.412610999999998</v>
      </c>
      <c r="BC302">
        <v>21.881359</v>
      </c>
      <c r="BD302">
        <v>22.351437000000001</v>
      </c>
      <c r="BE302">
        <v>22.858622</v>
      </c>
      <c r="BF302">
        <v>23.351391</v>
      </c>
      <c r="BG302">
        <v>23.879750999999999</v>
      </c>
      <c r="BH302">
        <v>24.416530999999999</v>
      </c>
      <c r="BI302" s="49">
        <v>2.9000000000000001E-2</v>
      </c>
    </row>
    <row r="303" spans="20:61" x14ac:dyDescent="0.5">
      <c r="T303" t="s">
        <v>630</v>
      </c>
      <c r="U303" t="s">
        <v>631</v>
      </c>
      <c r="V303" t="s">
        <v>117</v>
      </c>
      <c r="X303">
        <v>9.33507</v>
      </c>
      <c r="Y303">
        <v>10.507152</v>
      </c>
      <c r="Z303">
        <v>11.323304</v>
      </c>
      <c r="AA303">
        <v>11.705041</v>
      </c>
      <c r="AB303">
        <v>12.470961000000001</v>
      </c>
      <c r="AC303">
        <v>13.251605</v>
      </c>
      <c r="AD303">
        <v>13.846298000000001</v>
      </c>
      <c r="AE303">
        <v>14.335734</v>
      </c>
      <c r="AF303">
        <v>15.135732000000001</v>
      </c>
      <c r="AG303">
        <v>15.970291</v>
      </c>
      <c r="AH303">
        <v>16.755817</v>
      </c>
      <c r="AI303">
        <v>17.648378000000001</v>
      </c>
      <c r="AK303">
        <v>18.512705</v>
      </c>
      <c r="AM303">
        <v>19.369897999999999</v>
      </c>
      <c r="AO303">
        <v>20.172398000000001</v>
      </c>
      <c r="AQ303">
        <v>20.808304</v>
      </c>
      <c r="AR303">
        <v>21.308558999999999</v>
      </c>
      <c r="AS303">
        <v>21.805074999999999</v>
      </c>
      <c r="AV303">
        <v>22.329529000000001</v>
      </c>
      <c r="AW303">
        <v>22.76474</v>
      </c>
      <c r="AX303">
        <v>23.122454000000001</v>
      </c>
      <c r="AY303">
        <v>23.574300999999998</v>
      </c>
      <c r="AZ303">
        <v>24.107958</v>
      </c>
      <c r="BA303">
        <v>24.432334999999998</v>
      </c>
      <c r="BB303">
        <v>24.784379999999999</v>
      </c>
      <c r="BC303">
        <v>25.299078000000002</v>
      </c>
      <c r="BD303">
        <v>25.701716999999999</v>
      </c>
      <c r="BE303">
        <v>26.041122000000001</v>
      </c>
      <c r="BF303">
        <v>26.312757000000001</v>
      </c>
      <c r="BG303">
        <v>26.542877000000001</v>
      </c>
      <c r="BH303">
        <v>26.670359000000001</v>
      </c>
      <c r="BI303" s="49">
        <v>3.5999999999999997E-2</v>
      </c>
    </row>
    <row r="304" spans="20:61" x14ac:dyDescent="0.5">
      <c r="T304" t="s">
        <v>632</v>
      </c>
      <c r="U304" t="s">
        <v>633</v>
      </c>
      <c r="V304" t="s">
        <v>117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</v>
      </c>
      <c r="AM304">
        <v>0</v>
      </c>
      <c r="AO304">
        <v>0</v>
      </c>
      <c r="AQ304">
        <v>0</v>
      </c>
      <c r="AR304">
        <v>0</v>
      </c>
      <c r="AS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137</v>
      </c>
    </row>
    <row r="305" spans="20:61" x14ac:dyDescent="0.5">
      <c r="T305" t="s">
        <v>634</v>
      </c>
      <c r="U305" t="s">
        <v>635</v>
      </c>
      <c r="V305" t="s">
        <v>117</v>
      </c>
      <c r="X305">
        <v>1267.5611570000001</v>
      </c>
      <c r="Y305">
        <v>1400.6577150000001</v>
      </c>
      <c r="Z305">
        <v>1481.7589109999999</v>
      </c>
      <c r="AA305">
        <v>1484.3507079999999</v>
      </c>
      <c r="AB305">
        <v>1513.8870850000001</v>
      </c>
      <c r="AC305">
        <v>1542.4780270000001</v>
      </c>
      <c r="AD305">
        <v>1523.5083010000001</v>
      </c>
      <c r="AE305">
        <v>1498.7261960000001</v>
      </c>
      <c r="AF305">
        <v>1502.2581789999999</v>
      </c>
      <c r="AG305">
        <v>1503.723755</v>
      </c>
      <c r="AH305">
        <v>1496.273682</v>
      </c>
      <c r="AI305">
        <v>1497.159302</v>
      </c>
      <c r="AK305">
        <v>1493.950562</v>
      </c>
      <c r="AM305">
        <v>1492.3298339999999</v>
      </c>
      <c r="AO305">
        <v>1488.928101</v>
      </c>
      <c r="AQ305">
        <v>1476.4598390000001</v>
      </c>
      <c r="AR305">
        <v>1458.7454829999999</v>
      </c>
      <c r="AS305">
        <v>1444.999268</v>
      </c>
      <c r="AV305">
        <v>1436.4941409999999</v>
      </c>
      <c r="AW305">
        <v>1425.2777100000001</v>
      </c>
      <c r="AX305">
        <v>1411.599976</v>
      </c>
      <c r="AY305">
        <v>1407.13562</v>
      </c>
      <c r="AZ305">
        <v>1409.195923</v>
      </c>
      <c r="BA305">
        <v>1399.7978519999999</v>
      </c>
      <c r="BB305">
        <v>1392.619385</v>
      </c>
      <c r="BC305">
        <v>1394.610596</v>
      </c>
      <c r="BD305">
        <v>1390.7479249999999</v>
      </c>
      <c r="BE305">
        <v>1382.634644</v>
      </c>
      <c r="BF305">
        <v>1371.185547</v>
      </c>
      <c r="BG305">
        <v>1358.167725</v>
      </c>
      <c r="BH305">
        <v>1340.3107910000001</v>
      </c>
      <c r="BI305" s="49">
        <v>2E-3</v>
      </c>
    </row>
    <row r="306" spans="20:61" x14ac:dyDescent="0.5">
      <c r="T306" t="s">
        <v>636</v>
      </c>
      <c r="U306" t="s">
        <v>637</v>
      </c>
      <c r="V306" t="s">
        <v>117</v>
      </c>
      <c r="X306">
        <v>4.127872</v>
      </c>
      <c r="Y306">
        <v>7.770848</v>
      </c>
      <c r="Z306">
        <v>11.746912999999999</v>
      </c>
      <c r="AA306">
        <v>11.02148</v>
      </c>
      <c r="AB306">
        <v>10.891537</v>
      </c>
      <c r="AC306">
        <v>11.247202</v>
      </c>
      <c r="AD306">
        <v>11.157209</v>
      </c>
      <c r="AE306">
        <v>10.930453</v>
      </c>
      <c r="AF306">
        <v>11.198919</v>
      </c>
      <c r="AG306">
        <v>11.455735000000001</v>
      </c>
      <c r="AH306">
        <v>11.882839000000001</v>
      </c>
      <c r="AI306">
        <v>11.806664</v>
      </c>
      <c r="AK306">
        <v>11.978111</v>
      </c>
      <c r="AM306">
        <v>12.003163000000001</v>
      </c>
      <c r="AO306">
        <v>12.200225</v>
      </c>
      <c r="AQ306">
        <v>12.278055999999999</v>
      </c>
      <c r="AR306">
        <v>12.378292999999999</v>
      </c>
      <c r="AS306">
        <v>12.420704000000001</v>
      </c>
      <c r="AV306">
        <v>12.500844000000001</v>
      </c>
      <c r="AW306">
        <v>12.587453999999999</v>
      </c>
      <c r="AX306">
        <v>12.404608</v>
      </c>
      <c r="AY306">
        <v>12.463411000000001</v>
      </c>
      <c r="AZ306">
        <v>12.534863</v>
      </c>
      <c r="BA306">
        <v>12.434563000000001</v>
      </c>
      <c r="BB306">
        <v>12.30958</v>
      </c>
      <c r="BC306">
        <v>12.438635</v>
      </c>
      <c r="BD306">
        <v>12.152931000000001</v>
      </c>
      <c r="BE306">
        <v>12.206661</v>
      </c>
      <c r="BF306">
        <v>12.354506000000001</v>
      </c>
      <c r="BG306">
        <v>12.246143</v>
      </c>
      <c r="BH306">
        <v>12.109048</v>
      </c>
      <c r="BI306" s="49">
        <v>3.6999999999999998E-2</v>
      </c>
    </row>
    <row r="307" spans="20:61" x14ac:dyDescent="0.5">
      <c r="T307" t="s">
        <v>638</v>
      </c>
      <c r="U307" t="s">
        <v>639</v>
      </c>
      <c r="V307" t="s">
        <v>117</v>
      </c>
      <c r="X307">
        <v>85.897064</v>
      </c>
      <c r="Y307">
        <v>88.521843000000004</v>
      </c>
      <c r="Z307">
        <v>92.050826999999998</v>
      </c>
      <c r="AA307">
        <v>92.917580000000001</v>
      </c>
      <c r="AB307">
        <v>95.731689000000003</v>
      </c>
      <c r="AC307">
        <v>97.915665000000004</v>
      </c>
      <c r="AD307">
        <v>97.028976</v>
      </c>
      <c r="AE307">
        <v>95.624167999999997</v>
      </c>
      <c r="AF307">
        <v>95.874724999999998</v>
      </c>
      <c r="AG307">
        <v>96.002930000000006</v>
      </c>
      <c r="AH307">
        <v>95.253158999999997</v>
      </c>
      <c r="AI307">
        <v>95.358993999999996</v>
      </c>
      <c r="AK307">
        <v>95.345427999999998</v>
      </c>
      <c r="AM307">
        <v>95.400863999999999</v>
      </c>
      <c r="AO307">
        <v>95.421661</v>
      </c>
      <c r="AQ307">
        <v>94.952995000000001</v>
      </c>
      <c r="AR307">
        <v>94.112899999999996</v>
      </c>
      <c r="AS307">
        <v>93.525322000000003</v>
      </c>
      <c r="AV307">
        <v>93.316895000000002</v>
      </c>
      <c r="AW307">
        <v>93.002257999999998</v>
      </c>
      <c r="AX307">
        <v>92.403130000000004</v>
      </c>
      <c r="AY307">
        <v>92.376403999999994</v>
      </c>
      <c r="AZ307">
        <v>92.891578999999993</v>
      </c>
      <c r="BA307">
        <v>92.679778999999996</v>
      </c>
      <c r="BB307">
        <v>92.637383</v>
      </c>
      <c r="BC307">
        <v>93.214104000000006</v>
      </c>
      <c r="BD307">
        <v>93.455048000000005</v>
      </c>
      <c r="BE307">
        <v>93.383010999999996</v>
      </c>
      <c r="BF307">
        <v>93.169112999999996</v>
      </c>
      <c r="BG307">
        <v>92.763062000000005</v>
      </c>
      <c r="BH307">
        <v>92.072265999999999</v>
      </c>
      <c r="BI307" s="49">
        <v>2E-3</v>
      </c>
    </row>
    <row r="308" spans="20:61" x14ac:dyDescent="0.5">
      <c r="T308" t="s">
        <v>640</v>
      </c>
      <c r="U308" t="s">
        <v>641</v>
      </c>
      <c r="V308" t="s">
        <v>117</v>
      </c>
      <c r="X308">
        <v>16.935435999999999</v>
      </c>
      <c r="Y308">
        <v>16.390276</v>
      </c>
      <c r="Z308">
        <v>18.815242999999999</v>
      </c>
      <c r="AA308">
        <v>20.057480000000002</v>
      </c>
      <c r="AB308">
        <v>21.527329999999999</v>
      </c>
      <c r="AC308">
        <v>22.787897000000001</v>
      </c>
      <c r="AD308">
        <v>24.209828999999999</v>
      </c>
      <c r="AE308">
        <v>26.120654999999999</v>
      </c>
      <c r="AF308">
        <v>29.427485000000001</v>
      </c>
      <c r="AG308">
        <v>33.379424999999998</v>
      </c>
      <c r="AH308">
        <v>38.015877000000003</v>
      </c>
      <c r="AI308">
        <v>43.644112</v>
      </c>
      <c r="AK308">
        <v>49.706581</v>
      </c>
      <c r="AM308">
        <v>56.511519999999997</v>
      </c>
      <c r="AO308">
        <v>63.802607999999999</v>
      </c>
      <c r="AQ308">
        <v>71.047302000000002</v>
      </c>
      <c r="AR308">
        <v>78.131386000000006</v>
      </c>
      <c r="AS308">
        <v>85.544135999999995</v>
      </c>
      <c r="AV308">
        <v>93.261878999999993</v>
      </c>
      <c r="AW308">
        <v>100.53351600000001</v>
      </c>
      <c r="AX308">
        <v>107.786682</v>
      </c>
      <c r="AY308">
        <v>114.095192</v>
      </c>
      <c r="AZ308">
        <v>120.426445</v>
      </c>
      <c r="BA308">
        <v>125.793098</v>
      </c>
      <c r="BB308">
        <v>131.46766700000001</v>
      </c>
      <c r="BC308">
        <v>138.155869</v>
      </c>
      <c r="BD308">
        <v>144.27922100000001</v>
      </c>
      <c r="BE308">
        <v>150.56256099999999</v>
      </c>
      <c r="BF308">
        <v>156.31127900000001</v>
      </c>
      <c r="BG308">
        <v>162.174286</v>
      </c>
      <c r="BH308">
        <v>167.64018200000001</v>
      </c>
      <c r="BI308" s="49">
        <v>7.9000000000000001E-2</v>
      </c>
    </row>
    <row r="309" spans="20:61" x14ac:dyDescent="0.5">
      <c r="T309" t="s">
        <v>642</v>
      </c>
      <c r="U309" t="s">
        <v>643</v>
      </c>
      <c r="V309" t="s">
        <v>117</v>
      </c>
      <c r="X309">
        <v>6.1183370000000004</v>
      </c>
      <c r="Y309">
        <v>7.7599450000000001</v>
      </c>
      <c r="Z309">
        <v>8.6119909999999997</v>
      </c>
      <c r="AA309">
        <v>8.5624260000000003</v>
      </c>
      <c r="AB309">
        <v>8.7983960000000003</v>
      </c>
      <c r="AC309">
        <v>11.888963</v>
      </c>
      <c r="AD309">
        <v>22.645063</v>
      </c>
      <c r="AE309">
        <v>26.126785000000002</v>
      </c>
      <c r="AF309">
        <v>27.880123000000001</v>
      </c>
      <c r="AG309">
        <v>28.497655999999999</v>
      </c>
      <c r="AH309">
        <v>29.172190000000001</v>
      </c>
      <c r="AI309">
        <v>29.929907</v>
      </c>
      <c r="AK309">
        <v>30.908731</v>
      </c>
      <c r="AM309">
        <v>31.772285</v>
      </c>
      <c r="AO309">
        <v>32.575400999999999</v>
      </c>
      <c r="AQ309">
        <v>33.018481999999999</v>
      </c>
      <c r="AR309">
        <v>33.284050000000001</v>
      </c>
      <c r="AS309">
        <v>33.546790999999999</v>
      </c>
      <c r="AV309">
        <v>33.841183000000001</v>
      </c>
      <c r="AW309">
        <v>33.936359000000003</v>
      </c>
      <c r="AX309">
        <v>34.063415999999997</v>
      </c>
      <c r="AY309">
        <v>34.091309000000003</v>
      </c>
      <c r="AZ309">
        <v>34.161628999999998</v>
      </c>
      <c r="BA309">
        <v>34.020794000000002</v>
      </c>
      <c r="BB309">
        <v>33.938502999999997</v>
      </c>
      <c r="BC309">
        <v>34.116737000000001</v>
      </c>
      <c r="BD309">
        <v>34.142009999999999</v>
      </c>
      <c r="BE309">
        <v>34.221012000000002</v>
      </c>
      <c r="BF309">
        <v>34.159222</v>
      </c>
      <c r="BG309">
        <v>34.220996999999997</v>
      </c>
      <c r="BH309">
        <v>34.161735999999998</v>
      </c>
      <c r="BI309" s="49">
        <v>5.8999999999999997E-2</v>
      </c>
    </row>
    <row r="310" spans="20:61" x14ac:dyDescent="0.5">
      <c r="T310" t="s">
        <v>644</v>
      </c>
      <c r="U310" t="s">
        <v>645</v>
      </c>
      <c r="V310" t="s">
        <v>117</v>
      </c>
      <c r="X310">
        <v>37.743701999999999</v>
      </c>
      <c r="Y310">
        <v>44.353507999999998</v>
      </c>
      <c r="Z310">
        <v>49.653140999999998</v>
      </c>
      <c r="AA310">
        <v>51.562897</v>
      </c>
      <c r="AB310">
        <v>54.263958000000002</v>
      </c>
      <c r="AC310">
        <v>57.322673999999999</v>
      </c>
      <c r="AD310">
        <v>65.439712999999998</v>
      </c>
      <c r="AE310">
        <v>69.700882000000007</v>
      </c>
      <c r="AF310">
        <v>73.479186999999996</v>
      </c>
      <c r="AG310">
        <v>76.647919000000002</v>
      </c>
      <c r="AH310">
        <v>80.021347000000006</v>
      </c>
      <c r="AI310">
        <v>83.581542999999996</v>
      </c>
      <c r="AK310">
        <v>87.004181000000003</v>
      </c>
      <c r="AM310">
        <v>90.507095000000007</v>
      </c>
      <c r="AO310">
        <v>93.997237999999996</v>
      </c>
      <c r="AQ310">
        <v>96.784981000000002</v>
      </c>
      <c r="AR310">
        <v>99.261878999999993</v>
      </c>
      <c r="AS310">
        <v>101.907768</v>
      </c>
      <c r="AV310">
        <v>104.85495</v>
      </c>
      <c r="AW310">
        <v>107.44647999999999</v>
      </c>
      <c r="AX310">
        <v>110.089035</v>
      </c>
      <c r="AY310">
        <v>113.36077899999999</v>
      </c>
      <c r="AZ310">
        <v>116.851387</v>
      </c>
      <c r="BA310">
        <v>119.49717699999999</v>
      </c>
      <c r="BB310">
        <v>122.38446</v>
      </c>
      <c r="BC310">
        <v>126.22377</v>
      </c>
      <c r="BD310">
        <v>129.517776</v>
      </c>
      <c r="BE310">
        <v>132.69650300000001</v>
      </c>
      <c r="BF310">
        <v>135.38935900000001</v>
      </c>
      <c r="BG310">
        <v>138.26719700000001</v>
      </c>
      <c r="BH310">
        <v>140.51913500000001</v>
      </c>
      <c r="BI310" s="49">
        <v>4.4999999999999998E-2</v>
      </c>
    </row>
    <row r="311" spans="20:61" x14ac:dyDescent="0.5">
      <c r="T311" t="s">
        <v>646</v>
      </c>
      <c r="U311" t="s">
        <v>647</v>
      </c>
      <c r="V311" t="s">
        <v>117</v>
      </c>
      <c r="X311">
        <v>1.5556220000000001</v>
      </c>
      <c r="Y311">
        <v>1.714086</v>
      </c>
      <c r="Z311">
        <v>1.8265150000000001</v>
      </c>
      <c r="AA311">
        <v>1.8534299999999999</v>
      </c>
      <c r="AB311">
        <v>1.904501</v>
      </c>
      <c r="AC311">
        <v>1.95303</v>
      </c>
      <c r="AD311">
        <v>1.9604729999999999</v>
      </c>
      <c r="AE311">
        <v>1.9478599999999999</v>
      </c>
      <c r="AF311">
        <v>1.967822</v>
      </c>
      <c r="AG311">
        <v>1.985849</v>
      </c>
      <c r="AH311">
        <v>1.99153</v>
      </c>
      <c r="AI311">
        <v>2.0109050000000002</v>
      </c>
      <c r="AK311">
        <v>2.0268190000000001</v>
      </c>
      <c r="AM311">
        <v>2.0459939999999999</v>
      </c>
      <c r="AO311">
        <v>2.0651290000000002</v>
      </c>
      <c r="AQ311">
        <v>2.0736970000000001</v>
      </c>
      <c r="AR311">
        <v>2.0748129999999998</v>
      </c>
      <c r="AS311">
        <v>2.081324</v>
      </c>
      <c r="AV311">
        <v>2.0959020000000002</v>
      </c>
      <c r="AW311">
        <v>2.1069599999999999</v>
      </c>
      <c r="AX311">
        <v>2.1139670000000002</v>
      </c>
      <c r="AY311">
        <v>2.132371</v>
      </c>
      <c r="AZ311">
        <v>2.1608390000000002</v>
      </c>
      <c r="BA311">
        <v>2.172469</v>
      </c>
      <c r="BB311">
        <v>2.1890719999999999</v>
      </c>
      <c r="BC311">
        <v>2.2223389999999998</v>
      </c>
      <c r="BD311">
        <v>2.2443080000000002</v>
      </c>
      <c r="BE311">
        <v>2.261819</v>
      </c>
      <c r="BF311">
        <v>2.2742170000000002</v>
      </c>
      <c r="BG311">
        <v>2.285866</v>
      </c>
      <c r="BH311">
        <v>2.2884739999999999</v>
      </c>
      <c r="BI311" s="49">
        <v>1.2999999999999999E-2</v>
      </c>
    </row>
    <row r="312" spans="20:61" x14ac:dyDescent="0.5">
      <c r="T312" t="s">
        <v>648</v>
      </c>
      <c r="U312" t="s">
        <v>649</v>
      </c>
      <c r="V312" t="s">
        <v>117</v>
      </c>
      <c r="X312">
        <v>2.0732E-2</v>
      </c>
      <c r="Y312">
        <v>2.2124999999999999E-2</v>
      </c>
      <c r="Z312">
        <v>2.6683999999999999E-2</v>
      </c>
      <c r="AA312">
        <v>3.0519999999999999E-2</v>
      </c>
      <c r="AB312">
        <v>3.5453999999999999E-2</v>
      </c>
      <c r="AC312">
        <v>4.2473999999999998E-2</v>
      </c>
      <c r="AD312">
        <v>4.9325000000000001E-2</v>
      </c>
      <c r="AE312">
        <v>5.6510999999999999E-2</v>
      </c>
      <c r="AF312">
        <v>6.5768999999999994E-2</v>
      </c>
      <c r="AG312">
        <v>7.5634000000000007E-2</v>
      </c>
      <c r="AH312">
        <v>8.6419999999999997E-2</v>
      </c>
      <c r="AI312">
        <v>9.7029000000000004E-2</v>
      </c>
      <c r="AK312">
        <v>0.107214</v>
      </c>
      <c r="AM312">
        <v>0.117133</v>
      </c>
      <c r="AO312">
        <v>0.126526</v>
      </c>
      <c r="AQ312">
        <v>0.13433500000000001</v>
      </c>
      <c r="AR312">
        <v>0.1409</v>
      </c>
      <c r="AS312">
        <v>0.14712800000000001</v>
      </c>
      <c r="AV312">
        <v>0.15324499999999999</v>
      </c>
      <c r="AW312">
        <v>0.15832199999999999</v>
      </c>
      <c r="AX312">
        <v>0.163045</v>
      </c>
      <c r="AY312">
        <v>0.168486</v>
      </c>
      <c r="AZ312">
        <v>0.17413400000000001</v>
      </c>
      <c r="BA312">
        <v>0.17807899999999999</v>
      </c>
      <c r="BB312">
        <v>0.18221100000000001</v>
      </c>
      <c r="BC312">
        <v>0.187588</v>
      </c>
      <c r="BD312">
        <v>0.19204099999999999</v>
      </c>
      <c r="BE312">
        <v>0.196047</v>
      </c>
      <c r="BF312">
        <v>0.19934399999999999</v>
      </c>
      <c r="BG312">
        <v>0.20244500000000001</v>
      </c>
      <c r="BH312">
        <v>0.20472399999999999</v>
      </c>
      <c r="BI312" s="49">
        <v>7.9000000000000001E-2</v>
      </c>
    </row>
    <row r="313" spans="20:61" x14ac:dyDescent="0.5">
      <c r="T313" t="s">
        <v>650</v>
      </c>
      <c r="U313" t="s">
        <v>651</v>
      </c>
      <c r="V313" t="s">
        <v>117</v>
      </c>
      <c r="X313">
        <v>1419.959961</v>
      </c>
      <c r="Y313">
        <v>1567.1904300000001</v>
      </c>
      <c r="Z313">
        <v>1664.4902340000001</v>
      </c>
      <c r="AA313">
        <v>1670.356689</v>
      </c>
      <c r="AB313">
        <v>1707.0397949999999</v>
      </c>
      <c r="AC313">
        <v>1745.635986</v>
      </c>
      <c r="AD313">
        <v>1745.9990230000001</v>
      </c>
      <c r="AE313">
        <v>1729.233643</v>
      </c>
      <c r="AF313">
        <v>1742.1521</v>
      </c>
      <c r="AG313">
        <v>1751.7689210000001</v>
      </c>
      <c r="AH313">
        <v>1752.6970209999999</v>
      </c>
      <c r="AI313">
        <v>1763.588379</v>
      </c>
      <c r="AK313">
        <v>1771.0275879999999</v>
      </c>
      <c r="AM313">
        <v>1780.687866</v>
      </c>
      <c r="AO313">
        <v>1789.1168210000001</v>
      </c>
      <c r="AQ313">
        <v>1786.7497559999999</v>
      </c>
      <c r="AR313">
        <v>1778.129639</v>
      </c>
      <c r="AS313">
        <v>1774.1724850000001</v>
      </c>
      <c r="AV313">
        <v>1776.519043</v>
      </c>
      <c r="AW313">
        <v>1775.049072</v>
      </c>
      <c r="AX313">
        <v>1770.623779</v>
      </c>
      <c r="AY313">
        <v>1775.823486</v>
      </c>
      <c r="AZ313">
        <v>1788.396851</v>
      </c>
      <c r="BA313">
        <v>1786.5737300000001</v>
      </c>
      <c r="BB313">
        <v>1787.7282709999999</v>
      </c>
      <c r="BC313">
        <v>1801.1697999999999</v>
      </c>
      <c r="BD313">
        <v>1806.7312010000001</v>
      </c>
      <c r="BE313">
        <v>1808.1623540000001</v>
      </c>
      <c r="BF313">
        <v>1805.0424800000001</v>
      </c>
      <c r="BG313">
        <v>1800.327759</v>
      </c>
      <c r="BH313">
        <v>1789.3063959999999</v>
      </c>
      <c r="BI313" s="49">
        <v>8.0000000000000002E-3</v>
      </c>
    </row>
    <row r="314" spans="20:61" x14ac:dyDescent="0.5">
      <c r="T314" t="s">
        <v>652</v>
      </c>
      <c r="U314" t="s">
        <v>653</v>
      </c>
      <c r="V314" t="s">
        <v>117</v>
      </c>
      <c r="X314">
        <v>486.6026</v>
      </c>
      <c r="Y314">
        <v>589.99633800000004</v>
      </c>
      <c r="Z314">
        <v>676.14556900000002</v>
      </c>
      <c r="AA314">
        <v>740.122253</v>
      </c>
      <c r="AB314">
        <v>812.68713400000001</v>
      </c>
      <c r="AC314">
        <v>858.678223</v>
      </c>
      <c r="AD314">
        <v>872.20636000000002</v>
      </c>
      <c r="AE314">
        <v>857.88177499999995</v>
      </c>
      <c r="AF314">
        <v>859.93335000000002</v>
      </c>
      <c r="AG314">
        <v>860.78631600000006</v>
      </c>
      <c r="AH314">
        <v>857.15429700000004</v>
      </c>
      <c r="AI314">
        <v>857.61206100000004</v>
      </c>
      <c r="AK314">
        <v>857.50573699999995</v>
      </c>
      <c r="AM314">
        <v>864.350281</v>
      </c>
      <c r="AO314">
        <v>870.54595900000004</v>
      </c>
      <c r="AQ314">
        <v>872.06835899999999</v>
      </c>
      <c r="AR314">
        <v>870.663635</v>
      </c>
      <c r="AS314">
        <v>872.58557099999996</v>
      </c>
      <c r="AV314">
        <v>870.02825900000005</v>
      </c>
      <c r="AW314">
        <v>871.03662099999997</v>
      </c>
      <c r="AX314">
        <v>868.24359100000004</v>
      </c>
      <c r="AY314">
        <v>869.78625499999998</v>
      </c>
      <c r="AZ314">
        <v>873.19061299999998</v>
      </c>
      <c r="BA314">
        <v>871.76037599999995</v>
      </c>
      <c r="BB314">
        <v>870.306152</v>
      </c>
      <c r="BC314">
        <v>872.99200399999995</v>
      </c>
      <c r="BD314">
        <v>872.11114499999996</v>
      </c>
      <c r="BE314">
        <v>869.194885</v>
      </c>
      <c r="BF314">
        <v>862.28784199999996</v>
      </c>
      <c r="BG314">
        <v>854.32635500000004</v>
      </c>
      <c r="BH314">
        <v>844.93707300000005</v>
      </c>
      <c r="BI314" s="49">
        <v>1.9E-2</v>
      </c>
    </row>
    <row r="315" spans="20:61" x14ac:dyDescent="0.5">
      <c r="T315" t="s">
        <v>654</v>
      </c>
      <c r="U315" t="s">
        <v>655</v>
      </c>
      <c r="V315" t="s">
        <v>117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</v>
      </c>
      <c r="AM315">
        <v>0</v>
      </c>
      <c r="AO315">
        <v>0</v>
      </c>
      <c r="AQ315">
        <v>0</v>
      </c>
      <c r="AR315">
        <v>0</v>
      </c>
      <c r="AS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137</v>
      </c>
    </row>
    <row r="316" spans="20:61" x14ac:dyDescent="0.5">
      <c r="T316" t="s">
        <v>656</v>
      </c>
      <c r="U316" t="s">
        <v>657</v>
      </c>
      <c r="V316" t="s">
        <v>117</v>
      </c>
      <c r="X316">
        <v>639.00134300000002</v>
      </c>
      <c r="Y316">
        <v>756.52880900000002</v>
      </c>
      <c r="Z316">
        <v>858.87683100000004</v>
      </c>
      <c r="AA316">
        <v>926.12805200000003</v>
      </c>
      <c r="AB316">
        <v>1005.839966</v>
      </c>
      <c r="AC316">
        <v>1061.8359379999999</v>
      </c>
      <c r="AD316">
        <v>1094.6970209999999</v>
      </c>
      <c r="AE316">
        <v>1088.389038</v>
      </c>
      <c r="AF316">
        <v>1099.8272710000001</v>
      </c>
      <c r="AG316">
        <v>1108.8314210000001</v>
      </c>
      <c r="AH316">
        <v>1113.5778809999999</v>
      </c>
      <c r="AI316">
        <v>1124.0413820000001</v>
      </c>
      <c r="AK316">
        <v>1134.5826420000001</v>
      </c>
      <c r="AM316">
        <v>1152.7082519999999</v>
      </c>
      <c r="AO316">
        <v>1170.734741</v>
      </c>
      <c r="AQ316">
        <v>1182.3580320000001</v>
      </c>
      <c r="AR316">
        <v>1190.0479740000001</v>
      </c>
      <c r="AS316">
        <v>1201.7585449999999</v>
      </c>
      <c r="AV316">
        <v>1210.0532229999999</v>
      </c>
      <c r="AW316">
        <v>1220.8079829999999</v>
      </c>
      <c r="AX316">
        <v>1227.267456</v>
      </c>
      <c r="AY316">
        <v>1238.4742429999999</v>
      </c>
      <c r="AZ316">
        <v>1252.3914789999999</v>
      </c>
      <c r="BA316">
        <v>1258.5361330000001</v>
      </c>
      <c r="BB316">
        <v>1265.415039</v>
      </c>
      <c r="BC316">
        <v>1279.551025</v>
      </c>
      <c r="BD316">
        <v>1288.0943600000001</v>
      </c>
      <c r="BE316">
        <v>1294.722534</v>
      </c>
      <c r="BF316">
        <v>1296.144775</v>
      </c>
      <c r="BG316">
        <v>1296.486328</v>
      </c>
      <c r="BH316">
        <v>1293.9326169999999</v>
      </c>
      <c r="BI316" s="49">
        <v>2.4E-2</v>
      </c>
    </row>
  </sheetData>
  <autoFilter ref="T7:BJ69" xr:uid="{C47F7BFA-231E-4816-9202-509CA060F598}"/>
  <mergeCells count="2">
    <mergeCell ref="C49:F49"/>
    <mergeCell ref="G49:I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730A-F9B4-448E-A834-9C516E509240}">
  <dimension ref="B1:Y64"/>
  <sheetViews>
    <sheetView topLeftCell="L54" zoomScale="70" zoomScaleNormal="70" workbookViewId="0">
      <selection activeCell="G29" sqref="G29"/>
    </sheetView>
  </sheetViews>
  <sheetFormatPr defaultRowHeight="14.35" x14ac:dyDescent="0.5"/>
  <cols>
    <col min="4" max="4" width="15.29296875" bestFit="1" customWidth="1"/>
    <col min="5" max="5" width="12" bestFit="1" customWidth="1"/>
    <col min="7" max="7" width="15" bestFit="1" customWidth="1"/>
    <col min="8" max="8" width="12.1171875" bestFit="1" customWidth="1"/>
    <col min="9" max="9" width="11" bestFit="1" customWidth="1"/>
    <col min="20" max="20" width="23.87890625" bestFit="1" customWidth="1"/>
    <col min="21" max="25" width="26.703125" bestFit="1" customWidth="1"/>
    <col min="26" max="54" width="9.41015625" bestFit="1" customWidth="1"/>
    <col min="55" max="59" width="10.41015625" bestFit="1" customWidth="1"/>
    <col min="60" max="60" width="9.41015625" bestFit="1" customWidth="1"/>
    <col min="61" max="90" width="10.41015625" bestFit="1" customWidth="1"/>
  </cols>
  <sheetData>
    <row r="1" spans="2:25" ht="14.7" thickBot="1" x14ac:dyDescent="0.55000000000000004"/>
    <row r="2" spans="2:25" ht="14.7" thickBot="1" x14ac:dyDescent="0.55000000000000004"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2"/>
      <c r="T2" s="33" t="s">
        <v>658</v>
      </c>
    </row>
    <row r="3" spans="2:25" x14ac:dyDescent="0.5">
      <c r="B3" s="73"/>
      <c r="C3" s="69" t="s">
        <v>39</v>
      </c>
      <c r="D3" s="69"/>
      <c r="E3" s="69" t="s">
        <v>0</v>
      </c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74"/>
      <c r="V3" s="27"/>
      <c r="W3" s="27"/>
      <c r="X3" s="27"/>
      <c r="Y3" s="27"/>
    </row>
    <row r="4" spans="2:25" x14ac:dyDescent="0.5">
      <c r="B4" s="73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74"/>
      <c r="T4" s="6" t="s">
        <v>659</v>
      </c>
    </row>
    <row r="5" spans="2:25" x14ac:dyDescent="0.5">
      <c r="B5" s="73"/>
      <c r="C5" s="69" t="s">
        <v>42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74"/>
      <c r="U5" t="s">
        <v>660</v>
      </c>
    </row>
    <row r="6" spans="2:25" x14ac:dyDescent="0.5">
      <c r="B6" s="73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74"/>
      <c r="T6" s="121" t="s">
        <v>84</v>
      </c>
      <c r="U6" s="121">
        <v>2016</v>
      </c>
      <c r="V6" s="121">
        <v>2017</v>
      </c>
      <c r="W6" s="121">
        <v>2018</v>
      </c>
      <c r="X6" s="121">
        <v>2019</v>
      </c>
      <c r="Y6" s="121">
        <v>2020</v>
      </c>
    </row>
    <row r="7" spans="2:25" x14ac:dyDescent="0.5">
      <c r="B7" s="73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74"/>
      <c r="T7" s="5" t="s">
        <v>85</v>
      </c>
      <c r="U7" s="28">
        <v>199096</v>
      </c>
      <c r="V7" s="28">
        <v>217084</v>
      </c>
      <c r="W7" s="28">
        <v>233645</v>
      </c>
      <c r="X7" s="28">
        <v>225212</v>
      </c>
      <c r="Y7" s="28">
        <v>201629</v>
      </c>
    </row>
    <row r="8" spans="2:25" x14ac:dyDescent="0.5">
      <c r="B8" s="73"/>
      <c r="C8" s="7" t="s">
        <v>33</v>
      </c>
      <c r="D8" s="7" t="s">
        <v>661</v>
      </c>
      <c r="E8" s="7" t="s">
        <v>662</v>
      </c>
      <c r="F8" s="7" t="s">
        <v>663</v>
      </c>
      <c r="G8" s="7" t="s">
        <v>664</v>
      </c>
      <c r="H8" s="7" t="s">
        <v>82</v>
      </c>
      <c r="I8" s="69"/>
      <c r="J8" s="69"/>
      <c r="K8" s="69"/>
      <c r="L8" s="69"/>
      <c r="M8" s="69"/>
      <c r="N8" s="69"/>
      <c r="O8" s="69"/>
      <c r="P8" s="69"/>
      <c r="Q8" s="69"/>
      <c r="R8" s="74"/>
      <c r="T8" s="5" t="s">
        <v>86</v>
      </c>
      <c r="U8" s="28">
        <v>8397</v>
      </c>
      <c r="V8" s="28">
        <v>11724</v>
      </c>
      <c r="W8" s="28">
        <v>18990</v>
      </c>
      <c r="X8" s="28">
        <v>29540</v>
      </c>
      <c r="Y8" s="28">
        <v>36418</v>
      </c>
    </row>
    <row r="9" spans="2:25" x14ac:dyDescent="0.5">
      <c r="B9" s="73"/>
      <c r="C9" s="3">
        <f>'INPUT TABLE'!B$1</f>
        <v>2020</v>
      </c>
      <c r="D9" s="47">
        <f>6671.7*C9-5087500.23</f>
        <v>8389333.7699999996</v>
      </c>
      <c r="E9" s="47">
        <f>433242.57*C9-860512006.38</f>
        <v>14637985.019999981</v>
      </c>
      <c r="F9" s="47">
        <f>-775.94*C9+1642519.48</f>
        <v>75120.679999999935</v>
      </c>
      <c r="G9" s="47">
        <f>8946.06*C9-17618305.33</f>
        <v>452735.87000000104</v>
      </c>
      <c r="H9" s="47">
        <f>448084.39*C9-881575292.46</f>
        <v>23555175.340000033</v>
      </c>
      <c r="I9" s="69"/>
      <c r="J9" s="69"/>
      <c r="K9" s="69"/>
      <c r="L9" s="69"/>
      <c r="M9" s="69"/>
      <c r="N9" s="69"/>
      <c r="O9" s="69"/>
      <c r="P9" s="69"/>
      <c r="Q9" s="69"/>
      <c r="R9" s="74"/>
      <c r="T9" s="5" t="s">
        <v>87</v>
      </c>
      <c r="U9" s="28">
        <v>3889</v>
      </c>
      <c r="V9" s="28">
        <v>3901</v>
      </c>
      <c r="W9" s="28">
        <v>3063</v>
      </c>
      <c r="X9" s="28">
        <v>3284</v>
      </c>
      <c r="Y9" s="28">
        <v>2836</v>
      </c>
    </row>
    <row r="10" spans="2:25" x14ac:dyDescent="0.5">
      <c r="B10" s="73"/>
      <c r="C10" s="3">
        <f>C9+1</f>
        <v>2021</v>
      </c>
      <c r="D10" s="47">
        <f t="shared" ref="D10:D39" si="0">6671.7*C10-5087500.23</f>
        <v>8396005.4699999988</v>
      </c>
      <c r="E10" s="47">
        <f t="shared" ref="E10:E39" si="1">433242.57*C10-860512006.38</f>
        <v>15071227.590000033</v>
      </c>
      <c r="F10" s="47">
        <f t="shared" ref="F10:F39" si="2">-775.94*C10+1642519.48</f>
        <v>74344.739999999758</v>
      </c>
      <c r="G10" s="47">
        <f t="shared" ref="G10:G39" si="3">8946.06*C10-17618305.33</f>
        <v>461681.9299999997</v>
      </c>
      <c r="H10" s="47">
        <f t="shared" ref="H10:H39" si="4">448084.39*C10-881575292.46</f>
        <v>24003259.730000019</v>
      </c>
      <c r="I10" s="69"/>
      <c r="J10" s="69"/>
      <c r="K10" s="69"/>
      <c r="L10" s="69"/>
      <c r="M10" s="69"/>
      <c r="N10" s="69"/>
      <c r="O10" s="69"/>
      <c r="P10" s="69"/>
      <c r="Q10" s="69"/>
      <c r="R10" s="74"/>
      <c r="T10" s="5" t="s">
        <v>88</v>
      </c>
      <c r="U10" s="28">
        <v>1038</v>
      </c>
      <c r="V10" s="28">
        <v>1276</v>
      </c>
      <c r="W10" s="28">
        <v>1310</v>
      </c>
      <c r="X10" s="28">
        <v>1517</v>
      </c>
      <c r="Y10" s="28">
        <v>1451</v>
      </c>
    </row>
    <row r="11" spans="2:25" x14ac:dyDescent="0.5">
      <c r="B11" s="73"/>
      <c r="C11" s="3">
        <f t="shared" ref="C11:C39" si="5">C10+1</f>
        <v>2022</v>
      </c>
      <c r="D11" s="47">
        <f t="shared" si="0"/>
        <v>8402677.1699999999</v>
      </c>
      <c r="E11" s="47">
        <f t="shared" si="1"/>
        <v>15504470.159999967</v>
      </c>
      <c r="F11" s="47">
        <f t="shared" si="2"/>
        <v>73568.799999999814</v>
      </c>
      <c r="G11" s="47">
        <f t="shared" si="3"/>
        <v>470627.99000000209</v>
      </c>
      <c r="H11" s="47">
        <f t="shared" si="4"/>
        <v>24451344.120000005</v>
      </c>
      <c r="I11" s="69"/>
      <c r="J11" s="69"/>
      <c r="K11" s="69"/>
      <c r="L11" s="69"/>
      <c r="M11" s="69"/>
      <c r="N11" s="69"/>
      <c r="O11" s="69"/>
      <c r="P11" s="69"/>
      <c r="Q11" s="69"/>
      <c r="R11" s="74"/>
      <c r="T11" s="5" t="s">
        <v>89</v>
      </c>
      <c r="U11" s="5" t="s">
        <v>90</v>
      </c>
      <c r="V11" s="5" t="s">
        <v>90</v>
      </c>
      <c r="W11" s="5">
        <v>54</v>
      </c>
      <c r="X11" s="5">
        <v>238</v>
      </c>
      <c r="Y11" s="5">
        <v>200</v>
      </c>
    </row>
    <row r="12" spans="2:25" x14ac:dyDescent="0.5">
      <c r="B12" s="73"/>
      <c r="C12" s="3">
        <f t="shared" si="5"/>
        <v>2023</v>
      </c>
      <c r="D12" s="47">
        <f t="shared" si="0"/>
        <v>8409348.8699999992</v>
      </c>
      <c r="E12" s="47">
        <f t="shared" si="1"/>
        <v>15937712.730000019</v>
      </c>
      <c r="F12" s="47">
        <f t="shared" si="2"/>
        <v>72792.85999999987</v>
      </c>
      <c r="G12" s="47">
        <f t="shared" si="3"/>
        <v>479574.05000000075</v>
      </c>
      <c r="H12" s="47">
        <f t="shared" si="4"/>
        <v>24899428.50999999</v>
      </c>
      <c r="I12" s="69"/>
      <c r="J12" s="69"/>
      <c r="K12" s="69"/>
      <c r="L12" s="69"/>
      <c r="M12" s="69"/>
      <c r="N12" s="69"/>
      <c r="O12" s="69"/>
      <c r="P12" s="69"/>
      <c r="Q12" s="69"/>
      <c r="R12" s="74"/>
      <c r="T12" s="5" t="s">
        <v>91</v>
      </c>
      <c r="U12" s="5" t="s">
        <v>90</v>
      </c>
      <c r="V12" s="5" t="s">
        <v>90</v>
      </c>
      <c r="W12" s="5">
        <v>4</v>
      </c>
      <c r="X12" s="5">
        <v>3</v>
      </c>
      <c r="Y12" s="5">
        <v>3</v>
      </c>
    </row>
    <row r="13" spans="2:25" x14ac:dyDescent="0.5">
      <c r="B13" s="73"/>
      <c r="C13" s="3">
        <f t="shared" si="5"/>
        <v>2024</v>
      </c>
      <c r="D13" s="47">
        <f t="shared" si="0"/>
        <v>8416020.5699999984</v>
      </c>
      <c r="E13" s="47">
        <f t="shared" si="1"/>
        <v>16370955.300000072</v>
      </c>
      <c r="F13" s="47">
        <f t="shared" si="2"/>
        <v>72016.919999999925</v>
      </c>
      <c r="G13" s="47">
        <f t="shared" si="3"/>
        <v>488520.1099999994</v>
      </c>
      <c r="H13" s="47">
        <f t="shared" si="4"/>
        <v>25347512.899999976</v>
      </c>
      <c r="I13" s="69"/>
      <c r="J13" s="69"/>
      <c r="K13" s="69"/>
      <c r="L13" s="69"/>
      <c r="M13" s="69"/>
      <c r="N13" s="69"/>
      <c r="O13" s="69"/>
      <c r="P13" s="69"/>
      <c r="Q13" s="69"/>
      <c r="R13" s="74"/>
      <c r="T13" s="5" t="s">
        <v>92</v>
      </c>
      <c r="U13" s="5" t="s">
        <v>90</v>
      </c>
      <c r="V13" s="5" t="s">
        <v>90</v>
      </c>
      <c r="W13" s="5">
        <v>4</v>
      </c>
      <c r="X13" s="5">
        <v>6</v>
      </c>
      <c r="Y13" s="5">
        <v>4</v>
      </c>
    </row>
    <row r="14" spans="2:25" x14ac:dyDescent="0.5">
      <c r="B14" s="73"/>
      <c r="C14" s="3">
        <f t="shared" si="5"/>
        <v>2025</v>
      </c>
      <c r="D14" s="47">
        <f t="shared" si="0"/>
        <v>8422692.2699999996</v>
      </c>
      <c r="E14" s="47">
        <f t="shared" si="1"/>
        <v>16804197.870000005</v>
      </c>
      <c r="F14" s="47">
        <f t="shared" si="2"/>
        <v>71240.979999999981</v>
      </c>
      <c r="G14" s="47">
        <f t="shared" si="3"/>
        <v>497466.17000000179</v>
      </c>
      <c r="H14" s="47">
        <f t="shared" si="4"/>
        <v>25795597.289999962</v>
      </c>
      <c r="I14" s="69"/>
      <c r="J14" s="69"/>
      <c r="K14" s="69"/>
      <c r="L14" s="69"/>
      <c r="M14" s="69"/>
      <c r="N14" s="69"/>
      <c r="O14" s="69"/>
      <c r="P14" s="69"/>
      <c r="Q14" s="69"/>
      <c r="R14" s="74"/>
      <c r="T14" s="30" t="s">
        <v>93</v>
      </c>
      <c r="U14" s="31">
        <v>212420</v>
      </c>
      <c r="V14" s="31">
        <v>233985</v>
      </c>
      <c r="W14" s="31">
        <v>257070</v>
      </c>
      <c r="X14" s="31">
        <v>259800</v>
      </c>
      <c r="Y14" s="31">
        <v>242541</v>
      </c>
    </row>
    <row r="15" spans="2:25" x14ac:dyDescent="0.5">
      <c r="B15" s="73"/>
      <c r="C15" s="3">
        <f t="shared" si="5"/>
        <v>2026</v>
      </c>
      <c r="D15" s="47">
        <f t="shared" si="0"/>
        <v>8429363.9699999988</v>
      </c>
      <c r="E15" s="47">
        <f t="shared" si="1"/>
        <v>17237440.440000057</v>
      </c>
      <c r="F15" s="47">
        <f t="shared" si="2"/>
        <v>70465.039999999804</v>
      </c>
      <c r="G15" s="47">
        <f t="shared" si="3"/>
        <v>506412.23000000045</v>
      </c>
      <c r="H15" s="47">
        <f t="shared" si="4"/>
        <v>26243681.679999948</v>
      </c>
      <c r="I15" s="69"/>
      <c r="J15" s="69"/>
      <c r="K15" s="69"/>
      <c r="L15" s="69"/>
      <c r="M15" s="69"/>
      <c r="N15" s="69"/>
      <c r="O15" s="69"/>
      <c r="P15" s="69"/>
      <c r="Q15" s="69"/>
      <c r="R15" s="74"/>
      <c r="T15" s="5"/>
      <c r="U15" s="28"/>
      <c r="V15" s="38"/>
      <c r="W15" s="38"/>
      <c r="X15" s="38"/>
      <c r="Y15" s="38"/>
    </row>
    <row r="16" spans="2:25" x14ac:dyDescent="0.5">
      <c r="B16" s="73"/>
      <c r="C16" s="3">
        <f t="shared" si="5"/>
        <v>2027</v>
      </c>
      <c r="D16" s="47">
        <f t="shared" si="0"/>
        <v>8436035.6699999999</v>
      </c>
      <c r="E16" s="47">
        <f t="shared" si="1"/>
        <v>17670683.00999999</v>
      </c>
      <c r="F16" s="47">
        <f t="shared" si="2"/>
        <v>69689.09999999986</v>
      </c>
      <c r="G16" s="47">
        <f t="shared" si="3"/>
        <v>515358.28999999911</v>
      </c>
      <c r="H16" s="47">
        <f t="shared" si="4"/>
        <v>26691766.069999933</v>
      </c>
      <c r="I16" s="69"/>
      <c r="J16" s="69"/>
      <c r="K16" s="69"/>
      <c r="L16" s="69"/>
      <c r="M16" s="69"/>
      <c r="N16" s="69"/>
      <c r="O16" s="69"/>
      <c r="P16" s="69"/>
      <c r="Q16" s="69"/>
      <c r="R16" s="74"/>
      <c r="T16" s="5" t="s">
        <v>94</v>
      </c>
      <c r="U16" s="28">
        <v>16622760</v>
      </c>
      <c r="V16" s="28">
        <v>17237827</v>
      </c>
      <c r="W16" s="28">
        <v>17510554</v>
      </c>
      <c r="X16" s="28">
        <v>16845463</v>
      </c>
      <c r="Y16" s="28">
        <v>15024613</v>
      </c>
    </row>
    <row r="17" spans="2:25" x14ac:dyDescent="0.5">
      <c r="B17" s="73"/>
      <c r="C17" s="3">
        <f t="shared" si="5"/>
        <v>2028</v>
      </c>
      <c r="D17" s="47">
        <f t="shared" si="0"/>
        <v>8442707.3699999992</v>
      </c>
      <c r="E17" s="47">
        <f t="shared" si="1"/>
        <v>18103925.580000043</v>
      </c>
      <c r="F17" s="47">
        <f t="shared" si="2"/>
        <v>68913.159999999916</v>
      </c>
      <c r="G17" s="47">
        <f t="shared" si="3"/>
        <v>524304.35000000149</v>
      </c>
      <c r="H17" s="47">
        <f t="shared" si="4"/>
        <v>27139850.460000038</v>
      </c>
      <c r="I17" s="69"/>
      <c r="J17" s="69"/>
      <c r="K17" s="69"/>
      <c r="L17" s="69"/>
      <c r="M17" s="69"/>
      <c r="N17" s="69"/>
      <c r="O17" s="69"/>
      <c r="P17" s="69"/>
      <c r="Q17" s="69"/>
      <c r="R17" s="74"/>
      <c r="T17" s="5" t="s">
        <v>95</v>
      </c>
      <c r="U17" s="28">
        <v>2127669</v>
      </c>
      <c r="V17" s="28">
        <v>2215878</v>
      </c>
      <c r="W17" s="28">
        <v>2231880</v>
      </c>
      <c r="X17" s="28">
        <v>2168253</v>
      </c>
      <c r="Y17" s="28">
        <v>1945689</v>
      </c>
    </row>
    <row r="18" spans="2:25" x14ac:dyDescent="0.5">
      <c r="B18" s="73"/>
      <c r="C18" s="3">
        <f t="shared" si="5"/>
        <v>2029</v>
      </c>
      <c r="D18" s="47">
        <f t="shared" si="0"/>
        <v>8449379.0699999984</v>
      </c>
      <c r="E18" s="47">
        <f t="shared" si="1"/>
        <v>18537168.149999976</v>
      </c>
      <c r="F18" s="47">
        <f t="shared" si="2"/>
        <v>68137.219999999972</v>
      </c>
      <c r="G18" s="47">
        <f t="shared" si="3"/>
        <v>533250.41000000015</v>
      </c>
      <c r="H18" s="47">
        <f t="shared" si="4"/>
        <v>27587934.850000024</v>
      </c>
      <c r="I18" s="69"/>
      <c r="J18" s="69"/>
      <c r="K18" s="69"/>
      <c r="L18" s="69"/>
      <c r="M18" s="69"/>
      <c r="N18" s="69"/>
      <c r="O18" s="69"/>
      <c r="P18" s="69"/>
      <c r="Q18" s="69"/>
      <c r="R18" s="74"/>
      <c r="T18" s="5" t="s">
        <v>96</v>
      </c>
      <c r="U18" s="28">
        <v>1327585</v>
      </c>
      <c r="V18" s="28">
        <v>1369414</v>
      </c>
      <c r="W18" s="28">
        <v>1258596</v>
      </c>
      <c r="X18" s="28">
        <v>1276164</v>
      </c>
      <c r="Y18" s="28">
        <v>1188617</v>
      </c>
    </row>
    <row r="19" spans="2:25" x14ac:dyDescent="0.5">
      <c r="B19" s="73"/>
      <c r="C19" s="3">
        <f t="shared" si="5"/>
        <v>2030</v>
      </c>
      <c r="D19" s="47">
        <f t="shared" si="0"/>
        <v>8456050.7699999996</v>
      </c>
      <c r="E19" s="47">
        <f t="shared" si="1"/>
        <v>18970410.720000029</v>
      </c>
      <c r="F19" s="47">
        <f t="shared" si="2"/>
        <v>67361.279999999795</v>
      </c>
      <c r="G19" s="47">
        <f t="shared" si="3"/>
        <v>542196.47000000253</v>
      </c>
      <c r="H19" s="47">
        <f t="shared" si="4"/>
        <v>28036019.24000001</v>
      </c>
      <c r="I19" s="69"/>
      <c r="J19" s="69"/>
      <c r="K19" s="69"/>
      <c r="L19" s="69"/>
      <c r="M19" s="69"/>
      <c r="N19" s="69"/>
      <c r="O19" s="69"/>
      <c r="P19" s="69"/>
      <c r="Q19" s="69"/>
      <c r="R19" s="74"/>
      <c r="T19" s="5" t="s">
        <v>97</v>
      </c>
      <c r="U19" s="28">
        <v>6549</v>
      </c>
      <c r="V19" s="28">
        <v>5756</v>
      </c>
      <c r="W19" s="28">
        <v>4473</v>
      </c>
      <c r="X19" s="28">
        <v>3830</v>
      </c>
      <c r="Y19" s="28">
        <v>2926</v>
      </c>
    </row>
    <row r="20" spans="2:25" x14ac:dyDescent="0.5">
      <c r="B20" s="73"/>
      <c r="C20" s="3">
        <f t="shared" si="5"/>
        <v>2031</v>
      </c>
      <c r="D20" s="47">
        <f t="shared" si="0"/>
        <v>8462722.4699999988</v>
      </c>
      <c r="E20" s="47">
        <f t="shared" si="1"/>
        <v>19403653.289999962</v>
      </c>
      <c r="F20" s="47">
        <f t="shared" si="2"/>
        <v>66585.339999999851</v>
      </c>
      <c r="G20" s="47">
        <f t="shared" si="3"/>
        <v>551142.53000000119</v>
      </c>
      <c r="H20" s="47">
        <f t="shared" si="4"/>
        <v>28484103.629999995</v>
      </c>
      <c r="I20" s="69"/>
      <c r="J20" s="69"/>
      <c r="K20" s="69"/>
      <c r="L20" s="69"/>
      <c r="M20" s="69"/>
      <c r="N20" s="69"/>
      <c r="O20" s="69"/>
      <c r="P20" s="69"/>
      <c r="Q20" s="69"/>
      <c r="R20" s="74"/>
      <c r="T20" s="5" t="s">
        <v>98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</row>
    <row r="21" spans="2:25" x14ac:dyDescent="0.5">
      <c r="B21" s="73"/>
      <c r="C21" s="3">
        <f t="shared" si="5"/>
        <v>2032</v>
      </c>
      <c r="D21" s="47">
        <f t="shared" si="0"/>
        <v>8469394.1699999999</v>
      </c>
      <c r="E21" s="47">
        <f t="shared" si="1"/>
        <v>19836895.860000014</v>
      </c>
      <c r="F21" s="47">
        <f t="shared" si="2"/>
        <v>65809.399999999907</v>
      </c>
      <c r="G21" s="47">
        <f t="shared" si="3"/>
        <v>560088.58999999985</v>
      </c>
      <c r="H21" s="47">
        <f t="shared" si="4"/>
        <v>28932188.019999981</v>
      </c>
      <c r="I21" s="69"/>
      <c r="J21" s="69"/>
      <c r="K21" s="69"/>
      <c r="L21" s="69"/>
      <c r="M21" s="69"/>
      <c r="N21" s="69"/>
      <c r="O21" s="69"/>
      <c r="P21" s="69"/>
      <c r="Q21" s="69"/>
      <c r="R21" s="74"/>
      <c r="T21" s="5" t="s">
        <v>99</v>
      </c>
      <c r="U21" s="5">
        <v>555</v>
      </c>
      <c r="V21" s="5">
        <v>715</v>
      </c>
      <c r="W21" s="28">
        <v>336527</v>
      </c>
      <c r="X21" s="28">
        <v>329708</v>
      </c>
      <c r="Y21" s="28">
        <v>291046</v>
      </c>
    </row>
    <row r="22" spans="2:25" x14ac:dyDescent="0.5">
      <c r="B22" s="73"/>
      <c r="C22" s="3">
        <f t="shared" si="5"/>
        <v>2033</v>
      </c>
      <c r="D22" s="47">
        <f t="shared" si="0"/>
        <v>8476065.8699999992</v>
      </c>
      <c r="E22" s="47">
        <f t="shared" si="1"/>
        <v>20270138.430000067</v>
      </c>
      <c r="F22" s="47">
        <f t="shared" si="2"/>
        <v>65033.459999999963</v>
      </c>
      <c r="G22" s="47">
        <f t="shared" si="3"/>
        <v>569034.65000000224</v>
      </c>
      <c r="H22" s="47">
        <f t="shared" si="4"/>
        <v>29380272.409999967</v>
      </c>
      <c r="I22" s="69"/>
      <c r="J22" s="69"/>
      <c r="K22" s="69"/>
      <c r="L22" s="69"/>
      <c r="M22" s="69"/>
      <c r="N22" s="69"/>
      <c r="O22" s="69"/>
      <c r="P22" s="69"/>
      <c r="Q22" s="69"/>
      <c r="R22" s="74"/>
      <c r="T22" s="5" t="s">
        <v>100</v>
      </c>
      <c r="U22" s="28">
        <v>3734699</v>
      </c>
      <c r="V22" s="28">
        <v>3084014</v>
      </c>
      <c r="W22" s="28">
        <v>3012625</v>
      </c>
      <c r="X22" s="28">
        <v>4214381</v>
      </c>
      <c r="Y22" s="28">
        <v>5319377</v>
      </c>
    </row>
    <row r="23" spans="2:25" x14ac:dyDescent="0.5">
      <c r="B23" s="73"/>
      <c r="C23" s="3">
        <f t="shared" si="5"/>
        <v>2034</v>
      </c>
      <c r="D23" s="47">
        <f t="shared" si="0"/>
        <v>8482737.5699999984</v>
      </c>
      <c r="E23" s="47">
        <f t="shared" si="1"/>
        <v>20703381</v>
      </c>
      <c r="F23" s="47">
        <f t="shared" si="2"/>
        <v>64257.519999999786</v>
      </c>
      <c r="G23" s="47">
        <f t="shared" si="3"/>
        <v>577980.71000000089</v>
      </c>
      <c r="H23" s="47">
        <f t="shared" si="4"/>
        <v>29828356.799999952</v>
      </c>
      <c r="I23" s="69"/>
      <c r="J23" s="69"/>
      <c r="K23" s="69"/>
      <c r="L23" s="69"/>
      <c r="M23" s="69"/>
      <c r="N23" s="69"/>
      <c r="O23" s="69"/>
      <c r="P23" s="69"/>
      <c r="Q23" s="69"/>
      <c r="R23" s="74"/>
      <c r="T23" s="30" t="s">
        <v>101</v>
      </c>
      <c r="U23" s="31">
        <v>23819817</v>
      </c>
      <c r="V23" s="31">
        <v>23913604</v>
      </c>
      <c r="W23" s="31">
        <v>24354655</v>
      </c>
      <c r="X23" s="31">
        <v>24837799</v>
      </c>
      <c r="Y23" s="31">
        <v>23772268</v>
      </c>
    </row>
    <row r="24" spans="2:25" x14ac:dyDescent="0.5">
      <c r="B24" s="73"/>
      <c r="C24" s="3">
        <f t="shared" si="5"/>
        <v>2035</v>
      </c>
      <c r="D24" s="47">
        <f t="shared" si="0"/>
        <v>8489409.2699999996</v>
      </c>
      <c r="E24" s="47">
        <f t="shared" si="1"/>
        <v>21136623.570000052</v>
      </c>
      <c r="F24" s="47">
        <f t="shared" si="2"/>
        <v>63481.579999999842</v>
      </c>
      <c r="G24" s="47">
        <f t="shared" si="3"/>
        <v>586926.76999999955</v>
      </c>
      <c r="H24" s="47">
        <f t="shared" si="4"/>
        <v>30276441.189999938</v>
      </c>
      <c r="I24" s="69"/>
      <c r="J24" s="69"/>
      <c r="K24" s="69"/>
      <c r="L24" s="69"/>
      <c r="M24" s="69"/>
      <c r="N24" s="69"/>
      <c r="O24" s="69"/>
      <c r="P24" s="69"/>
      <c r="Q24" s="69"/>
      <c r="R24" s="74"/>
      <c r="T24" s="5"/>
      <c r="U24" s="28"/>
      <c r="V24" s="38">
        <f>(V23-U23)/U23</f>
        <v>3.9373518276819676E-3</v>
      </c>
      <c r="W24" s="38">
        <f>(W23-V23)/V23</f>
        <v>1.8443518593015087E-2</v>
      </c>
      <c r="X24" s="38">
        <f>(X23-W23)/W23</f>
        <v>1.9837850300076103E-2</v>
      </c>
      <c r="Y24" s="38">
        <f>(Y23-X23)/X23</f>
        <v>-4.2899574153088205E-2</v>
      </c>
    </row>
    <row r="25" spans="2:25" x14ac:dyDescent="0.5">
      <c r="B25" s="73"/>
      <c r="C25" s="3">
        <f t="shared" si="5"/>
        <v>2036</v>
      </c>
      <c r="D25" s="47">
        <f t="shared" si="0"/>
        <v>8496080.9699999988</v>
      </c>
      <c r="E25" s="47">
        <f t="shared" si="1"/>
        <v>21569866.139999986</v>
      </c>
      <c r="F25" s="47">
        <f t="shared" si="2"/>
        <v>62705.639999999898</v>
      </c>
      <c r="G25" s="47">
        <f t="shared" si="3"/>
        <v>595872.83000000194</v>
      </c>
      <c r="H25" s="47">
        <f t="shared" si="4"/>
        <v>30724525.580000043</v>
      </c>
      <c r="I25" s="69"/>
      <c r="J25" s="69"/>
      <c r="K25" s="69"/>
      <c r="L25" s="69"/>
      <c r="M25" s="69"/>
      <c r="N25" s="69"/>
      <c r="O25" s="69"/>
      <c r="P25" s="69"/>
      <c r="Q25" s="69"/>
      <c r="R25" s="74"/>
      <c r="T25" s="121" t="s">
        <v>102</v>
      </c>
      <c r="U25" s="29">
        <v>24032237</v>
      </c>
      <c r="V25" s="29">
        <v>24147589</v>
      </c>
      <c r="W25" s="29">
        <v>24611725</v>
      </c>
      <c r="X25" s="29">
        <v>25097599</v>
      </c>
      <c r="Y25" s="29">
        <v>24018809</v>
      </c>
    </row>
    <row r="26" spans="2:25" x14ac:dyDescent="0.5">
      <c r="B26" s="73"/>
      <c r="C26" s="3">
        <f t="shared" si="5"/>
        <v>2037</v>
      </c>
      <c r="D26" s="47">
        <f t="shared" si="0"/>
        <v>8502752.6699999999</v>
      </c>
      <c r="E26" s="47">
        <f t="shared" si="1"/>
        <v>22003108.710000038</v>
      </c>
      <c r="F26" s="47">
        <f t="shared" si="2"/>
        <v>61929.699999999953</v>
      </c>
      <c r="G26" s="47">
        <f t="shared" si="3"/>
        <v>604818.8900000006</v>
      </c>
      <c r="H26" s="47">
        <f t="shared" si="4"/>
        <v>31172609.970000029</v>
      </c>
      <c r="I26" s="69"/>
      <c r="J26" s="69"/>
      <c r="K26" s="69"/>
      <c r="L26" s="69"/>
      <c r="M26" s="69"/>
      <c r="N26" s="69"/>
      <c r="O26" s="69"/>
      <c r="P26" s="69"/>
      <c r="Q26" s="69"/>
      <c r="R26" s="74"/>
      <c r="U26" s="37"/>
      <c r="V26" s="37"/>
      <c r="W26" s="37"/>
      <c r="X26" s="37"/>
      <c r="Y26" s="37"/>
    </row>
    <row r="27" spans="2:25" x14ac:dyDescent="0.5">
      <c r="B27" s="73"/>
      <c r="C27" s="3">
        <f t="shared" si="5"/>
        <v>2038</v>
      </c>
      <c r="D27" s="47">
        <f t="shared" si="0"/>
        <v>8509424.3699999992</v>
      </c>
      <c r="E27" s="47">
        <f t="shared" si="1"/>
        <v>22436351.279999971</v>
      </c>
      <c r="F27" s="47">
        <f t="shared" si="2"/>
        <v>61153.759999999776</v>
      </c>
      <c r="G27" s="47">
        <f t="shared" si="3"/>
        <v>613764.94999999925</v>
      </c>
      <c r="H27" s="47">
        <f t="shared" si="4"/>
        <v>31620694.360000014</v>
      </c>
      <c r="I27" s="69"/>
      <c r="J27" s="69"/>
      <c r="K27" s="69"/>
      <c r="L27" s="69"/>
      <c r="M27" s="69"/>
      <c r="N27" s="69"/>
      <c r="O27" s="69"/>
      <c r="P27" s="69"/>
      <c r="Q27" s="69"/>
      <c r="R27" s="74"/>
      <c r="T27" s="29" t="s">
        <v>665</v>
      </c>
      <c r="U27" s="32">
        <v>21766166</v>
      </c>
    </row>
    <row r="28" spans="2:25" x14ac:dyDescent="0.5">
      <c r="B28" s="73"/>
      <c r="C28" s="3">
        <f t="shared" si="5"/>
        <v>2039</v>
      </c>
      <c r="D28" s="47">
        <f t="shared" si="0"/>
        <v>8516096.0699999984</v>
      </c>
      <c r="E28" s="47">
        <f t="shared" si="1"/>
        <v>22869593.850000024</v>
      </c>
      <c r="F28" s="47">
        <f t="shared" si="2"/>
        <v>60377.819999999832</v>
      </c>
      <c r="G28" s="47">
        <f t="shared" si="3"/>
        <v>622711.01000000164</v>
      </c>
      <c r="H28" s="47">
        <f t="shared" si="4"/>
        <v>32068778.75</v>
      </c>
      <c r="I28" s="69"/>
      <c r="J28" s="69"/>
      <c r="K28" s="69"/>
      <c r="L28" s="69"/>
      <c r="M28" s="69"/>
      <c r="N28" s="69"/>
      <c r="O28" s="69"/>
      <c r="P28" s="69"/>
      <c r="Q28" s="69"/>
      <c r="R28" s="74"/>
      <c r="T28" s="6" t="s">
        <v>666</v>
      </c>
    </row>
    <row r="29" spans="2:25" x14ac:dyDescent="0.5">
      <c r="B29" s="73"/>
      <c r="C29" s="3">
        <f t="shared" si="5"/>
        <v>2040</v>
      </c>
      <c r="D29" s="47">
        <f t="shared" si="0"/>
        <v>8522767.7699999996</v>
      </c>
      <c r="E29" s="47">
        <f t="shared" si="1"/>
        <v>23302836.420000076</v>
      </c>
      <c r="F29" s="47">
        <f t="shared" si="2"/>
        <v>59601.879999999888</v>
      </c>
      <c r="G29" s="47">
        <f t="shared" si="3"/>
        <v>631657.0700000003</v>
      </c>
      <c r="H29" s="47">
        <f t="shared" si="4"/>
        <v>32516863.139999986</v>
      </c>
      <c r="I29" s="69"/>
      <c r="J29" s="69"/>
      <c r="K29" s="69"/>
      <c r="L29" s="69"/>
      <c r="M29" s="69"/>
      <c r="N29" s="69"/>
      <c r="O29" s="69"/>
      <c r="P29" s="69"/>
      <c r="Q29" s="69"/>
      <c r="R29" s="74"/>
    </row>
    <row r="30" spans="2:25" x14ac:dyDescent="0.5">
      <c r="B30" s="73"/>
      <c r="C30" s="3">
        <f t="shared" si="5"/>
        <v>2041</v>
      </c>
      <c r="D30" s="47">
        <f t="shared" si="0"/>
        <v>8529439.4699999988</v>
      </c>
      <c r="E30" s="47">
        <f t="shared" si="1"/>
        <v>23736078.99000001</v>
      </c>
      <c r="F30" s="47">
        <f t="shared" si="2"/>
        <v>58825.939999999944</v>
      </c>
      <c r="G30" s="47">
        <f t="shared" si="3"/>
        <v>640603.12999999896</v>
      </c>
      <c r="H30" s="47">
        <f t="shared" si="4"/>
        <v>32964947.529999971</v>
      </c>
      <c r="I30" s="69"/>
      <c r="J30" s="69"/>
      <c r="K30" s="69"/>
      <c r="L30" s="69"/>
      <c r="M30" s="69"/>
      <c r="N30" s="69"/>
      <c r="O30" s="69"/>
      <c r="P30" s="69"/>
      <c r="Q30" s="69"/>
      <c r="R30" s="74"/>
    </row>
    <row r="31" spans="2:25" x14ac:dyDescent="0.5">
      <c r="B31" s="73"/>
      <c r="C31" s="3">
        <f t="shared" si="5"/>
        <v>2042</v>
      </c>
      <c r="D31" s="47">
        <f t="shared" si="0"/>
        <v>8536111.1699999999</v>
      </c>
      <c r="E31" s="47">
        <f t="shared" si="1"/>
        <v>24169321.560000062</v>
      </c>
      <c r="F31" s="47">
        <f t="shared" si="2"/>
        <v>58049.999999999767</v>
      </c>
      <c r="G31" s="47">
        <f t="shared" si="3"/>
        <v>649549.19000000134</v>
      </c>
      <c r="H31" s="47">
        <f t="shared" si="4"/>
        <v>33413031.919999957</v>
      </c>
      <c r="I31" s="69"/>
      <c r="J31" s="69"/>
      <c r="K31" s="69"/>
      <c r="L31" s="69"/>
      <c r="M31" s="69"/>
      <c r="N31" s="69"/>
      <c r="O31" s="69"/>
      <c r="P31" s="69"/>
      <c r="Q31" s="69"/>
      <c r="R31" s="74"/>
    </row>
    <row r="32" spans="2:25" ht="14.7" thickBot="1" x14ac:dyDescent="0.55000000000000004">
      <c r="B32" s="73"/>
      <c r="C32" s="3">
        <f t="shared" si="5"/>
        <v>2043</v>
      </c>
      <c r="D32" s="47">
        <f t="shared" si="0"/>
        <v>8542782.8699999992</v>
      </c>
      <c r="E32" s="47">
        <f t="shared" si="1"/>
        <v>24602564.129999995</v>
      </c>
      <c r="F32" s="47">
        <f t="shared" si="2"/>
        <v>57274.059999999823</v>
      </c>
      <c r="G32" s="47">
        <f t="shared" si="3"/>
        <v>658495.25</v>
      </c>
      <c r="H32" s="47">
        <f t="shared" si="4"/>
        <v>33861116.309999943</v>
      </c>
      <c r="I32" s="69"/>
      <c r="J32" s="69"/>
      <c r="K32" s="69"/>
      <c r="L32" s="69"/>
      <c r="M32" s="69"/>
      <c r="N32" s="69"/>
      <c r="O32" s="69"/>
      <c r="P32" s="69"/>
      <c r="Q32" s="69"/>
      <c r="R32" s="74"/>
      <c r="T32" s="33" t="s">
        <v>667</v>
      </c>
    </row>
    <row r="33" spans="2:25" x14ac:dyDescent="0.5">
      <c r="B33" s="73"/>
      <c r="C33" s="3">
        <f t="shared" si="5"/>
        <v>2044</v>
      </c>
      <c r="D33" s="47">
        <f t="shared" si="0"/>
        <v>8549454.5699999984</v>
      </c>
      <c r="E33" s="47">
        <f t="shared" si="1"/>
        <v>25035806.700000048</v>
      </c>
      <c r="F33" s="47">
        <f t="shared" si="2"/>
        <v>56498.119999999879</v>
      </c>
      <c r="G33" s="47">
        <f t="shared" si="3"/>
        <v>667441.31000000238</v>
      </c>
      <c r="H33" s="47">
        <f t="shared" si="4"/>
        <v>34309200.700000048</v>
      </c>
      <c r="I33" s="69"/>
      <c r="J33" s="69"/>
      <c r="K33" s="69"/>
      <c r="L33" s="69"/>
      <c r="M33" s="69"/>
      <c r="N33" s="69"/>
      <c r="O33" s="69"/>
      <c r="P33" s="69"/>
      <c r="Q33" s="69"/>
      <c r="R33" s="74"/>
      <c r="T33" s="13" t="s">
        <v>50</v>
      </c>
    </row>
    <row r="34" spans="2:25" x14ac:dyDescent="0.5">
      <c r="B34" s="73"/>
      <c r="C34" s="3">
        <f t="shared" si="5"/>
        <v>2045</v>
      </c>
      <c r="D34" s="47">
        <f t="shared" si="0"/>
        <v>8556126.2699999996</v>
      </c>
      <c r="E34" s="47">
        <f t="shared" si="1"/>
        <v>25469049.269999981</v>
      </c>
      <c r="F34" s="47">
        <f t="shared" si="2"/>
        <v>55722.179999999935</v>
      </c>
      <c r="G34" s="47">
        <f t="shared" si="3"/>
        <v>676387.37000000104</v>
      </c>
      <c r="H34" s="47">
        <f t="shared" si="4"/>
        <v>34757285.090000033</v>
      </c>
      <c r="I34" s="69"/>
      <c r="J34" s="69"/>
      <c r="K34" s="69"/>
      <c r="L34" s="69"/>
      <c r="M34" s="69"/>
      <c r="N34" s="69"/>
      <c r="O34" s="69"/>
      <c r="P34" s="69"/>
      <c r="Q34" s="69"/>
      <c r="R34" s="74"/>
    </row>
    <row r="35" spans="2:25" x14ac:dyDescent="0.5">
      <c r="B35" s="73"/>
      <c r="C35" s="3">
        <f t="shared" si="5"/>
        <v>2046</v>
      </c>
      <c r="D35" s="47">
        <f t="shared" si="0"/>
        <v>8562797.9699999988</v>
      </c>
      <c r="E35" s="47">
        <f t="shared" si="1"/>
        <v>25902291.840000033</v>
      </c>
      <c r="F35" s="47">
        <f t="shared" si="2"/>
        <v>54946.239999999758</v>
      </c>
      <c r="G35" s="47">
        <f t="shared" si="3"/>
        <v>685333.4299999997</v>
      </c>
      <c r="H35" s="47">
        <f t="shared" si="4"/>
        <v>35205369.480000019</v>
      </c>
      <c r="I35" s="69"/>
      <c r="J35" s="69"/>
      <c r="K35" s="69"/>
      <c r="L35" s="69"/>
      <c r="M35" s="69"/>
      <c r="N35" s="69"/>
      <c r="O35" s="69"/>
      <c r="P35" s="69"/>
      <c r="Q35" s="69"/>
      <c r="R35" s="74"/>
      <c r="T35" s="122" t="s">
        <v>33</v>
      </c>
      <c r="U35" s="122" t="s">
        <v>668</v>
      </c>
      <c r="V35" s="122" t="s">
        <v>663</v>
      </c>
      <c r="W35" s="122" t="s">
        <v>669</v>
      </c>
      <c r="X35" s="122" t="s">
        <v>664</v>
      </c>
      <c r="Y35" s="17" t="s">
        <v>82</v>
      </c>
    </row>
    <row r="36" spans="2:25" x14ac:dyDescent="0.5">
      <c r="B36" s="73"/>
      <c r="C36" s="3">
        <f t="shared" si="5"/>
        <v>2047</v>
      </c>
      <c r="D36" s="47">
        <f t="shared" si="0"/>
        <v>8569469.6699999999</v>
      </c>
      <c r="E36" s="47">
        <f t="shared" si="1"/>
        <v>26335534.409999967</v>
      </c>
      <c r="F36" s="47">
        <f t="shared" si="2"/>
        <v>54170.299999999814</v>
      </c>
      <c r="G36" s="47">
        <f t="shared" si="3"/>
        <v>694279.49000000209</v>
      </c>
      <c r="H36" s="47">
        <f t="shared" si="4"/>
        <v>35653453.870000005</v>
      </c>
      <c r="I36" s="69"/>
      <c r="J36" s="69"/>
      <c r="K36" s="69"/>
      <c r="L36" s="69"/>
      <c r="M36" s="69"/>
      <c r="N36" s="69"/>
      <c r="O36" s="69"/>
      <c r="P36" s="69"/>
      <c r="Q36" s="69"/>
      <c r="R36" s="74"/>
      <c r="T36" s="34">
        <v>2019</v>
      </c>
      <c r="U36" s="35">
        <v>8313623</v>
      </c>
      <c r="V36" s="35">
        <v>70091</v>
      </c>
      <c r="W36" s="35">
        <v>14272065</v>
      </c>
      <c r="X36" s="35">
        <v>351367</v>
      </c>
      <c r="Y36" s="44">
        <f>SUM(U36:X36)</f>
        <v>23007146</v>
      </c>
    </row>
    <row r="37" spans="2:25" x14ac:dyDescent="0.5">
      <c r="B37" s="73"/>
      <c r="C37" s="3">
        <f t="shared" si="5"/>
        <v>2048</v>
      </c>
      <c r="D37" s="47">
        <f t="shared" si="0"/>
        <v>8576141.3699999992</v>
      </c>
      <c r="E37" s="47">
        <f t="shared" si="1"/>
        <v>26768776.980000019</v>
      </c>
      <c r="F37" s="47">
        <f t="shared" si="2"/>
        <v>53394.35999999987</v>
      </c>
      <c r="G37" s="47">
        <f t="shared" si="3"/>
        <v>703225.55000000075</v>
      </c>
      <c r="H37" s="47">
        <f t="shared" si="4"/>
        <v>36101538.25999999</v>
      </c>
      <c r="I37" s="69"/>
      <c r="J37" s="69"/>
      <c r="K37" s="69"/>
      <c r="L37" s="69"/>
      <c r="M37" s="69"/>
      <c r="N37" s="69"/>
      <c r="O37" s="69"/>
      <c r="P37" s="69"/>
      <c r="Q37" s="69"/>
      <c r="R37" s="74"/>
      <c r="T37" s="34">
        <v>2018</v>
      </c>
      <c r="U37" s="35">
        <v>8037604</v>
      </c>
      <c r="V37" s="35">
        <v>69966</v>
      </c>
      <c r="W37" s="35">
        <v>13729589</v>
      </c>
      <c r="X37" s="35">
        <v>349082</v>
      </c>
      <c r="Y37" s="44">
        <f t="shared" ref="Y37:Y55" si="6">SUM(U37:X37)</f>
        <v>22186241</v>
      </c>
    </row>
    <row r="38" spans="2:25" x14ac:dyDescent="0.5">
      <c r="B38" s="73"/>
      <c r="C38" s="3">
        <f t="shared" si="5"/>
        <v>2049</v>
      </c>
      <c r="D38" s="47">
        <f t="shared" si="0"/>
        <v>8582813.0699999984</v>
      </c>
      <c r="E38" s="47">
        <f t="shared" si="1"/>
        <v>27202019.550000072</v>
      </c>
      <c r="F38" s="47">
        <f t="shared" si="2"/>
        <v>52618.419999999925</v>
      </c>
      <c r="G38" s="47">
        <f t="shared" si="3"/>
        <v>712171.6099999994</v>
      </c>
      <c r="H38" s="47">
        <f t="shared" si="4"/>
        <v>36549622.649999976</v>
      </c>
      <c r="I38" s="69"/>
      <c r="J38" s="69"/>
      <c r="K38" s="69"/>
      <c r="L38" s="69"/>
      <c r="M38" s="69"/>
      <c r="N38" s="69"/>
      <c r="O38" s="69"/>
      <c r="P38" s="69"/>
      <c r="Q38" s="69"/>
      <c r="R38" s="74"/>
      <c r="T38" s="34">
        <v>2017</v>
      </c>
      <c r="U38" s="35">
        <v>8176879</v>
      </c>
      <c r="V38" s="35">
        <v>67143</v>
      </c>
      <c r="W38" s="35">
        <v>13522053</v>
      </c>
      <c r="X38" s="35">
        <v>364690</v>
      </c>
      <c r="Y38" s="44">
        <f t="shared" si="6"/>
        <v>22130765</v>
      </c>
    </row>
    <row r="39" spans="2:25" x14ac:dyDescent="0.5">
      <c r="B39" s="73"/>
      <c r="C39" s="3">
        <f t="shared" si="5"/>
        <v>2050</v>
      </c>
      <c r="D39" s="47">
        <f t="shared" si="0"/>
        <v>8589484.7699999996</v>
      </c>
      <c r="E39" s="47">
        <f t="shared" si="1"/>
        <v>27635262.120000005</v>
      </c>
      <c r="F39" s="47">
        <f t="shared" si="2"/>
        <v>51842.479999999981</v>
      </c>
      <c r="G39" s="47">
        <f t="shared" si="3"/>
        <v>721117.67000000179</v>
      </c>
      <c r="H39" s="47">
        <f t="shared" si="4"/>
        <v>36997707.039999962</v>
      </c>
      <c r="I39" s="69"/>
      <c r="J39" s="69"/>
      <c r="K39" s="69"/>
      <c r="L39" s="69"/>
      <c r="M39" s="69"/>
      <c r="N39" s="69"/>
      <c r="O39" s="69"/>
      <c r="P39" s="69"/>
      <c r="Q39" s="69"/>
      <c r="R39" s="74"/>
      <c r="T39" s="34">
        <v>2016</v>
      </c>
      <c r="U39" s="35">
        <v>8287254</v>
      </c>
      <c r="V39" s="35">
        <v>66697</v>
      </c>
      <c r="W39" s="35">
        <v>13037296</v>
      </c>
      <c r="X39" s="35">
        <v>374919</v>
      </c>
      <c r="Y39" s="44">
        <f t="shared" si="6"/>
        <v>21766166</v>
      </c>
    </row>
    <row r="40" spans="2:25" ht="14.7" thickBot="1" x14ac:dyDescent="0.55000000000000004">
      <c r="B40" s="75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7"/>
      <c r="T40" s="34">
        <v>2015</v>
      </c>
      <c r="U40" s="35">
        <v>8451039</v>
      </c>
      <c r="V40" s="35">
        <v>66980</v>
      </c>
      <c r="W40" s="35">
        <v>12959673</v>
      </c>
      <c r="X40" s="35">
        <v>387149</v>
      </c>
      <c r="Y40" s="44">
        <f t="shared" si="6"/>
        <v>21864841</v>
      </c>
    </row>
    <row r="41" spans="2:25" x14ac:dyDescent="0.5">
      <c r="T41" s="34">
        <v>2014</v>
      </c>
      <c r="U41" s="35">
        <v>8140321</v>
      </c>
      <c r="V41" s="35">
        <v>101845</v>
      </c>
      <c r="W41" s="35">
        <v>12189465</v>
      </c>
      <c r="X41" s="35">
        <v>445395</v>
      </c>
      <c r="Y41" s="44">
        <f t="shared" si="6"/>
        <v>20877026</v>
      </c>
    </row>
    <row r="42" spans="2:25" x14ac:dyDescent="0.5">
      <c r="T42" s="34">
        <v>2013</v>
      </c>
      <c r="U42" s="35">
        <v>7954906</v>
      </c>
      <c r="V42" s="35">
        <v>99482</v>
      </c>
      <c r="W42" s="35">
        <v>11672891</v>
      </c>
      <c r="X42" s="35">
        <v>443856</v>
      </c>
      <c r="Y42" s="44">
        <f t="shared" si="6"/>
        <v>20171135</v>
      </c>
    </row>
    <row r="43" spans="2:25" x14ac:dyDescent="0.5">
      <c r="T43" s="34">
        <v>2012</v>
      </c>
      <c r="U43" s="35">
        <v>7821859</v>
      </c>
      <c r="V43" s="35">
        <v>97685</v>
      </c>
      <c r="W43" s="35">
        <v>11870179</v>
      </c>
      <c r="X43" s="35">
        <v>448399</v>
      </c>
      <c r="Y43" s="44">
        <f t="shared" si="6"/>
        <v>20238122</v>
      </c>
    </row>
    <row r="44" spans="2:25" x14ac:dyDescent="0.5">
      <c r="T44" s="34">
        <v>2011</v>
      </c>
      <c r="U44" s="35">
        <v>8964823</v>
      </c>
      <c r="V44" s="35">
        <v>53655</v>
      </c>
      <c r="W44" s="35">
        <v>10156094</v>
      </c>
      <c r="X44" s="35">
        <v>442483</v>
      </c>
      <c r="Y44" s="44">
        <f t="shared" si="6"/>
        <v>19617055</v>
      </c>
    </row>
    <row r="45" spans="2:25" x14ac:dyDescent="0.5">
      <c r="T45" s="34">
        <v>2010</v>
      </c>
      <c r="U45" s="35">
        <v>8331127</v>
      </c>
      <c r="V45" s="35">
        <v>96746</v>
      </c>
      <c r="W45" s="35">
        <v>8765686</v>
      </c>
      <c r="X45" s="35">
        <v>431505</v>
      </c>
      <c r="Y45" s="44">
        <f t="shared" si="6"/>
        <v>17625064</v>
      </c>
    </row>
    <row r="46" spans="2:25" x14ac:dyDescent="0.5">
      <c r="T46" s="34">
        <v>2009</v>
      </c>
      <c r="U46" s="35">
        <v>8830974</v>
      </c>
      <c r="V46" s="35">
        <v>92639</v>
      </c>
      <c r="W46" s="35">
        <v>9284557</v>
      </c>
      <c r="X46" s="35">
        <v>439145</v>
      </c>
      <c r="Y46" s="44">
        <f t="shared" si="6"/>
        <v>18647315</v>
      </c>
    </row>
    <row r="47" spans="2:25" x14ac:dyDescent="0.5">
      <c r="T47" s="34">
        <v>2008</v>
      </c>
      <c r="U47" s="35">
        <v>8830985</v>
      </c>
      <c r="V47" s="35">
        <v>92639</v>
      </c>
      <c r="W47" s="35">
        <v>9284324</v>
      </c>
      <c r="X47" s="35">
        <v>439145</v>
      </c>
      <c r="Y47" s="44">
        <f t="shared" si="6"/>
        <v>18647093</v>
      </c>
    </row>
    <row r="48" spans="2:25" x14ac:dyDescent="0.5">
      <c r="T48" s="34">
        <v>2007</v>
      </c>
      <c r="U48" s="35">
        <v>8800325</v>
      </c>
      <c r="V48" s="35">
        <v>92250</v>
      </c>
      <c r="W48" s="35">
        <v>9179573</v>
      </c>
      <c r="X48" s="35">
        <v>387915</v>
      </c>
      <c r="Y48" s="44">
        <f t="shared" si="6"/>
        <v>18460063</v>
      </c>
    </row>
    <row r="49" spans="20:25" x14ac:dyDescent="0.5">
      <c r="T49" s="34">
        <v>2006</v>
      </c>
      <c r="U49" s="35">
        <v>8805316</v>
      </c>
      <c r="V49" s="35">
        <v>90173</v>
      </c>
      <c r="W49" s="35">
        <v>8642899</v>
      </c>
      <c r="X49" s="35">
        <v>355878</v>
      </c>
      <c r="Y49" s="44">
        <f t="shared" si="6"/>
        <v>17894266</v>
      </c>
    </row>
    <row r="50" spans="20:25" x14ac:dyDescent="0.5">
      <c r="T50" s="34">
        <v>2005</v>
      </c>
      <c r="U50" s="35">
        <v>8911818</v>
      </c>
      <c r="V50" s="35">
        <v>89557</v>
      </c>
      <c r="W50" s="35">
        <v>8468172</v>
      </c>
      <c r="X50" s="35">
        <v>331213</v>
      </c>
      <c r="Y50" s="44">
        <f t="shared" si="6"/>
        <v>17800760</v>
      </c>
    </row>
    <row r="51" spans="20:25" x14ac:dyDescent="0.5">
      <c r="T51" s="34">
        <v>2004</v>
      </c>
      <c r="U51" s="35">
        <v>8735544</v>
      </c>
      <c r="V51" s="35">
        <v>86753</v>
      </c>
      <c r="W51" s="35">
        <v>8084417</v>
      </c>
      <c r="X51" s="35">
        <v>286992</v>
      </c>
      <c r="Y51" s="44">
        <f t="shared" si="6"/>
        <v>17193706</v>
      </c>
    </row>
    <row r="52" spans="20:25" x14ac:dyDescent="0.5">
      <c r="T52" s="34">
        <v>2003</v>
      </c>
      <c r="U52" s="35">
        <v>7841637</v>
      </c>
      <c r="V52" s="35">
        <v>84260</v>
      </c>
      <c r="W52" s="35">
        <v>6962883</v>
      </c>
      <c r="X52" s="35">
        <v>261553</v>
      </c>
      <c r="Y52" s="44">
        <f t="shared" si="6"/>
        <v>15150333</v>
      </c>
    </row>
    <row r="53" spans="20:25" x14ac:dyDescent="0.5">
      <c r="T53" s="34">
        <v>2002</v>
      </c>
      <c r="U53" s="35">
        <v>7808911</v>
      </c>
      <c r="V53" s="35">
        <v>81999</v>
      </c>
      <c r="W53" s="35">
        <v>6773418</v>
      </c>
      <c r="X53" s="35">
        <v>234922</v>
      </c>
      <c r="Y53" s="44">
        <f t="shared" si="6"/>
        <v>14899250</v>
      </c>
    </row>
    <row r="54" spans="20:25" x14ac:dyDescent="0.5">
      <c r="T54" s="34">
        <v>2001</v>
      </c>
      <c r="U54" s="36">
        <v>7724309</v>
      </c>
      <c r="V54" s="36">
        <v>79531</v>
      </c>
      <c r="W54" s="36">
        <v>6554917</v>
      </c>
      <c r="X54" s="35">
        <v>213299</v>
      </c>
      <c r="Y54" s="44">
        <f t="shared" si="6"/>
        <v>14572056</v>
      </c>
    </row>
    <row r="55" spans="20:25" x14ac:dyDescent="0.5">
      <c r="T55" s="34">
        <v>2000</v>
      </c>
      <c r="U55" s="36">
        <v>7616183</v>
      </c>
      <c r="V55" s="36">
        <v>85397</v>
      </c>
      <c r="W55" s="36">
        <v>6368516</v>
      </c>
      <c r="X55" s="35">
        <v>187174</v>
      </c>
      <c r="Y55" s="44">
        <f t="shared" si="6"/>
        <v>14257270</v>
      </c>
    </row>
    <row r="61" spans="20:25" x14ac:dyDescent="0.5">
      <c r="T61" t="s">
        <v>670</v>
      </c>
    </row>
    <row r="64" spans="20:25" x14ac:dyDescent="0.5">
      <c r="U64" s="43" t="s">
        <v>671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0680-3B46-4BEF-BC94-9F65BAE37DD1}">
  <dimension ref="B1:P60"/>
  <sheetViews>
    <sheetView topLeftCell="A19" zoomScale="85" zoomScaleNormal="85" workbookViewId="0">
      <selection activeCell="G11" sqref="G11"/>
    </sheetView>
  </sheetViews>
  <sheetFormatPr defaultRowHeight="14.35" x14ac:dyDescent="0.5"/>
  <cols>
    <col min="2" max="2" width="3.41015625" customWidth="1"/>
    <col min="4" max="4" width="17.703125" customWidth="1"/>
    <col min="5" max="5" width="11.703125" customWidth="1"/>
    <col min="6" max="6" width="6.1171875" customWidth="1"/>
    <col min="7" max="7" width="17.87890625" bestFit="1" customWidth="1"/>
    <col min="8" max="8" width="27.703125" customWidth="1"/>
    <col min="9" max="10" width="11.29296875" bestFit="1" customWidth="1"/>
    <col min="11" max="13" width="11.1171875" bestFit="1" customWidth="1"/>
  </cols>
  <sheetData>
    <row r="1" spans="2:13" ht="14.7" thickBot="1" x14ac:dyDescent="0.55000000000000004">
      <c r="H1" s="121" t="s">
        <v>84</v>
      </c>
      <c r="I1" s="121">
        <v>2016</v>
      </c>
      <c r="J1" s="121">
        <v>2017</v>
      </c>
      <c r="K1" s="121">
        <v>2018</v>
      </c>
      <c r="L1" s="121">
        <v>2019</v>
      </c>
      <c r="M1" s="121">
        <v>2020</v>
      </c>
    </row>
    <row r="2" spans="2:13" x14ac:dyDescent="0.5">
      <c r="B2" s="70"/>
      <c r="C2" s="71"/>
      <c r="D2" s="71"/>
      <c r="E2" s="71"/>
      <c r="F2" s="72"/>
      <c r="H2" s="5" t="s">
        <v>85</v>
      </c>
      <c r="I2" s="28">
        <v>199096</v>
      </c>
      <c r="J2" s="28">
        <v>217084</v>
      </c>
      <c r="K2" s="28">
        <v>233645</v>
      </c>
      <c r="L2" s="28">
        <v>225212</v>
      </c>
      <c r="M2" s="28">
        <v>201629</v>
      </c>
    </row>
    <row r="3" spans="2:13" x14ac:dyDescent="0.5">
      <c r="B3" s="73"/>
      <c r="C3" s="69" t="s">
        <v>39</v>
      </c>
      <c r="D3" s="69"/>
      <c r="E3" s="69" t="s">
        <v>672</v>
      </c>
      <c r="F3" s="74"/>
      <c r="H3" s="5" t="s">
        <v>86</v>
      </c>
      <c r="I3" s="28">
        <v>8397</v>
      </c>
      <c r="J3" s="28">
        <v>11724</v>
      </c>
      <c r="K3" s="28">
        <v>18990</v>
      </c>
      <c r="L3" s="28">
        <v>29540</v>
      </c>
      <c r="M3" s="28">
        <v>36418</v>
      </c>
    </row>
    <row r="4" spans="2:13" x14ac:dyDescent="0.5">
      <c r="B4" s="73"/>
      <c r="C4" s="69"/>
      <c r="D4" s="69"/>
      <c r="E4" s="69"/>
      <c r="F4" s="74"/>
      <c r="H4" s="5" t="s">
        <v>87</v>
      </c>
      <c r="I4" s="28">
        <v>3889</v>
      </c>
      <c r="J4" s="28">
        <v>3901</v>
      </c>
      <c r="K4" s="28">
        <v>3063</v>
      </c>
      <c r="L4" s="28">
        <v>3284</v>
      </c>
      <c r="M4" s="28">
        <v>2836</v>
      </c>
    </row>
    <row r="5" spans="2:13" x14ac:dyDescent="0.5">
      <c r="B5" s="73"/>
      <c r="C5" s="69" t="s">
        <v>42</v>
      </c>
      <c r="D5" s="69"/>
      <c r="E5" s="69"/>
      <c r="F5" s="74"/>
      <c r="H5" s="5" t="s">
        <v>88</v>
      </c>
      <c r="I5" s="28">
        <v>1038</v>
      </c>
      <c r="J5" s="28">
        <v>1276</v>
      </c>
      <c r="K5" s="28">
        <v>1310</v>
      </c>
      <c r="L5" s="28">
        <v>1517</v>
      </c>
      <c r="M5" s="28">
        <v>1451</v>
      </c>
    </row>
    <row r="6" spans="2:13" x14ac:dyDescent="0.5">
      <c r="B6" s="73"/>
      <c r="C6" s="69"/>
      <c r="D6" s="69"/>
      <c r="E6" s="69"/>
      <c r="F6" s="74"/>
      <c r="H6" s="5" t="s">
        <v>89</v>
      </c>
      <c r="I6" s="5" t="s">
        <v>90</v>
      </c>
      <c r="J6" s="5" t="s">
        <v>90</v>
      </c>
      <c r="K6" s="5">
        <v>54</v>
      </c>
      <c r="L6" s="5">
        <v>238</v>
      </c>
      <c r="M6" s="5">
        <v>200</v>
      </c>
    </row>
    <row r="7" spans="2:13" ht="43" x14ac:dyDescent="0.5">
      <c r="B7" s="73"/>
      <c r="C7" s="3" t="s">
        <v>33</v>
      </c>
      <c r="D7" s="14" t="s">
        <v>673</v>
      </c>
      <c r="E7" s="14" t="s">
        <v>674</v>
      </c>
      <c r="F7" s="74"/>
      <c r="H7" s="5" t="s">
        <v>91</v>
      </c>
      <c r="I7" s="5" t="s">
        <v>90</v>
      </c>
      <c r="J7" s="5" t="s">
        <v>90</v>
      </c>
      <c r="K7" s="5">
        <v>4</v>
      </c>
      <c r="L7" s="5">
        <v>3</v>
      </c>
      <c r="M7" s="5">
        <v>3</v>
      </c>
    </row>
    <row r="8" spans="2:13" x14ac:dyDescent="0.5">
      <c r="B8" s="73"/>
      <c r="C8" s="3">
        <v>2016</v>
      </c>
      <c r="D8" s="47">
        <f>I2</f>
        <v>199096</v>
      </c>
      <c r="E8" s="3"/>
      <c r="F8" s="74"/>
      <c r="H8" s="5" t="s">
        <v>92</v>
      </c>
      <c r="I8" s="5" t="s">
        <v>90</v>
      </c>
      <c r="J8" s="5" t="s">
        <v>90</v>
      </c>
      <c r="K8" s="5">
        <v>4</v>
      </c>
      <c r="L8" s="5">
        <v>6</v>
      </c>
      <c r="M8" s="5">
        <v>4</v>
      </c>
    </row>
    <row r="9" spans="2:13" x14ac:dyDescent="0.5">
      <c r="B9" s="73"/>
      <c r="C9" s="3">
        <v>2017</v>
      </c>
      <c r="D9" s="47">
        <f>J2</f>
        <v>217084</v>
      </c>
      <c r="E9" s="47">
        <f>D9-D8</f>
        <v>17988</v>
      </c>
      <c r="F9" s="74"/>
      <c r="H9" s="30" t="s">
        <v>93</v>
      </c>
      <c r="I9" s="31">
        <v>212420</v>
      </c>
      <c r="J9" s="31">
        <v>233985</v>
      </c>
      <c r="K9" s="31">
        <v>257070</v>
      </c>
      <c r="L9" s="31">
        <v>259800</v>
      </c>
      <c r="M9" s="31">
        <v>242541</v>
      </c>
    </row>
    <row r="10" spans="2:13" x14ac:dyDescent="0.5">
      <c r="B10" s="73"/>
      <c r="C10" s="3">
        <v>2018</v>
      </c>
      <c r="D10" s="47">
        <f>K2</f>
        <v>233645</v>
      </c>
      <c r="E10" s="47">
        <f t="shared" ref="E10:E11" si="0">D10-D9</f>
        <v>16561</v>
      </c>
      <c r="F10" s="74"/>
      <c r="H10" s="5"/>
      <c r="I10" s="28"/>
      <c r="J10" s="38"/>
      <c r="K10" s="38"/>
      <c r="L10" s="38"/>
      <c r="M10" s="38"/>
    </row>
    <row r="11" spans="2:13" x14ac:dyDescent="0.5">
      <c r="B11" s="73"/>
      <c r="C11" s="3">
        <v>2019</v>
      </c>
      <c r="D11" s="47">
        <f>L2</f>
        <v>225212</v>
      </c>
      <c r="E11" s="47">
        <f t="shared" si="0"/>
        <v>-8433</v>
      </c>
      <c r="F11" s="74"/>
      <c r="H11" s="5" t="s">
        <v>94</v>
      </c>
      <c r="I11" s="28">
        <v>16622760</v>
      </c>
      <c r="J11" s="28">
        <v>17237827</v>
      </c>
      <c r="K11" s="28">
        <v>17510554</v>
      </c>
      <c r="L11" s="28">
        <v>16845463</v>
      </c>
      <c r="M11" s="28">
        <v>15024613</v>
      </c>
    </row>
    <row r="12" spans="2:13" x14ac:dyDescent="0.5">
      <c r="B12" s="73"/>
      <c r="C12" s="3">
        <v>2020</v>
      </c>
      <c r="D12" s="47">
        <f>M2</f>
        <v>201629</v>
      </c>
      <c r="E12" s="81">
        <f t="shared" ref="E12:E42" si="1">J30</f>
        <v>16742.458176</v>
      </c>
      <c r="F12" s="74"/>
      <c r="H12" s="5" t="s">
        <v>95</v>
      </c>
      <c r="I12" s="28">
        <v>2127669</v>
      </c>
      <c r="J12" s="28">
        <v>2215878</v>
      </c>
      <c r="K12" s="28">
        <v>2231880</v>
      </c>
      <c r="L12" s="28">
        <v>2168253</v>
      </c>
      <c r="M12" s="28">
        <v>1945689</v>
      </c>
    </row>
    <row r="13" spans="2:13" x14ac:dyDescent="0.5">
      <c r="B13" s="73"/>
      <c r="C13" s="3">
        <v>2021</v>
      </c>
      <c r="D13" s="47">
        <f>D12+E13</f>
        <v>221716.787048</v>
      </c>
      <c r="E13" s="81">
        <f t="shared" si="1"/>
        <v>20087.787047999998</v>
      </c>
      <c r="F13" s="74"/>
      <c r="H13" s="5" t="s">
        <v>96</v>
      </c>
      <c r="I13" s="28">
        <v>1327585</v>
      </c>
      <c r="J13" s="28">
        <v>1369414</v>
      </c>
      <c r="K13" s="28">
        <v>1258596</v>
      </c>
      <c r="L13" s="28">
        <v>1276164</v>
      </c>
      <c r="M13" s="28">
        <v>1188617</v>
      </c>
    </row>
    <row r="14" spans="2:13" x14ac:dyDescent="0.5">
      <c r="B14" s="73"/>
      <c r="C14" s="3">
        <v>2022</v>
      </c>
      <c r="D14" s="47">
        <f t="shared" ref="D14:D42" si="2">D13+E14</f>
        <v>243335.89032800001</v>
      </c>
      <c r="E14" s="81">
        <f t="shared" si="1"/>
        <v>21619.103279999999</v>
      </c>
      <c r="F14" s="74"/>
      <c r="H14" s="5" t="s">
        <v>97</v>
      </c>
      <c r="I14" s="28">
        <v>6549</v>
      </c>
      <c r="J14" s="28">
        <v>5756</v>
      </c>
      <c r="K14" s="28">
        <v>4473</v>
      </c>
      <c r="L14" s="28">
        <v>3830</v>
      </c>
      <c r="M14" s="28">
        <v>2926</v>
      </c>
    </row>
    <row r="15" spans="2:13" x14ac:dyDescent="0.5">
      <c r="B15" s="73"/>
      <c r="C15" s="3">
        <v>2023</v>
      </c>
      <c r="D15" s="47">
        <f t="shared" si="2"/>
        <v>265620.98765600001</v>
      </c>
      <c r="E15" s="81">
        <f t="shared" si="1"/>
        <v>22285.097328</v>
      </c>
      <c r="F15" s="74"/>
      <c r="H15" s="5" t="s">
        <v>98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</row>
    <row r="16" spans="2:13" x14ac:dyDescent="0.5">
      <c r="B16" s="73"/>
      <c r="C16" s="3">
        <v>2024</v>
      </c>
      <c r="D16" s="47">
        <f t="shared" si="2"/>
        <v>288962.90600000002</v>
      </c>
      <c r="E16" s="81">
        <f t="shared" si="1"/>
        <v>23341.918343999998</v>
      </c>
      <c r="F16" s="74"/>
      <c r="H16" s="5" t="s">
        <v>99</v>
      </c>
      <c r="I16" s="5">
        <v>555</v>
      </c>
      <c r="J16" s="5">
        <v>715</v>
      </c>
      <c r="K16" s="28">
        <v>336527</v>
      </c>
      <c r="L16" s="28">
        <v>336527</v>
      </c>
      <c r="M16" s="28">
        <v>336527</v>
      </c>
    </row>
    <row r="17" spans="2:16" x14ac:dyDescent="0.5">
      <c r="B17" s="73"/>
      <c r="C17" s="3">
        <v>2025</v>
      </c>
      <c r="D17" s="47">
        <f t="shared" si="2"/>
        <v>313447.71341600001</v>
      </c>
      <c r="E17" s="81">
        <f t="shared" si="1"/>
        <v>24484.807416</v>
      </c>
      <c r="F17" s="74"/>
      <c r="H17" s="5" t="s">
        <v>100</v>
      </c>
      <c r="I17" s="28">
        <v>3734699</v>
      </c>
      <c r="J17" s="28">
        <v>3084014</v>
      </c>
      <c r="K17" s="28">
        <v>3012625</v>
      </c>
      <c r="L17" s="28">
        <v>4214381</v>
      </c>
      <c r="M17" s="28">
        <v>5319377</v>
      </c>
    </row>
    <row r="18" spans="2:16" x14ac:dyDescent="0.5">
      <c r="B18" s="73"/>
      <c r="C18" s="3">
        <v>2026</v>
      </c>
      <c r="D18" s="47">
        <f t="shared" si="2"/>
        <v>342520.998272</v>
      </c>
      <c r="E18" s="81">
        <f t="shared" si="1"/>
        <v>29073.284855999995</v>
      </c>
      <c r="F18" s="74"/>
      <c r="H18" s="30" t="s">
        <v>101</v>
      </c>
      <c r="I18" s="31">
        <v>23819817</v>
      </c>
      <c r="J18" s="31">
        <v>23913604</v>
      </c>
      <c r="K18" s="31">
        <v>24354655</v>
      </c>
      <c r="L18" s="31">
        <v>24837799</v>
      </c>
      <c r="M18" s="31">
        <v>23772268</v>
      </c>
    </row>
    <row r="19" spans="2:16" x14ac:dyDescent="0.5">
      <c r="B19" s="73"/>
      <c r="C19" s="3">
        <v>2027</v>
      </c>
      <c r="D19" s="47">
        <f t="shared" si="2"/>
        <v>373602.70109599998</v>
      </c>
      <c r="E19" s="81">
        <f t="shared" si="1"/>
        <v>31081.702823999996</v>
      </c>
      <c r="F19" s="74"/>
      <c r="H19" s="5"/>
      <c r="I19" s="28"/>
      <c r="J19" s="38">
        <f>(J18-I18)/I18</f>
        <v>3.9373518276819676E-3</v>
      </c>
      <c r="K19" s="38">
        <f>(K18-J18)/J18</f>
        <v>1.8443518593015087E-2</v>
      </c>
      <c r="L19" s="38">
        <f>(L18-K18)/K18</f>
        <v>1.9837850300076103E-2</v>
      </c>
      <c r="M19" s="38">
        <f>(M18-L18)/L18</f>
        <v>-4.2899574153088205E-2</v>
      </c>
    </row>
    <row r="20" spans="2:16" x14ac:dyDescent="0.5">
      <c r="B20" s="73"/>
      <c r="C20" s="3">
        <v>2028</v>
      </c>
      <c r="D20" s="47">
        <f t="shared" si="2"/>
        <v>405850.48510399996</v>
      </c>
      <c r="E20" s="81">
        <f t="shared" si="1"/>
        <v>32247.784007999995</v>
      </c>
      <c r="F20" s="74"/>
      <c r="H20" s="121" t="s">
        <v>102</v>
      </c>
      <c r="I20" s="29">
        <v>24032237</v>
      </c>
      <c r="J20" s="29">
        <v>24147589</v>
      </c>
      <c r="K20" s="29">
        <v>24611725</v>
      </c>
      <c r="L20" s="29">
        <v>25097599</v>
      </c>
      <c r="M20" s="29">
        <v>24018809</v>
      </c>
    </row>
    <row r="21" spans="2:16" x14ac:dyDescent="0.5">
      <c r="B21" s="73"/>
      <c r="C21" s="3">
        <v>2029</v>
      </c>
      <c r="D21" s="47">
        <f t="shared" si="2"/>
        <v>439027.04631199996</v>
      </c>
      <c r="E21" s="81">
        <f t="shared" si="1"/>
        <v>33176.561207999999</v>
      </c>
      <c r="F21" s="74"/>
    </row>
    <row r="22" spans="2:16" x14ac:dyDescent="0.5">
      <c r="B22" s="73"/>
      <c r="C22" s="3">
        <v>2030</v>
      </c>
      <c r="D22" s="47">
        <f t="shared" si="2"/>
        <v>473310.27675199998</v>
      </c>
      <c r="E22" s="81">
        <f t="shared" si="1"/>
        <v>34283.230439999999</v>
      </c>
      <c r="F22" s="74"/>
      <c r="P22" s="2" t="s">
        <v>675</v>
      </c>
    </row>
    <row r="23" spans="2:16" x14ac:dyDescent="0.5">
      <c r="B23" s="73"/>
      <c r="C23" s="3">
        <v>2031</v>
      </c>
      <c r="D23" s="47">
        <f t="shared" si="2"/>
        <v>508830.71609599999</v>
      </c>
      <c r="E23" s="81">
        <f t="shared" si="1"/>
        <v>35520.439343999999</v>
      </c>
      <c r="F23" s="74"/>
    </row>
    <row r="24" spans="2:16" x14ac:dyDescent="0.5">
      <c r="B24" s="73"/>
      <c r="C24" s="3">
        <v>2032</v>
      </c>
      <c r="D24" s="47">
        <f t="shared" si="2"/>
        <v>545521.26716000005</v>
      </c>
      <c r="E24" s="81">
        <f t="shared" si="1"/>
        <v>36690.551063999999</v>
      </c>
      <c r="F24" s="74"/>
    </row>
    <row r="25" spans="2:16" x14ac:dyDescent="0.5">
      <c r="B25" s="73"/>
      <c r="C25" s="3">
        <v>2033</v>
      </c>
      <c r="D25" s="47">
        <f t="shared" si="2"/>
        <v>583427.59032800002</v>
      </c>
      <c r="E25" s="81">
        <f t="shared" si="1"/>
        <v>37906.323167999995</v>
      </c>
      <c r="F25" s="74"/>
      <c r="H25" s="2" t="s">
        <v>676</v>
      </c>
    </row>
    <row r="26" spans="2:16" x14ac:dyDescent="0.5">
      <c r="B26" s="73"/>
      <c r="C26" s="3">
        <v>2034</v>
      </c>
      <c r="D26" s="47">
        <f t="shared" si="2"/>
        <v>622584.29141599999</v>
      </c>
      <c r="E26" s="81">
        <f t="shared" si="1"/>
        <v>39156.701087999994</v>
      </c>
      <c r="F26" s="74"/>
      <c r="H26" t="s">
        <v>677</v>
      </c>
    </row>
    <row r="27" spans="2:16" x14ac:dyDescent="0.5">
      <c r="B27" s="73"/>
      <c r="C27" s="3">
        <v>2035</v>
      </c>
      <c r="D27" s="47">
        <f t="shared" si="2"/>
        <v>662691.09514400002</v>
      </c>
      <c r="E27" s="81">
        <f t="shared" si="1"/>
        <v>40106.803727999999</v>
      </c>
      <c r="F27" s="74"/>
      <c r="H27" t="s">
        <v>678</v>
      </c>
    </row>
    <row r="28" spans="2:16" x14ac:dyDescent="0.5">
      <c r="B28" s="73"/>
      <c r="C28" s="3">
        <v>2036</v>
      </c>
      <c r="D28" s="47">
        <f t="shared" si="2"/>
        <v>703616.88485600008</v>
      </c>
      <c r="E28" s="81">
        <f t="shared" si="1"/>
        <v>40925.789711999998</v>
      </c>
      <c r="F28" s="74"/>
      <c r="H28" t="s">
        <v>108</v>
      </c>
    </row>
    <row r="29" spans="2:16" x14ac:dyDescent="0.5">
      <c r="B29" s="73"/>
      <c r="C29" s="3">
        <v>2037</v>
      </c>
      <c r="D29" s="47">
        <f t="shared" si="2"/>
        <v>745456.58868800011</v>
      </c>
      <c r="E29" s="81">
        <f t="shared" si="1"/>
        <v>41839.703831999999</v>
      </c>
      <c r="F29" s="74"/>
      <c r="H29" s="7" t="s">
        <v>33</v>
      </c>
      <c r="I29" s="7" t="s">
        <v>679</v>
      </c>
      <c r="J29" s="7" t="s">
        <v>680</v>
      </c>
    </row>
    <row r="30" spans="2:16" x14ac:dyDescent="0.5">
      <c r="B30" s="73"/>
      <c r="C30" s="3">
        <v>2038</v>
      </c>
      <c r="D30" s="47">
        <f t="shared" si="2"/>
        <v>788286.91349600011</v>
      </c>
      <c r="E30" s="81">
        <f t="shared" si="1"/>
        <v>42830.324807999998</v>
      </c>
      <c r="F30" s="74"/>
      <c r="H30" s="3">
        <v>2020</v>
      </c>
      <c r="I30" s="3">
        <v>24.055256</v>
      </c>
      <c r="J30" s="3">
        <f t="shared" ref="J30:J60" si="3">I30*1000*0.696</f>
        <v>16742.458176</v>
      </c>
    </row>
    <row r="31" spans="2:16" x14ac:dyDescent="0.5">
      <c r="B31" s="73"/>
      <c r="C31" s="3">
        <v>2039</v>
      </c>
      <c r="D31" s="47">
        <f t="shared" si="2"/>
        <v>831920.29145600006</v>
      </c>
      <c r="E31" s="81">
        <f t="shared" si="1"/>
        <v>43633.377959999991</v>
      </c>
      <c r="F31" s="74"/>
      <c r="H31" s="3">
        <v>2021</v>
      </c>
      <c r="I31" s="3">
        <v>28.861763</v>
      </c>
      <c r="J31" s="3">
        <f t="shared" si="3"/>
        <v>20087.787047999998</v>
      </c>
    </row>
    <row r="32" spans="2:16" x14ac:dyDescent="0.5">
      <c r="B32" s="73"/>
      <c r="C32" s="3">
        <v>2040</v>
      </c>
      <c r="D32" s="47">
        <f t="shared" si="2"/>
        <v>876413.43404000008</v>
      </c>
      <c r="E32" s="81">
        <f t="shared" si="1"/>
        <v>44493.142584000001</v>
      </c>
      <c r="F32" s="74"/>
      <c r="H32" s="3">
        <v>2022</v>
      </c>
      <c r="I32" s="3">
        <v>31.06193</v>
      </c>
      <c r="J32" s="3">
        <f t="shared" si="3"/>
        <v>21619.103279999999</v>
      </c>
    </row>
    <row r="33" spans="2:10" x14ac:dyDescent="0.5">
      <c r="B33" s="73"/>
      <c r="C33" s="3">
        <v>2041</v>
      </c>
      <c r="D33" s="47">
        <f t="shared" si="2"/>
        <v>921875.65988000005</v>
      </c>
      <c r="E33" s="81">
        <f t="shared" si="1"/>
        <v>45462.225839999992</v>
      </c>
      <c r="F33" s="74"/>
      <c r="H33" s="3">
        <v>2023</v>
      </c>
      <c r="I33" s="3">
        <v>32.018818000000003</v>
      </c>
      <c r="J33" s="3">
        <f t="shared" si="3"/>
        <v>22285.097328</v>
      </c>
    </row>
    <row r="34" spans="2:10" x14ac:dyDescent="0.5">
      <c r="B34" s="73"/>
      <c r="C34" s="3">
        <v>2042</v>
      </c>
      <c r="D34" s="47">
        <f t="shared" si="2"/>
        <v>968433.66951200005</v>
      </c>
      <c r="E34" s="81">
        <f t="shared" si="1"/>
        <v>46558.009631999994</v>
      </c>
      <c r="F34" s="74"/>
      <c r="H34" s="3">
        <v>2024</v>
      </c>
      <c r="I34" s="3">
        <v>33.537239</v>
      </c>
      <c r="J34" s="3">
        <f t="shared" si="3"/>
        <v>23341.918343999998</v>
      </c>
    </row>
    <row r="35" spans="2:10" x14ac:dyDescent="0.5">
      <c r="B35" s="73"/>
      <c r="C35" s="3">
        <v>2043</v>
      </c>
      <c r="D35" s="47">
        <f t="shared" si="2"/>
        <v>1015750.2690320001</v>
      </c>
      <c r="E35" s="81">
        <f t="shared" si="1"/>
        <v>47316.599519999996</v>
      </c>
      <c r="F35" s="74"/>
      <c r="H35" s="3">
        <v>2025</v>
      </c>
      <c r="I35" s="3">
        <v>35.179321000000002</v>
      </c>
      <c r="J35" s="3">
        <f t="shared" si="3"/>
        <v>24484.807416</v>
      </c>
    </row>
    <row r="36" spans="2:10" x14ac:dyDescent="0.5">
      <c r="B36" s="73"/>
      <c r="C36" s="3">
        <v>2044</v>
      </c>
      <c r="D36" s="47">
        <f t="shared" si="2"/>
        <v>1064031.8231360002</v>
      </c>
      <c r="E36" s="81">
        <f t="shared" si="1"/>
        <v>48281.554103999995</v>
      </c>
      <c r="F36" s="74"/>
      <c r="H36" s="3">
        <v>2026</v>
      </c>
      <c r="I36" s="3">
        <v>41.771960999999997</v>
      </c>
      <c r="J36" s="3">
        <f t="shared" si="3"/>
        <v>29073.284855999995</v>
      </c>
    </row>
    <row r="37" spans="2:10" x14ac:dyDescent="0.5">
      <c r="B37" s="73"/>
      <c r="C37" s="3">
        <v>2045</v>
      </c>
      <c r="D37" s="47">
        <f t="shared" si="2"/>
        <v>1113661.3775120003</v>
      </c>
      <c r="E37" s="81">
        <f t="shared" si="1"/>
        <v>49629.554376</v>
      </c>
      <c r="F37" s="74"/>
      <c r="H37" s="3">
        <v>2027</v>
      </c>
      <c r="I37" s="3">
        <v>44.657618999999997</v>
      </c>
      <c r="J37" s="3">
        <f t="shared" si="3"/>
        <v>31081.702823999996</v>
      </c>
    </row>
    <row r="38" spans="2:10" x14ac:dyDescent="0.5">
      <c r="B38" s="73"/>
      <c r="C38" s="3">
        <v>2046</v>
      </c>
      <c r="D38" s="47">
        <f t="shared" si="2"/>
        <v>1164476.1370640004</v>
      </c>
      <c r="E38" s="81">
        <f t="shared" si="1"/>
        <v>50814.759551999996</v>
      </c>
      <c r="F38" s="74"/>
      <c r="H38" s="3">
        <v>2028</v>
      </c>
      <c r="I38" s="3">
        <v>46.333022999999997</v>
      </c>
      <c r="J38" s="3">
        <f t="shared" si="3"/>
        <v>32247.784007999995</v>
      </c>
    </row>
    <row r="39" spans="2:10" x14ac:dyDescent="0.5">
      <c r="B39" s="73"/>
      <c r="C39" s="3">
        <v>2047</v>
      </c>
      <c r="D39" s="47">
        <f t="shared" si="2"/>
        <v>1216333.1656640004</v>
      </c>
      <c r="E39" s="81">
        <f t="shared" si="1"/>
        <v>51857.028599999998</v>
      </c>
      <c r="F39" s="74"/>
      <c r="H39" s="3">
        <v>2029</v>
      </c>
      <c r="I39" s="3">
        <v>47.667473000000001</v>
      </c>
      <c r="J39" s="3">
        <f t="shared" si="3"/>
        <v>33176.561207999999</v>
      </c>
    </row>
    <row r="40" spans="2:10" x14ac:dyDescent="0.5">
      <c r="B40" s="73"/>
      <c r="C40" s="3">
        <v>2048</v>
      </c>
      <c r="D40" s="47">
        <f t="shared" si="2"/>
        <v>1269279.8128880004</v>
      </c>
      <c r="E40" s="81">
        <f t="shared" si="1"/>
        <v>52946.647223999993</v>
      </c>
      <c r="F40" s="74"/>
      <c r="H40" s="3">
        <v>2030</v>
      </c>
      <c r="I40" s="3">
        <v>49.257514999999998</v>
      </c>
      <c r="J40" s="3">
        <f t="shared" si="3"/>
        <v>34283.230439999999</v>
      </c>
    </row>
    <row r="41" spans="2:10" x14ac:dyDescent="0.5">
      <c r="B41" s="73"/>
      <c r="C41" s="3">
        <v>2049</v>
      </c>
      <c r="D41" s="47">
        <f t="shared" si="2"/>
        <v>1323033.6795200005</v>
      </c>
      <c r="E41" s="81">
        <f t="shared" si="1"/>
        <v>53753.866632000005</v>
      </c>
      <c r="F41" s="74"/>
      <c r="H41" s="3">
        <v>2031</v>
      </c>
      <c r="I41" s="3">
        <v>51.035114</v>
      </c>
      <c r="J41" s="3">
        <f t="shared" si="3"/>
        <v>35520.439343999999</v>
      </c>
    </row>
    <row r="42" spans="2:10" x14ac:dyDescent="0.5">
      <c r="B42" s="73"/>
      <c r="C42" s="3">
        <v>2050</v>
      </c>
      <c r="D42" s="47">
        <f t="shared" si="2"/>
        <v>1377596.2522160006</v>
      </c>
      <c r="E42" s="81">
        <f t="shared" si="1"/>
        <v>54562.572695999996</v>
      </c>
      <c r="F42" s="74"/>
      <c r="H42" s="3">
        <v>2032</v>
      </c>
      <c r="I42" s="3">
        <v>52.716309000000003</v>
      </c>
      <c r="J42" s="3">
        <f t="shared" si="3"/>
        <v>36690.551063999999</v>
      </c>
    </row>
    <row r="43" spans="2:10" ht="14.7" thickBot="1" x14ac:dyDescent="0.55000000000000004">
      <c r="B43" s="75"/>
      <c r="C43" s="76"/>
      <c r="D43" s="76"/>
      <c r="E43" s="76"/>
      <c r="F43" s="77"/>
      <c r="H43" s="3">
        <v>2033</v>
      </c>
      <c r="I43" s="3">
        <v>54.463107999999998</v>
      </c>
      <c r="J43" s="3">
        <f t="shared" si="3"/>
        <v>37906.323167999995</v>
      </c>
    </row>
    <row r="44" spans="2:10" x14ac:dyDescent="0.5">
      <c r="H44" s="3">
        <v>2034</v>
      </c>
      <c r="I44" s="3">
        <v>56.259627999999999</v>
      </c>
      <c r="J44" s="3">
        <f t="shared" si="3"/>
        <v>39156.701087999994</v>
      </c>
    </row>
    <row r="45" spans="2:10" x14ac:dyDescent="0.5">
      <c r="H45" s="3">
        <v>2035</v>
      </c>
      <c r="I45" s="3">
        <v>57.624718000000001</v>
      </c>
      <c r="J45" s="3">
        <f t="shared" si="3"/>
        <v>40106.803727999999</v>
      </c>
    </row>
    <row r="46" spans="2:10" x14ac:dyDescent="0.5">
      <c r="H46" s="3">
        <v>2036</v>
      </c>
      <c r="I46" s="3">
        <v>58.801422000000002</v>
      </c>
      <c r="J46" s="3">
        <f t="shared" si="3"/>
        <v>40925.789711999998</v>
      </c>
    </row>
    <row r="47" spans="2:10" x14ac:dyDescent="0.5">
      <c r="H47" s="3">
        <v>2037</v>
      </c>
      <c r="I47" s="3">
        <v>60.114516999999999</v>
      </c>
      <c r="J47" s="3">
        <f t="shared" si="3"/>
        <v>41839.703831999999</v>
      </c>
    </row>
    <row r="48" spans="2:10" x14ac:dyDescent="0.5">
      <c r="H48" s="3">
        <v>2038</v>
      </c>
      <c r="I48" s="3">
        <v>61.537823000000003</v>
      </c>
      <c r="J48" s="3">
        <f t="shared" si="3"/>
        <v>42830.324807999998</v>
      </c>
    </row>
    <row r="49" spans="8:10" x14ac:dyDescent="0.5">
      <c r="H49" s="3">
        <v>2039</v>
      </c>
      <c r="I49" s="3">
        <v>62.691634999999998</v>
      </c>
      <c r="J49" s="3">
        <f t="shared" si="3"/>
        <v>43633.377959999991</v>
      </c>
    </row>
    <row r="50" spans="8:10" x14ac:dyDescent="0.5">
      <c r="H50" s="3">
        <v>2040</v>
      </c>
      <c r="I50" s="3">
        <v>63.926929000000001</v>
      </c>
      <c r="J50" s="3">
        <f t="shared" si="3"/>
        <v>44493.142584000001</v>
      </c>
    </row>
    <row r="51" spans="8:10" x14ac:dyDescent="0.5">
      <c r="H51" s="3">
        <v>2041</v>
      </c>
      <c r="I51" s="3">
        <v>65.319289999999995</v>
      </c>
      <c r="J51" s="3">
        <f t="shared" si="3"/>
        <v>45462.225839999992</v>
      </c>
    </row>
    <row r="52" spans="8:10" x14ac:dyDescent="0.5">
      <c r="H52" s="3">
        <v>2042</v>
      </c>
      <c r="I52" s="3">
        <v>66.893692000000001</v>
      </c>
      <c r="J52" s="3">
        <f t="shared" si="3"/>
        <v>46558.009631999994</v>
      </c>
    </row>
    <row r="53" spans="8:10" x14ac:dyDescent="0.5">
      <c r="H53" s="3">
        <v>2043</v>
      </c>
      <c r="I53" s="3">
        <v>67.983620000000002</v>
      </c>
      <c r="J53" s="3">
        <f t="shared" si="3"/>
        <v>47316.599519999996</v>
      </c>
    </row>
    <row r="54" spans="8:10" x14ac:dyDescent="0.5">
      <c r="H54" s="3">
        <v>2044</v>
      </c>
      <c r="I54" s="3">
        <v>69.370048999999995</v>
      </c>
      <c r="J54" s="3">
        <f t="shared" si="3"/>
        <v>48281.554103999995</v>
      </c>
    </row>
    <row r="55" spans="8:10" x14ac:dyDescent="0.5">
      <c r="H55" s="3">
        <v>2045</v>
      </c>
      <c r="I55" s="3">
        <v>71.306831000000003</v>
      </c>
      <c r="J55" s="3">
        <f t="shared" si="3"/>
        <v>49629.554376</v>
      </c>
    </row>
    <row r="56" spans="8:10" x14ac:dyDescent="0.5">
      <c r="H56" s="3">
        <v>2046</v>
      </c>
      <c r="I56" s="3">
        <v>73.009711999999993</v>
      </c>
      <c r="J56" s="3">
        <f t="shared" si="3"/>
        <v>50814.759551999996</v>
      </c>
    </row>
    <row r="57" spans="8:10" x14ac:dyDescent="0.5">
      <c r="H57" s="3">
        <v>2047</v>
      </c>
      <c r="I57" s="3">
        <v>74.507225000000005</v>
      </c>
      <c r="J57" s="3">
        <f t="shared" si="3"/>
        <v>51857.028599999998</v>
      </c>
    </row>
    <row r="58" spans="8:10" x14ac:dyDescent="0.5">
      <c r="H58" s="3">
        <v>2048</v>
      </c>
      <c r="I58" s="3">
        <v>76.072768999999994</v>
      </c>
      <c r="J58" s="3">
        <f t="shared" si="3"/>
        <v>52946.647223999993</v>
      </c>
    </row>
    <row r="59" spans="8:10" x14ac:dyDescent="0.5">
      <c r="H59" s="3">
        <v>2049</v>
      </c>
      <c r="I59" s="3">
        <v>77.232567000000003</v>
      </c>
      <c r="J59" s="3">
        <f t="shared" si="3"/>
        <v>53753.866632000005</v>
      </c>
    </row>
    <row r="60" spans="8:10" x14ac:dyDescent="0.5">
      <c r="H60" s="3">
        <v>2050</v>
      </c>
      <c r="I60" s="3">
        <v>78.394501000000005</v>
      </c>
      <c r="J60" s="3">
        <f t="shared" si="3"/>
        <v>54562.572695999996</v>
      </c>
    </row>
  </sheetData>
  <sortState ref="H30:J60">
    <sortCondition ref="H2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94AA-1081-4E3B-970F-C63B51B2FE82}">
  <dimension ref="A1:W114"/>
  <sheetViews>
    <sheetView topLeftCell="A34" zoomScale="70" zoomScaleNormal="70" workbookViewId="0">
      <selection activeCell="B42" sqref="B42"/>
    </sheetView>
  </sheetViews>
  <sheetFormatPr defaultRowHeight="14.35" x14ac:dyDescent="0.5"/>
  <cols>
    <col min="1" max="1" width="58.29296875" bestFit="1" customWidth="1"/>
    <col min="2" max="2" width="60.29296875" bestFit="1" customWidth="1"/>
    <col min="3" max="3" width="66.29296875" bestFit="1" customWidth="1"/>
    <col min="4" max="4" width="20" bestFit="1" customWidth="1"/>
    <col min="6" max="6" width="28.29296875" customWidth="1"/>
    <col min="7" max="7" width="32" bestFit="1" customWidth="1"/>
    <col min="8" max="8" width="40.703125" bestFit="1" customWidth="1"/>
    <col min="9" max="9" width="20.5859375" bestFit="1" customWidth="1"/>
    <col min="10" max="10" width="37.703125" bestFit="1" customWidth="1"/>
    <col min="11" max="11" width="38" bestFit="1" customWidth="1"/>
    <col min="12" max="12" width="38" customWidth="1"/>
    <col min="13" max="13" width="32.29296875" bestFit="1" customWidth="1"/>
    <col min="14" max="14" width="34.41015625" bestFit="1" customWidth="1"/>
    <col min="15" max="15" width="34.1171875" bestFit="1" customWidth="1"/>
    <col min="16" max="16" width="24.29296875" customWidth="1"/>
    <col min="17" max="17" width="29.703125" customWidth="1"/>
    <col min="18" max="18" width="20.41015625" customWidth="1"/>
    <col min="19" max="19" width="28.29296875" customWidth="1"/>
    <col min="20" max="20" width="21" customWidth="1"/>
    <col min="21" max="21" width="27.5859375" bestFit="1" customWidth="1"/>
    <col min="22" max="22" width="27.87890625" bestFit="1" customWidth="1"/>
    <col min="23" max="23" width="18.87890625" bestFit="1" customWidth="1"/>
    <col min="25" max="25" width="9.1171875" bestFit="1" customWidth="1"/>
    <col min="26" max="26" width="13" customWidth="1"/>
    <col min="27" max="27" width="9.1171875" bestFit="1" customWidth="1"/>
    <col min="28" max="28" width="18.29296875" bestFit="1" customWidth="1"/>
    <col min="29" max="29" width="9.1171875" bestFit="1" customWidth="1"/>
    <col min="30" max="30" width="27.1171875" bestFit="1" customWidth="1"/>
    <col min="31" max="31" width="16.703125" bestFit="1" customWidth="1"/>
  </cols>
  <sheetData>
    <row r="1" spans="1:14" x14ac:dyDescent="0.5">
      <c r="A1" s="2" t="s">
        <v>681</v>
      </c>
      <c r="H1" s="2" t="s">
        <v>682</v>
      </c>
    </row>
    <row r="2" spans="1:14" x14ac:dyDescent="0.5">
      <c r="A2" s="7" t="str">
        <f>EV!L5</f>
        <v>Year</v>
      </c>
      <c r="B2" s="7" t="s">
        <v>683</v>
      </c>
      <c r="C2" s="7" t="s">
        <v>684</v>
      </c>
      <c r="D2" s="7" t="s">
        <v>685</v>
      </c>
      <c r="E2" s="7" t="s">
        <v>686</v>
      </c>
      <c r="F2" s="7" t="s">
        <v>687</v>
      </c>
      <c r="H2" s="122" t="s">
        <v>33</v>
      </c>
      <c r="I2" s="122" t="s">
        <v>683</v>
      </c>
      <c r="J2" s="122" t="s">
        <v>684</v>
      </c>
      <c r="K2" s="122" t="s">
        <v>685</v>
      </c>
      <c r="L2" s="122" t="s">
        <v>688</v>
      </c>
      <c r="M2" s="122" t="s">
        <v>689</v>
      </c>
      <c r="N2" s="122" t="s">
        <v>687</v>
      </c>
    </row>
    <row r="3" spans="1:14" x14ac:dyDescent="0.5">
      <c r="A3" s="10">
        <v>2020</v>
      </c>
      <c r="B3" s="22">
        <f>'Revenues - Table'!B2</f>
        <v>36418</v>
      </c>
      <c r="C3" s="44">
        <f>'INPUT TABLE'!B$8</f>
        <v>9940</v>
      </c>
      <c r="D3" s="63">
        <f t="shared" ref="D3:D23" si="0">B3*C3</f>
        <v>361994920</v>
      </c>
      <c r="E3" s="10">
        <f>'INPUT TABLE'!B$11</f>
        <v>24.1</v>
      </c>
      <c r="F3" s="63">
        <f t="shared" ref="F3:F23" si="1">D3/E3</f>
        <v>15020536.099585062</v>
      </c>
      <c r="H3" s="10">
        <f>'Hybrid Vehicle Projection'!C12</f>
        <v>2020</v>
      </c>
      <c r="I3" s="10">
        <f>'Hybrid Vehicle Projection'!D12</f>
        <v>201629</v>
      </c>
      <c r="J3" s="44">
        <f>'INPUT TABLE'!B$8</f>
        <v>9940</v>
      </c>
      <c r="K3" s="63">
        <f t="shared" ref="K3:K33" si="2">I3*J3</f>
        <v>2004192260</v>
      </c>
      <c r="L3" s="10">
        <f>'INPUT TABLE'!B$12</f>
        <v>108.1</v>
      </c>
      <c r="M3" s="10">
        <f>'INPUT TABLE'!B$11</f>
        <v>24.1</v>
      </c>
      <c r="N3" s="63">
        <f>(K3/M3)-(K3/L3)</f>
        <v>64621335.646646522</v>
      </c>
    </row>
    <row r="4" spans="1:14" x14ac:dyDescent="0.5">
      <c r="A4" s="10">
        <v>2021</v>
      </c>
      <c r="B4" s="22">
        <f>'Revenues - Table'!B3</f>
        <v>49380.808850560003</v>
      </c>
      <c r="C4" s="44">
        <f>'INPUT TABLE'!B$8</f>
        <v>9940</v>
      </c>
      <c r="D4" s="63">
        <f t="shared" si="0"/>
        <v>490845239.9745664</v>
      </c>
      <c r="E4" s="10">
        <f>'INPUT TABLE'!B$11</f>
        <v>24.1</v>
      </c>
      <c r="F4" s="63">
        <f t="shared" si="1"/>
        <v>20367022.405583669</v>
      </c>
      <c r="H4" s="10">
        <f>'Hybrid Vehicle Projection'!C13</f>
        <v>2021</v>
      </c>
      <c r="I4" s="10">
        <f>'Hybrid Vehicle Projection'!D13</f>
        <v>221716.787048</v>
      </c>
      <c r="J4" s="44">
        <f>'INPUT TABLE'!B$8</f>
        <v>9940</v>
      </c>
      <c r="K4" s="63">
        <f t="shared" si="2"/>
        <v>2203864863.2571201</v>
      </c>
      <c r="L4" s="10">
        <f>'INPUT TABLE'!B$12</f>
        <v>108.1</v>
      </c>
      <c r="M4" s="10">
        <f>'INPUT TABLE'!B$11</f>
        <v>24.1</v>
      </c>
      <c r="N4" s="63">
        <f t="shared" ref="N4:N33" si="3">(K4/M4)-(K4/L4)</f>
        <v>71059395.792891204</v>
      </c>
    </row>
    <row r="5" spans="1:14" x14ac:dyDescent="0.5">
      <c r="A5" s="10">
        <v>2022</v>
      </c>
      <c r="B5" s="22">
        <f>'Revenues - Table'!B4</f>
        <v>62862.283838848001</v>
      </c>
      <c r="C5" s="44">
        <f>'INPUT TABLE'!B$8</f>
        <v>9940</v>
      </c>
      <c r="D5" s="63">
        <f t="shared" si="0"/>
        <v>624851101.35814917</v>
      </c>
      <c r="E5" s="10">
        <f>'INPUT TABLE'!B$11</f>
        <v>24.1</v>
      </c>
      <c r="F5" s="63">
        <f t="shared" si="1"/>
        <v>25927431.591624446</v>
      </c>
      <c r="H5" s="10">
        <f>'Hybrid Vehicle Projection'!C14</f>
        <v>2022</v>
      </c>
      <c r="I5" s="10">
        <f>'Hybrid Vehicle Projection'!D14</f>
        <v>243335.89032800001</v>
      </c>
      <c r="J5" s="44">
        <f>'INPUT TABLE'!B$8</f>
        <v>9940</v>
      </c>
      <c r="K5" s="63">
        <f t="shared" si="2"/>
        <v>2418758749.8603201</v>
      </c>
      <c r="L5" s="10">
        <f>'INPUT TABLE'!B$12</f>
        <v>108.1</v>
      </c>
      <c r="M5" s="10">
        <f>'INPUT TABLE'!B$11</f>
        <v>24.1</v>
      </c>
      <c r="N5" s="63">
        <f t="shared" si="3"/>
        <v>77988237.028211489</v>
      </c>
    </row>
    <row r="6" spans="1:14" x14ac:dyDescent="0.5">
      <c r="A6" s="10">
        <v>2023</v>
      </c>
      <c r="B6" s="22">
        <f>'Revenues - Table'!B5</f>
        <v>77551.843516480003</v>
      </c>
      <c r="C6" s="44">
        <f>'INPUT TABLE'!B$8</f>
        <v>9940</v>
      </c>
      <c r="D6" s="63">
        <f t="shared" si="0"/>
        <v>770865324.55381119</v>
      </c>
      <c r="E6" s="10">
        <f>'INPUT TABLE'!B$11</f>
        <v>24.1</v>
      </c>
      <c r="F6" s="63">
        <f t="shared" si="1"/>
        <v>31986113.052025359</v>
      </c>
      <c r="H6" s="10">
        <f>'Hybrid Vehicle Projection'!C15</f>
        <v>2023</v>
      </c>
      <c r="I6" s="10">
        <f>'Hybrid Vehicle Projection'!D15</f>
        <v>265620.98765600001</v>
      </c>
      <c r="J6" s="44">
        <f>'INPUT TABLE'!B$8</f>
        <v>9940</v>
      </c>
      <c r="K6" s="63">
        <f t="shared" si="2"/>
        <v>2640272617.3006401</v>
      </c>
      <c r="L6" s="10">
        <f>'INPUT TABLE'!B$12</f>
        <v>108.1</v>
      </c>
      <c r="M6" s="10">
        <f>'INPUT TABLE'!B$11</f>
        <v>24.1</v>
      </c>
      <c r="N6" s="63">
        <f t="shared" si="3"/>
        <v>85130526.849372506</v>
      </c>
    </row>
    <row r="7" spans="1:14" x14ac:dyDescent="0.5">
      <c r="A7" s="10">
        <v>2024</v>
      </c>
      <c r="B7" s="22">
        <f>'Revenues - Table'!B6</f>
        <v>92664.530993152002</v>
      </c>
      <c r="C7" s="44">
        <f>'INPUT TABLE'!B$8</f>
        <v>9940</v>
      </c>
      <c r="D7" s="63">
        <f t="shared" si="0"/>
        <v>921085438.07193089</v>
      </c>
      <c r="E7" s="10">
        <f>'INPUT TABLE'!B$11</f>
        <v>24.1</v>
      </c>
      <c r="F7" s="63">
        <f t="shared" si="1"/>
        <v>38219312.783067666</v>
      </c>
      <c r="H7" s="10">
        <f>'Hybrid Vehicle Projection'!C16</f>
        <v>2024</v>
      </c>
      <c r="I7" s="10">
        <f>'Hybrid Vehicle Projection'!D16</f>
        <v>288962.90600000002</v>
      </c>
      <c r="J7" s="44">
        <f>'INPUT TABLE'!B$8</f>
        <v>9940</v>
      </c>
      <c r="K7" s="63">
        <f t="shared" si="2"/>
        <v>2872291285.6400003</v>
      </c>
      <c r="L7" s="10">
        <f>'INPUT TABLE'!B$12</f>
        <v>108.1</v>
      </c>
      <c r="M7" s="10">
        <f>'INPUT TABLE'!B$11</f>
        <v>24.1</v>
      </c>
      <c r="N7" s="63">
        <f t="shared" si="3"/>
        <v>92611523.828697115</v>
      </c>
    </row>
    <row r="8" spans="1:14" x14ac:dyDescent="0.5">
      <c r="A8" s="10">
        <v>2025</v>
      </c>
      <c r="B8" s="22">
        <f>'Revenues - Table'!B7</f>
        <v>108858.02691980801</v>
      </c>
      <c r="C8" s="44">
        <f>'INPUT TABLE'!B$8</f>
        <v>9940</v>
      </c>
      <c r="D8" s="63">
        <f t="shared" si="0"/>
        <v>1082048787.5828915</v>
      </c>
      <c r="E8" s="10">
        <f>'INPUT TABLE'!B$11</f>
        <v>24.1</v>
      </c>
      <c r="F8" s="63">
        <f t="shared" si="1"/>
        <v>44898289.941198811</v>
      </c>
      <c r="H8" s="10">
        <f>'Hybrid Vehicle Projection'!C17</f>
        <v>2025</v>
      </c>
      <c r="I8" s="10">
        <f>'Hybrid Vehicle Projection'!D17</f>
        <v>313447.71341600001</v>
      </c>
      <c r="J8" s="44">
        <f>'INPUT TABLE'!B$8</f>
        <v>9940</v>
      </c>
      <c r="K8" s="63">
        <f t="shared" si="2"/>
        <v>3115670271.3550401</v>
      </c>
      <c r="L8" s="10">
        <f>'INPUT TABLE'!B$12</f>
        <v>108.1</v>
      </c>
      <c r="M8" s="10">
        <f>'INPUT TABLE'!B$11</f>
        <v>24.1</v>
      </c>
      <c r="N8" s="63">
        <f t="shared" si="3"/>
        <v>100458812.45420651</v>
      </c>
    </row>
    <row r="9" spans="1:14" x14ac:dyDescent="0.5">
      <c r="A9" s="10">
        <v>2026</v>
      </c>
      <c r="B9" s="22">
        <f>'Revenues - Table'!B8</f>
        <v>126321.270407488</v>
      </c>
      <c r="C9" s="44">
        <f>'INPUT TABLE'!B$8</f>
        <v>9940</v>
      </c>
      <c r="D9" s="63">
        <f t="shared" si="0"/>
        <v>1255633427.8504307</v>
      </c>
      <c r="E9" s="10">
        <f>'INPUT TABLE'!B$11</f>
        <v>24.1</v>
      </c>
      <c r="F9" s="63">
        <f t="shared" si="1"/>
        <v>52100972.109976374</v>
      </c>
      <c r="H9" s="10">
        <f>'Hybrid Vehicle Projection'!C18</f>
        <v>2026</v>
      </c>
      <c r="I9" s="10">
        <f>'Hybrid Vehicle Projection'!D18</f>
        <v>342520.998272</v>
      </c>
      <c r="J9" s="44">
        <f>'INPUT TABLE'!B$8</f>
        <v>9940</v>
      </c>
      <c r="K9" s="63">
        <f t="shared" si="2"/>
        <v>3404658722.8236799</v>
      </c>
      <c r="L9" s="10">
        <f>'INPUT TABLE'!B$12</f>
        <v>108.1</v>
      </c>
      <c r="M9" s="10">
        <f>'INPUT TABLE'!B$11</f>
        <v>24.1</v>
      </c>
      <c r="N9" s="63">
        <f t="shared" si="3"/>
        <v>109776690.8299865</v>
      </c>
    </row>
    <row r="10" spans="1:14" x14ac:dyDescent="0.5">
      <c r="A10" s="10">
        <v>2027</v>
      </c>
      <c r="B10" s="22">
        <f>'Revenues - Table'!B9</f>
        <v>145034.18756339201</v>
      </c>
      <c r="C10" s="44">
        <f>'INPUT TABLE'!B$8</f>
        <v>9940</v>
      </c>
      <c r="D10" s="63">
        <f t="shared" si="0"/>
        <v>1441639824.3801167</v>
      </c>
      <c r="E10" s="10">
        <f>'INPUT TABLE'!B$11</f>
        <v>24.1</v>
      </c>
      <c r="F10" s="63">
        <f t="shared" si="1"/>
        <v>59819079.849797368</v>
      </c>
      <c r="H10" s="10">
        <f>'Hybrid Vehicle Projection'!C19</f>
        <v>2027</v>
      </c>
      <c r="I10" s="10">
        <f>'Hybrid Vehicle Projection'!D19</f>
        <v>373602.70109599998</v>
      </c>
      <c r="J10" s="44">
        <f>'INPUT TABLE'!B$8</f>
        <v>9940</v>
      </c>
      <c r="K10" s="63">
        <f t="shared" si="2"/>
        <v>3713610848.8942399</v>
      </c>
      <c r="L10" s="10">
        <f>'INPUT TABLE'!B$12</f>
        <v>108.1</v>
      </c>
      <c r="M10" s="10">
        <f>'INPUT TABLE'!B$11</f>
        <v>24.1</v>
      </c>
      <c r="N10" s="63">
        <f t="shared" si="3"/>
        <v>119738259.6056042</v>
      </c>
    </row>
    <row r="11" spans="1:14" x14ac:dyDescent="0.5">
      <c r="A11" s="10">
        <v>2028</v>
      </c>
      <c r="B11" s="22">
        <f>'Revenues - Table'!B10</f>
        <v>165101.210910208</v>
      </c>
      <c r="C11" s="44">
        <f>'INPUT TABLE'!B$8</f>
        <v>9940</v>
      </c>
      <c r="D11" s="63">
        <f t="shared" si="0"/>
        <v>1641106036.4474676</v>
      </c>
      <c r="E11" s="10">
        <f>'INPUT TABLE'!B$11</f>
        <v>24.1</v>
      </c>
      <c r="F11" s="63">
        <f t="shared" si="1"/>
        <v>68095686.15964596</v>
      </c>
      <c r="H11" s="10">
        <f>'Hybrid Vehicle Projection'!C20</f>
        <v>2028</v>
      </c>
      <c r="I11" s="10">
        <f>'Hybrid Vehicle Projection'!D20</f>
        <v>405850.48510399996</v>
      </c>
      <c r="J11" s="44">
        <f>'INPUT TABLE'!B$8</f>
        <v>9940</v>
      </c>
      <c r="K11" s="63">
        <f t="shared" si="2"/>
        <v>4034153821.9337597</v>
      </c>
      <c r="L11" s="10">
        <f>'INPUT TABLE'!B$12</f>
        <v>108.1</v>
      </c>
      <c r="M11" s="10">
        <f>'INPUT TABLE'!B$11</f>
        <v>24.1</v>
      </c>
      <c r="N11" s="63">
        <f t="shared" si="3"/>
        <v>130073553.01201661</v>
      </c>
    </row>
    <row r="12" spans="1:14" x14ac:dyDescent="0.5">
      <c r="A12" s="10">
        <v>2029</v>
      </c>
      <c r="B12" s="22">
        <f>'Revenues - Table'!B11</f>
        <v>187528.82844217599</v>
      </c>
      <c r="C12" s="44">
        <f>'INPUT TABLE'!B$8</f>
        <v>9940</v>
      </c>
      <c r="D12" s="63">
        <f t="shared" si="0"/>
        <v>1864036554.7152293</v>
      </c>
      <c r="E12" s="10">
        <f>'INPUT TABLE'!B$11</f>
        <v>24.1</v>
      </c>
      <c r="F12" s="63">
        <f t="shared" si="1"/>
        <v>77345915.133412004</v>
      </c>
      <c r="H12" s="10">
        <f>'Hybrid Vehicle Projection'!C21</f>
        <v>2029</v>
      </c>
      <c r="I12" s="10">
        <f>'Hybrid Vehicle Projection'!D21</f>
        <v>439027.04631199996</v>
      </c>
      <c r="J12" s="44">
        <f>'INPUT TABLE'!B$8</f>
        <v>9940</v>
      </c>
      <c r="K12" s="63">
        <f t="shared" si="2"/>
        <v>4363928840.34128</v>
      </c>
      <c r="L12" s="10">
        <f>'INPUT TABLE'!B$12</f>
        <v>108.1</v>
      </c>
      <c r="M12" s="10">
        <f>'INPUT TABLE'!B$11</f>
        <v>24.1</v>
      </c>
      <c r="N12" s="63">
        <f t="shared" si="3"/>
        <v>140706516.01547188</v>
      </c>
    </row>
    <row r="13" spans="1:14" x14ac:dyDescent="0.5">
      <c r="A13" s="10">
        <v>2030</v>
      </c>
      <c r="B13" s="22">
        <f>'Revenues - Table'!B12</f>
        <v>212881.54330912</v>
      </c>
      <c r="C13" s="44">
        <f>'INPUT TABLE'!B$8</f>
        <v>9940</v>
      </c>
      <c r="D13" s="63">
        <f t="shared" si="0"/>
        <v>2116042540.4926527</v>
      </c>
      <c r="E13" s="10">
        <f>'INPUT TABLE'!B$11</f>
        <v>24.1</v>
      </c>
      <c r="F13" s="63">
        <f t="shared" si="1"/>
        <v>87802595.041188896</v>
      </c>
      <c r="H13" s="10">
        <f>'Hybrid Vehicle Projection'!C22</f>
        <v>2030</v>
      </c>
      <c r="I13" s="10">
        <f>'Hybrid Vehicle Projection'!D22</f>
        <v>473310.27675199998</v>
      </c>
      <c r="J13" s="44">
        <f>'INPUT TABLE'!B$8</f>
        <v>9940</v>
      </c>
      <c r="K13" s="63">
        <f t="shared" si="2"/>
        <v>4704704150.9148798</v>
      </c>
      <c r="L13" s="10">
        <f>'INPUT TABLE'!B$12</f>
        <v>108.1</v>
      </c>
      <c r="M13" s="10">
        <f>'INPUT TABLE'!B$11</f>
        <v>24.1</v>
      </c>
      <c r="N13" s="63">
        <f t="shared" si="3"/>
        <v>151694162.34270936</v>
      </c>
    </row>
    <row r="14" spans="1:14" x14ac:dyDescent="0.5">
      <c r="A14" s="10">
        <v>2031</v>
      </c>
      <c r="B14" s="22">
        <f>'Revenues - Table'!B13</f>
        <v>241655.28477088001</v>
      </c>
      <c r="C14" s="44">
        <f>'INPUT TABLE'!B$8</f>
        <v>9940</v>
      </c>
      <c r="D14" s="63">
        <f t="shared" si="0"/>
        <v>2402053530.6225471</v>
      </c>
      <c r="E14" s="10">
        <f>'INPUT TABLE'!B$11</f>
        <v>24.1</v>
      </c>
      <c r="F14" s="63">
        <f t="shared" si="1"/>
        <v>99670270.980188668</v>
      </c>
      <c r="H14" s="10">
        <f>'Hybrid Vehicle Projection'!C23</f>
        <v>2031</v>
      </c>
      <c r="I14" s="10">
        <f>'Hybrid Vehicle Projection'!D23</f>
        <v>508830.71609599999</v>
      </c>
      <c r="J14" s="44">
        <f>'INPUT TABLE'!B$8</f>
        <v>9940</v>
      </c>
      <c r="K14" s="63">
        <f t="shared" si="2"/>
        <v>5057777317.9942398</v>
      </c>
      <c r="L14" s="10">
        <f>'INPUT TABLE'!B$12</f>
        <v>108.1</v>
      </c>
      <c r="M14" s="10">
        <f>'INPUT TABLE'!B$11</f>
        <v>24.1</v>
      </c>
      <c r="N14" s="63">
        <f t="shared" si="3"/>
        <v>163078329.46730441</v>
      </c>
    </row>
    <row r="15" spans="1:14" x14ac:dyDescent="0.5">
      <c r="A15" s="10">
        <v>2032</v>
      </c>
      <c r="B15" s="22">
        <f>'Revenues - Table'!B14</f>
        <v>274460.51339180802</v>
      </c>
      <c r="C15" s="44">
        <f>'INPUT TABLE'!B$8</f>
        <v>9940</v>
      </c>
      <c r="D15" s="63">
        <f t="shared" si="0"/>
        <v>2728137503.1145716</v>
      </c>
      <c r="E15" s="10">
        <f>'INPUT TABLE'!B$11</f>
        <v>24.1</v>
      </c>
      <c r="F15" s="63">
        <f t="shared" si="1"/>
        <v>113200726.27031417</v>
      </c>
      <c r="H15" s="10">
        <f>'Hybrid Vehicle Projection'!C24</f>
        <v>2032</v>
      </c>
      <c r="I15" s="10">
        <f>'Hybrid Vehicle Projection'!D24</f>
        <v>545521.26716000005</v>
      </c>
      <c r="J15" s="44">
        <f>'INPUT TABLE'!B$8</f>
        <v>9940</v>
      </c>
      <c r="K15" s="63">
        <f t="shared" si="2"/>
        <v>5422481395.5704002</v>
      </c>
      <c r="L15" s="10">
        <f>'INPUT TABLE'!B$12</f>
        <v>108.1</v>
      </c>
      <c r="M15" s="10">
        <f>'INPUT TABLE'!B$11</f>
        <v>24.1</v>
      </c>
      <c r="N15" s="63">
        <f t="shared" si="3"/>
        <v>174837512.99431276</v>
      </c>
    </row>
    <row r="16" spans="1:14" x14ac:dyDescent="0.5">
      <c r="A16" s="10">
        <v>2033</v>
      </c>
      <c r="B16" s="22">
        <f>'Revenues - Table'!B15</f>
        <v>311500.01407820801</v>
      </c>
      <c r="C16" s="44">
        <f>'INPUT TABLE'!B$8</f>
        <v>9940</v>
      </c>
      <c r="D16" s="63">
        <f t="shared" si="0"/>
        <v>3096310139.9373875</v>
      </c>
      <c r="E16" s="10">
        <f>'INPUT TABLE'!B$11</f>
        <v>24.1</v>
      </c>
      <c r="F16" s="63">
        <f t="shared" si="1"/>
        <v>128477599.16752644</v>
      </c>
      <c r="H16" s="10">
        <f>'Hybrid Vehicle Projection'!C25</f>
        <v>2033</v>
      </c>
      <c r="I16" s="10">
        <f>'Hybrid Vehicle Projection'!D25</f>
        <v>583427.59032800002</v>
      </c>
      <c r="J16" s="44">
        <f>'INPUT TABLE'!B$8</f>
        <v>9940</v>
      </c>
      <c r="K16" s="63">
        <f t="shared" si="2"/>
        <v>5799270247.8603201</v>
      </c>
      <c r="L16" s="10">
        <f>'INPUT TABLE'!B$12</f>
        <v>108.1</v>
      </c>
      <c r="M16" s="10">
        <f>'INPUT TABLE'!B$11</f>
        <v>24.1</v>
      </c>
      <c r="N16" s="63">
        <f t="shared" si="3"/>
        <v>186986346.90495849</v>
      </c>
    </row>
    <row r="17" spans="1:14" x14ac:dyDescent="0.5">
      <c r="A17" s="10">
        <v>2034</v>
      </c>
      <c r="B17" s="22">
        <f>'Revenues - Table'!B16</f>
        <v>353472.98120281601</v>
      </c>
      <c r="C17" s="44">
        <f>'INPUT TABLE'!B$8</f>
        <v>9940</v>
      </c>
      <c r="D17" s="63">
        <f t="shared" si="0"/>
        <v>3513521433.1559911</v>
      </c>
      <c r="E17" s="10">
        <f>'INPUT TABLE'!B$11</f>
        <v>24.1</v>
      </c>
      <c r="F17" s="63">
        <f t="shared" si="1"/>
        <v>145789271.08531082</v>
      </c>
      <c r="H17" s="10">
        <f>'Hybrid Vehicle Projection'!C26</f>
        <v>2034</v>
      </c>
      <c r="I17" s="10">
        <f>'Hybrid Vehicle Projection'!D26</f>
        <v>622584.29141599999</v>
      </c>
      <c r="J17" s="44">
        <f>'INPUT TABLE'!B$8</f>
        <v>9940</v>
      </c>
      <c r="K17" s="63">
        <f t="shared" si="2"/>
        <v>6188487856.6750402</v>
      </c>
      <c r="L17" s="10">
        <f>'INPUT TABLE'!B$12</f>
        <v>108.1</v>
      </c>
      <c r="M17" s="10">
        <f>'INPUT TABLE'!B$11</f>
        <v>24.1</v>
      </c>
      <c r="N17" s="63">
        <f t="shared" si="3"/>
        <v>199535922.23302662</v>
      </c>
    </row>
    <row r="18" spans="1:14" x14ac:dyDescent="0.5">
      <c r="A18" s="10">
        <v>2035</v>
      </c>
      <c r="B18" s="22">
        <f>'Revenues - Table'!B17</f>
        <v>400804.53176051204</v>
      </c>
      <c r="C18" s="44">
        <f>'INPUT TABLE'!B$8</f>
        <v>9940</v>
      </c>
      <c r="D18" s="63">
        <f t="shared" si="0"/>
        <v>3983997045.6994896</v>
      </c>
      <c r="E18" s="10">
        <f>'INPUT TABLE'!B$11</f>
        <v>24.1</v>
      </c>
      <c r="F18" s="63">
        <f t="shared" si="1"/>
        <v>165311080.73441866</v>
      </c>
      <c r="H18" s="10">
        <f>'Hybrid Vehicle Projection'!C27</f>
        <v>2035</v>
      </c>
      <c r="I18" s="10">
        <f>'Hybrid Vehicle Projection'!D27</f>
        <v>662691.09514400002</v>
      </c>
      <c r="J18" s="44">
        <f>'INPUT TABLE'!B$8</f>
        <v>9940</v>
      </c>
      <c r="K18" s="63">
        <f t="shared" si="2"/>
        <v>6587149485.7313604</v>
      </c>
      <c r="L18" s="10">
        <f>'INPUT TABLE'!B$12</f>
        <v>108.1</v>
      </c>
      <c r="M18" s="10">
        <f>'INPUT TABLE'!B$11</f>
        <v>24.1</v>
      </c>
      <c r="N18" s="63">
        <f t="shared" si="3"/>
        <v>212390001.88139698</v>
      </c>
    </row>
    <row r="19" spans="1:14" x14ac:dyDescent="0.5">
      <c r="A19" s="10">
        <v>2036</v>
      </c>
      <c r="B19" s="22">
        <f>'Revenues - Table'!B18</f>
        <v>453367.37288032006</v>
      </c>
      <c r="C19" s="44">
        <f>'INPUT TABLE'!B$8</f>
        <v>9940</v>
      </c>
      <c r="D19" s="63">
        <f t="shared" si="0"/>
        <v>4506471686.4303818</v>
      </c>
      <c r="E19" s="10">
        <f>'INPUT TABLE'!B$11</f>
        <v>24.1</v>
      </c>
      <c r="F19" s="63">
        <f t="shared" si="1"/>
        <v>186990526.40789965</v>
      </c>
      <c r="H19" s="10">
        <f>'Hybrid Vehicle Projection'!C28</f>
        <v>2036</v>
      </c>
      <c r="I19" s="10">
        <f>'Hybrid Vehicle Projection'!D28</f>
        <v>703616.88485600008</v>
      </c>
      <c r="J19" s="44">
        <f>'INPUT TABLE'!B$8</f>
        <v>9940</v>
      </c>
      <c r="K19" s="63">
        <f t="shared" si="2"/>
        <v>6993951835.4686403</v>
      </c>
      <c r="L19" s="10">
        <f>'INPUT TABLE'!B$12</f>
        <v>108.1</v>
      </c>
      <c r="M19" s="10">
        <f>'INPUT TABLE'!B$11</f>
        <v>24.1</v>
      </c>
      <c r="N19" s="63">
        <f t="shared" si="3"/>
        <v>225506563.45529372</v>
      </c>
    </row>
    <row r="20" spans="1:14" x14ac:dyDescent="0.5">
      <c r="A20" s="10">
        <v>2037</v>
      </c>
      <c r="B20" s="22">
        <f>'Revenues - Table'!B19</f>
        <v>510976.13747353607</v>
      </c>
      <c r="C20" s="44">
        <f>'INPUT TABLE'!B$8</f>
        <v>9940</v>
      </c>
      <c r="D20" s="63">
        <f t="shared" si="0"/>
        <v>5079102806.486949</v>
      </c>
      <c r="E20" s="10">
        <f>'INPUT TABLE'!B$11</f>
        <v>24.1</v>
      </c>
      <c r="F20" s="63">
        <f t="shared" si="1"/>
        <v>210751153.79613894</v>
      </c>
      <c r="H20" s="10">
        <f>'Hybrid Vehicle Projection'!C29</f>
        <v>2037</v>
      </c>
      <c r="I20" s="10">
        <f>'Hybrid Vehicle Projection'!D29</f>
        <v>745456.58868800011</v>
      </c>
      <c r="J20" s="44">
        <f>'INPUT TABLE'!B$8</f>
        <v>9940</v>
      </c>
      <c r="K20" s="63">
        <f t="shared" si="2"/>
        <v>7409838491.5587206</v>
      </c>
      <c r="L20" s="10">
        <f>'INPUT TABLE'!B$12</f>
        <v>108.1</v>
      </c>
      <c r="M20" s="10">
        <f>'INPUT TABLE'!B$11</f>
        <v>24.1</v>
      </c>
      <c r="N20" s="63">
        <f t="shared" si="3"/>
        <v>238916031.06503218</v>
      </c>
    </row>
    <row r="21" spans="1:14" x14ac:dyDescent="0.5">
      <c r="A21" s="10">
        <v>2038</v>
      </c>
      <c r="B21" s="22">
        <f>'Revenues - Table'!B20</f>
        <v>573777.51027961611</v>
      </c>
      <c r="C21" s="44">
        <f>'INPUT TABLE'!B$8</f>
        <v>9940</v>
      </c>
      <c r="D21" s="63">
        <f t="shared" si="0"/>
        <v>5703348452.1793842</v>
      </c>
      <c r="E21" s="10">
        <f>'INPUT TABLE'!B$11</f>
        <v>24.1</v>
      </c>
      <c r="F21" s="63">
        <f t="shared" si="1"/>
        <v>236653462.74603254</v>
      </c>
      <c r="H21" s="10">
        <f>'Hybrid Vehicle Projection'!C30</f>
        <v>2038</v>
      </c>
      <c r="I21" s="10">
        <f>'Hybrid Vehicle Projection'!D30</f>
        <v>788286.91349600011</v>
      </c>
      <c r="J21" s="44">
        <f>'INPUT TABLE'!B$8</f>
        <v>9940</v>
      </c>
      <c r="K21" s="63">
        <f t="shared" si="2"/>
        <v>7835571920.1502409</v>
      </c>
      <c r="L21" s="10">
        <f>'INPUT TABLE'!B$12</f>
        <v>108.1</v>
      </c>
      <c r="M21" s="10">
        <f>'INPUT TABLE'!B$11</f>
        <v>24.1</v>
      </c>
      <c r="N21" s="63">
        <f t="shared" si="3"/>
        <v>252642988.96926546</v>
      </c>
    </row>
    <row r="22" spans="1:14" x14ac:dyDescent="0.5">
      <c r="A22" s="10">
        <v>2039</v>
      </c>
      <c r="B22" s="22">
        <f>'Revenues - Table'!B21</f>
        <v>641874.09514528012</v>
      </c>
      <c r="C22" s="44">
        <f>'INPUT TABLE'!B$8</f>
        <v>9940</v>
      </c>
      <c r="D22" s="63">
        <f t="shared" si="0"/>
        <v>6380228505.7440844</v>
      </c>
      <c r="E22" s="10">
        <f>'INPUT TABLE'!B$11</f>
        <v>24.1</v>
      </c>
      <c r="F22" s="63">
        <f t="shared" si="1"/>
        <v>264739772.02257609</v>
      </c>
      <c r="H22" s="10">
        <f>'Hybrid Vehicle Projection'!C31</f>
        <v>2039</v>
      </c>
      <c r="I22" s="10">
        <f>'Hybrid Vehicle Projection'!D31</f>
        <v>831920.29145600006</v>
      </c>
      <c r="J22" s="44">
        <f>'INPUT TABLE'!B$8</f>
        <v>9940</v>
      </c>
      <c r="K22" s="63">
        <f t="shared" si="2"/>
        <v>8269287697.0726404</v>
      </c>
      <c r="L22" s="10">
        <f>'INPUT TABLE'!B$12</f>
        <v>108.1</v>
      </c>
      <c r="M22" s="10">
        <f>'INPUT TABLE'!B$11</f>
        <v>24.1</v>
      </c>
      <c r="N22" s="63">
        <f t="shared" si="3"/>
        <v>266627322.38633418</v>
      </c>
    </row>
    <row r="23" spans="1:14" x14ac:dyDescent="0.5">
      <c r="A23" s="10">
        <v>2040</v>
      </c>
      <c r="B23" s="22">
        <f>'Revenues - Table'!B22</f>
        <v>714881.47739507211</v>
      </c>
      <c r="C23" s="44">
        <f>'INPUT TABLE'!B$8</f>
        <v>9940</v>
      </c>
      <c r="D23" s="63">
        <f t="shared" si="0"/>
        <v>7105921885.3070164</v>
      </c>
      <c r="E23" s="10">
        <f>'INPUT TABLE'!B$11</f>
        <v>24.1</v>
      </c>
      <c r="F23" s="63">
        <f t="shared" si="1"/>
        <v>294851530.51066458</v>
      </c>
      <c r="H23" s="10">
        <f>'Hybrid Vehicle Projection'!C32</f>
        <v>2040</v>
      </c>
      <c r="I23" s="10">
        <f>'Hybrid Vehicle Projection'!D32</f>
        <v>876413.43404000008</v>
      </c>
      <c r="J23" s="44">
        <f>'INPUT TABLE'!B$8</f>
        <v>9940</v>
      </c>
      <c r="K23" s="63">
        <f t="shared" si="2"/>
        <v>8711549534.3576012</v>
      </c>
      <c r="L23" s="10">
        <f>'INPUT TABLE'!B$12</f>
        <v>108.1</v>
      </c>
      <c r="M23" s="10">
        <f>'INPUT TABLE'!B$11</f>
        <v>24.1</v>
      </c>
      <c r="N23" s="63">
        <f t="shared" si="3"/>
        <v>280887207.12957436</v>
      </c>
    </row>
    <row r="24" spans="1:14" x14ac:dyDescent="0.5">
      <c r="A24" s="10">
        <v>2041</v>
      </c>
      <c r="B24" s="22">
        <f>'Revenues - Table'!B23</f>
        <v>792501.6374738561</v>
      </c>
      <c r="C24" s="44">
        <f>'INPUT TABLE'!B$8</f>
        <v>9940</v>
      </c>
      <c r="D24" s="63">
        <f t="shared" ref="D24:D33" si="4">B24*C24</f>
        <v>7877466276.4901295</v>
      </c>
      <c r="E24" s="10">
        <f>'INPUT TABLE'!B$11</f>
        <v>24.1</v>
      </c>
      <c r="F24" s="63">
        <f t="shared" ref="F24:F33" si="5">D24/E24</f>
        <v>326865820.60125017</v>
      </c>
      <c r="H24" s="10">
        <f>'Hybrid Vehicle Projection'!C33</f>
        <v>2041</v>
      </c>
      <c r="I24" s="10">
        <f>'Hybrid Vehicle Projection'!D33</f>
        <v>921875.65988000005</v>
      </c>
      <c r="J24" s="44">
        <f>'INPUT TABLE'!B$8</f>
        <v>9940</v>
      </c>
      <c r="K24" s="63">
        <f t="shared" si="2"/>
        <v>9163444059.207201</v>
      </c>
      <c r="L24" s="10">
        <f>'INPUT TABLE'!B$12</f>
        <v>108.1</v>
      </c>
      <c r="M24" s="10">
        <f>'INPUT TABLE'!B$11</f>
        <v>24.1</v>
      </c>
      <c r="N24" s="63">
        <f t="shared" si="3"/>
        <v>295457679.409109</v>
      </c>
    </row>
    <row r="25" spans="1:14" x14ac:dyDescent="0.5">
      <c r="A25" s="10">
        <v>2042</v>
      </c>
      <c r="B25" s="22">
        <f>'Revenues - Table'!B24</f>
        <v>873649.41131910414</v>
      </c>
      <c r="C25" s="44">
        <f>'INPUT TABLE'!B$8</f>
        <v>9940</v>
      </c>
      <c r="D25" s="63">
        <f t="shared" si="4"/>
        <v>8684075148.5118942</v>
      </c>
      <c r="E25" s="10">
        <f>'INPUT TABLE'!B$11</f>
        <v>24.1</v>
      </c>
      <c r="F25" s="63">
        <f t="shared" si="5"/>
        <v>360335068.40298313</v>
      </c>
      <c r="H25" s="10">
        <f>'Hybrid Vehicle Projection'!C34</f>
        <v>2042</v>
      </c>
      <c r="I25" s="10">
        <f>'Hybrid Vehicle Projection'!D34</f>
        <v>968433.66951200005</v>
      </c>
      <c r="J25" s="44">
        <f>'INPUT TABLE'!B$8</f>
        <v>9940</v>
      </c>
      <c r="K25" s="63">
        <f t="shared" si="2"/>
        <v>9626230674.9492798</v>
      </c>
      <c r="L25" s="10">
        <f>'INPUT TABLE'!B$12</f>
        <v>108.1</v>
      </c>
      <c r="M25" s="10">
        <f>'INPUT TABLE'!B$11</f>
        <v>24.1</v>
      </c>
      <c r="N25" s="63">
        <f t="shared" si="3"/>
        <v>310379346.26987433</v>
      </c>
    </row>
    <row r="26" spans="1:14" x14ac:dyDescent="0.5">
      <c r="A26" s="10">
        <v>2043</v>
      </c>
      <c r="B26" s="22">
        <f>'Revenues - Table'!B25</f>
        <v>958895.03632441617</v>
      </c>
      <c r="C26" s="44">
        <f>'INPUT TABLE'!B$8</f>
        <v>9940</v>
      </c>
      <c r="D26" s="63">
        <f t="shared" si="4"/>
        <v>9531416661.0646973</v>
      </c>
      <c r="E26" s="10">
        <f>'INPUT TABLE'!B$11</f>
        <v>24.1</v>
      </c>
      <c r="F26" s="63">
        <f t="shared" si="5"/>
        <v>395494467.26409531</v>
      </c>
      <c r="H26" s="10">
        <f>'Hybrid Vehicle Projection'!C35</f>
        <v>2043</v>
      </c>
      <c r="I26" s="10">
        <f>'Hybrid Vehicle Projection'!D35</f>
        <v>1015750.2690320001</v>
      </c>
      <c r="J26" s="44">
        <f>'INPUT TABLE'!B$8</f>
        <v>9940</v>
      </c>
      <c r="K26" s="63">
        <f t="shared" si="2"/>
        <v>10096557674.178082</v>
      </c>
      <c r="L26" s="10">
        <f>'INPUT TABLE'!B$12</f>
        <v>108.1</v>
      </c>
      <c r="M26" s="10">
        <f>'INPUT TABLE'!B$11</f>
        <v>24.1</v>
      </c>
      <c r="N26" s="63">
        <f t="shared" si="3"/>
        <v>325544138.33470577</v>
      </c>
    </row>
    <row r="27" spans="1:14" x14ac:dyDescent="0.5">
      <c r="A27" s="10">
        <v>2044</v>
      </c>
      <c r="B27" s="22">
        <f>'Revenues - Table'!B26</f>
        <v>1047620.5257266562</v>
      </c>
      <c r="C27" s="44">
        <f>'INPUT TABLE'!B$8</f>
        <v>9940</v>
      </c>
      <c r="D27" s="63">
        <f t="shared" si="4"/>
        <v>10413348025.722963</v>
      </c>
      <c r="E27" s="10">
        <f>'INPUT TABLE'!B$11</f>
        <v>24.1</v>
      </c>
      <c r="F27" s="63">
        <f t="shared" si="5"/>
        <v>432089129.69804823</v>
      </c>
      <c r="H27" s="10">
        <f>'Hybrid Vehicle Projection'!C36</f>
        <v>2044</v>
      </c>
      <c r="I27" s="10">
        <f>'Hybrid Vehicle Projection'!D36</f>
        <v>1064031.8231360002</v>
      </c>
      <c r="J27" s="44">
        <f>'INPUT TABLE'!B$8</f>
        <v>9940</v>
      </c>
      <c r="K27" s="63">
        <f t="shared" si="2"/>
        <v>10576476321.971842</v>
      </c>
      <c r="L27" s="10">
        <f>'INPUT TABLE'!B$12</f>
        <v>108.1</v>
      </c>
      <c r="M27" s="10">
        <f>'INPUT TABLE'!B$11</f>
        <v>24.1</v>
      </c>
      <c r="N27" s="63">
        <f t="shared" si="3"/>
        <v>341018194.71199429</v>
      </c>
    </row>
    <row r="28" spans="1:14" x14ac:dyDescent="0.5">
      <c r="A28" s="10">
        <v>2045</v>
      </c>
      <c r="B28" s="22">
        <f>'Revenues - Table'!B27</f>
        <v>1140045.5342861442</v>
      </c>
      <c r="C28" s="44">
        <f>'INPUT TABLE'!B$8</f>
        <v>9940</v>
      </c>
      <c r="D28" s="63">
        <f t="shared" si="4"/>
        <v>11332052610.804274</v>
      </c>
      <c r="E28" s="10">
        <f>'INPUT TABLE'!B$11</f>
        <v>24.1</v>
      </c>
      <c r="F28" s="63">
        <f t="shared" si="5"/>
        <v>470209651.90059227</v>
      </c>
      <c r="H28" s="10">
        <f>'Hybrid Vehicle Projection'!C37</f>
        <v>2045</v>
      </c>
      <c r="I28" s="10">
        <f>'Hybrid Vehicle Projection'!D37</f>
        <v>1113661.3775120003</v>
      </c>
      <c r="J28" s="44">
        <f>'INPUT TABLE'!B$8</f>
        <v>9940</v>
      </c>
      <c r="K28" s="63">
        <f t="shared" si="2"/>
        <v>11069794092.469282</v>
      </c>
      <c r="L28" s="10">
        <f>'INPUT TABLE'!B$12</f>
        <v>108.1</v>
      </c>
      <c r="M28" s="10">
        <f>'INPUT TABLE'!B$11</f>
        <v>24.1</v>
      </c>
      <c r="N28" s="63">
        <f t="shared" si="3"/>
        <v>356924280.10310864</v>
      </c>
    </row>
    <row r="29" spans="1:14" x14ac:dyDescent="0.5">
      <c r="A29" s="10">
        <v>2046</v>
      </c>
      <c r="B29" s="22">
        <f>'Revenues - Table'!B28</f>
        <v>1236957.2993455362</v>
      </c>
      <c r="C29" s="44">
        <f>'INPUT TABLE'!B$8</f>
        <v>9940</v>
      </c>
      <c r="D29" s="63">
        <f t="shared" si="4"/>
        <v>12295355555.494629</v>
      </c>
      <c r="E29" s="10">
        <f>'INPUT TABLE'!B$11</f>
        <v>24.1</v>
      </c>
      <c r="F29" s="63">
        <f t="shared" si="5"/>
        <v>510180728.44376051</v>
      </c>
      <c r="H29" s="10">
        <f>'Hybrid Vehicle Projection'!C38</f>
        <v>2046</v>
      </c>
      <c r="I29" s="10">
        <f>'Hybrid Vehicle Projection'!D38</f>
        <v>1164476.1370640004</v>
      </c>
      <c r="J29" s="44">
        <f>'INPUT TABLE'!B$8</f>
        <v>9940</v>
      </c>
      <c r="K29" s="63">
        <f t="shared" si="2"/>
        <v>11574892802.416164</v>
      </c>
      <c r="L29" s="10">
        <f>'INPUT TABLE'!B$12</f>
        <v>108.1</v>
      </c>
      <c r="M29" s="10">
        <f>'INPUT TABLE'!B$11</f>
        <v>24.1</v>
      </c>
      <c r="N29" s="63">
        <f t="shared" si="3"/>
        <v>373210219.29247844</v>
      </c>
    </row>
    <row r="30" spans="1:14" x14ac:dyDescent="0.5">
      <c r="A30" s="10">
        <v>2047</v>
      </c>
      <c r="B30" s="22">
        <f>'Revenues - Table'!B29</f>
        <v>1337837.1774344321</v>
      </c>
      <c r="C30" s="44">
        <f>'INPUT TABLE'!B$8</f>
        <v>9940</v>
      </c>
      <c r="D30" s="63">
        <f t="shared" si="4"/>
        <v>13298101543.698256</v>
      </c>
      <c r="E30" s="10">
        <f>'INPUT TABLE'!B$11</f>
        <v>24.1</v>
      </c>
      <c r="F30" s="63">
        <f t="shared" si="5"/>
        <v>551788445.79660809</v>
      </c>
      <c r="H30" s="10">
        <f>'Hybrid Vehicle Projection'!C39</f>
        <v>2047</v>
      </c>
      <c r="I30" s="10">
        <f>'Hybrid Vehicle Projection'!D39</f>
        <v>1216333.1656640004</v>
      </c>
      <c r="J30" s="44">
        <f>'INPUT TABLE'!B$8</f>
        <v>9940</v>
      </c>
      <c r="K30" s="63">
        <f t="shared" si="2"/>
        <v>12090351666.700165</v>
      </c>
      <c r="L30" s="10">
        <f>'INPUT TABLE'!B$12</f>
        <v>108.1</v>
      </c>
      <c r="M30" s="10">
        <f>'INPUT TABLE'!B$11</f>
        <v>24.1</v>
      </c>
      <c r="N30" s="63">
        <f t="shared" si="3"/>
        <v>389830201.78903568</v>
      </c>
    </row>
    <row r="31" spans="1:14" x14ac:dyDescent="0.5">
      <c r="A31" s="10">
        <v>2048</v>
      </c>
      <c r="B31" s="22">
        <f>'Revenues - Table'!B30</f>
        <v>1442898.468343168</v>
      </c>
      <c r="C31" s="44">
        <f>'INPUT TABLE'!B$8</f>
        <v>9940</v>
      </c>
      <c r="D31" s="63">
        <f t="shared" si="4"/>
        <v>14342410775.331091</v>
      </c>
      <c r="E31" s="10">
        <f>'INPUT TABLE'!B$11</f>
        <v>24.1</v>
      </c>
      <c r="F31" s="63">
        <f t="shared" si="5"/>
        <v>595120779.05938137</v>
      </c>
      <c r="H31" s="10">
        <f>'Hybrid Vehicle Projection'!C40</f>
        <v>2048</v>
      </c>
      <c r="I31" s="10">
        <f>'Hybrid Vehicle Projection'!D40</f>
        <v>1269279.8128880004</v>
      </c>
      <c r="J31" s="44">
        <f>'INPUT TABLE'!B$8</f>
        <v>9940</v>
      </c>
      <c r="K31" s="63">
        <f t="shared" si="2"/>
        <v>12616641340.106724</v>
      </c>
      <c r="L31" s="10">
        <f>'INPUT TABLE'!B$12</f>
        <v>108.1</v>
      </c>
      <c r="M31" s="10">
        <f>'INPUT TABLE'!B$11</f>
        <v>24.1</v>
      </c>
      <c r="N31" s="63">
        <f t="shared" si="3"/>
        <v>406799402.95368308</v>
      </c>
    </row>
    <row r="32" spans="1:14" x14ac:dyDescent="0.5">
      <c r="A32" s="10">
        <v>2049</v>
      </c>
      <c r="B32" s="22">
        <f>'Revenues - Table'!B31</f>
        <v>1552300.4919506561</v>
      </c>
      <c r="C32" s="44">
        <f>'INPUT TABLE'!B$8</f>
        <v>9940</v>
      </c>
      <c r="D32" s="63">
        <f t="shared" si="4"/>
        <v>15429866889.989521</v>
      </c>
      <c r="E32" s="10">
        <f>'INPUT TABLE'!B$11</f>
        <v>24.1</v>
      </c>
      <c r="F32" s="63">
        <f t="shared" si="5"/>
        <v>640243439.4186523</v>
      </c>
      <c r="H32" s="10">
        <f>'Hybrid Vehicle Projection'!C41</f>
        <v>2049</v>
      </c>
      <c r="I32" s="10">
        <f>'Hybrid Vehicle Projection'!D41</f>
        <v>1323033.6795200005</v>
      </c>
      <c r="J32" s="44">
        <f>'INPUT TABLE'!B$8</f>
        <v>9940</v>
      </c>
      <c r="K32" s="63">
        <f t="shared" si="2"/>
        <v>13150954774.428804</v>
      </c>
      <c r="L32" s="10">
        <f>'INPUT TABLE'!B$12</f>
        <v>108.1</v>
      </c>
      <c r="M32" s="10">
        <f>'INPUT TABLE'!B$11</f>
        <v>24.1</v>
      </c>
      <c r="N32" s="63">
        <f t="shared" si="3"/>
        <v>424027314.90053368</v>
      </c>
    </row>
    <row r="33" spans="1:23" x14ac:dyDescent="0.5">
      <c r="A33" s="10">
        <v>2050</v>
      </c>
      <c r="B33" s="22">
        <f>'Revenues - Table'!B32</f>
        <v>1665721.0627242881</v>
      </c>
      <c r="C33" s="44">
        <f>'INPUT TABLE'!B$8</f>
        <v>9940</v>
      </c>
      <c r="D33" s="63">
        <f t="shared" si="4"/>
        <v>16557267363.479424</v>
      </c>
      <c r="E33" s="10">
        <f>'INPUT TABLE'!B$11</f>
        <v>24.1</v>
      </c>
      <c r="F33" s="63">
        <f t="shared" si="5"/>
        <v>687023542.05308807</v>
      </c>
      <c r="H33" s="10">
        <f>'Hybrid Vehicle Projection'!C42</f>
        <v>2050</v>
      </c>
      <c r="I33" s="10">
        <f>'Hybrid Vehicle Projection'!D42</f>
        <v>1377596.2522160006</v>
      </c>
      <c r="J33" s="44">
        <f>'INPUT TABLE'!B$8</f>
        <v>9940</v>
      </c>
      <c r="K33" s="63">
        <f t="shared" si="2"/>
        <v>13693306747.027046</v>
      </c>
      <c r="L33" s="10">
        <f>'INPUT TABLE'!B$12</f>
        <v>108.1</v>
      </c>
      <c r="M33" s="10">
        <f>'INPUT TABLE'!B$11</f>
        <v>24.1</v>
      </c>
      <c r="N33" s="63">
        <f t="shared" si="3"/>
        <v>441514414.09724045</v>
      </c>
    </row>
    <row r="46" spans="1:23" x14ac:dyDescent="0.5">
      <c r="I46" t="s">
        <v>690</v>
      </c>
      <c r="P46" t="s">
        <v>691</v>
      </c>
      <c r="Q46" t="s">
        <v>691</v>
      </c>
      <c r="R46" t="s">
        <v>692</v>
      </c>
      <c r="T46" t="s">
        <v>692</v>
      </c>
    </row>
    <row r="47" spans="1:23" x14ac:dyDescent="0.5">
      <c r="I47" s="61" t="s">
        <v>33</v>
      </c>
      <c r="J47" s="3" t="s">
        <v>694</v>
      </c>
      <c r="K47" s="3" t="s">
        <v>695</v>
      </c>
      <c r="L47" s="90" t="s">
        <v>696</v>
      </c>
      <c r="M47" s="90" t="s">
        <v>697</v>
      </c>
      <c r="N47" s="90" t="s">
        <v>698</v>
      </c>
      <c r="O47" s="90" t="s">
        <v>699</v>
      </c>
      <c r="P47" s="90" t="s">
        <v>700</v>
      </c>
      <c r="Q47" s="90" t="s">
        <v>701</v>
      </c>
      <c r="R47" s="90" t="s">
        <v>700</v>
      </c>
      <c r="S47" s="90" t="s">
        <v>702</v>
      </c>
      <c r="T47" s="90" t="s">
        <v>703</v>
      </c>
      <c r="U47" s="90" t="s">
        <v>704</v>
      </c>
      <c r="V47" s="90" t="s">
        <v>705</v>
      </c>
      <c r="W47" s="90" t="s">
        <v>706</v>
      </c>
    </row>
    <row r="48" spans="1:23" x14ac:dyDescent="0.5">
      <c r="I48" s="64">
        <v>2020</v>
      </c>
      <c r="J48" s="3">
        <v>23867965871.108543</v>
      </c>
      <c r="K48">
        <v>8098749241</v>
      </c>
      <c r="L48">
        <f>J48+K48</f>
        <v>31966715112.108543</v>
      </c>
      <c r="M48">
        <f>J48*('INPUT TABLE'!B$15/100)</f>
        <v>4773593174.2217093</v>
      </c>
      <c r="N48">
        <f>K48*('INPUT TABLE'!B$15/100)</f>
        <v>1619749848.2</v>
      </c>
      <c r="O48">
        <f>N48+M48</f>
        <v>6393343022.4217091</v>
      </c>
      <c r="P48">
        <f>IF('INPUT TABLE'!$B$16=I48,L48*(('INPUT TABLE'!B$15+'INPUT TABLE'!B$17)/100),L48*(('INPUT TABLE'!B$15)/100))</f>
        <v>6393343022.4217091</v>
      </c>
      <c r="Q48">
        <f>L48*(('INPUT TABLE'!B$15+'INPUT TABLE'!B$18)/100)</f>
        <v>7032677324.6638794</v>
      </c>
      <c r="R48" s="59">
        <f>'GasTax Calcs'!C6*'Gas Tax'!L48</f>
        <v>0</v>
      </c>
      <c r="S48" s="59">
        <f>R48/(1+('INPUT TABLE'!B$2)/100)^(I48-'INPUT TABLE'!$B$1)</f>
        <v>0</v>
      </c>
      <c r="T48" s="59">
        <f>'GasTax Calcs'!D6*'Gas Tax'!L48</f>
        <v>639334302.24217093</v>
      </c>
      <c r="U48" s="59">
        <f>T48/(1+('INPUT TABLE'!B$2)/100)^(I48-'INPUT TABLE'!$B$1)</f>
        <v>639334302.24217093</v>
      </c>
      <c r="V48" s="102">
        <f>L48*'GasTax Calcs'!B6</f>
        <v>6393343022.4217091</v>
      </c>
      <c r="W48" s="102">
        <f>V48/(1+('INPUT TABLE'!B$2)/100)^(I48-'INPUT TABLE'!$B$1)</f>
        <v>6393343022.4217091</v>
      </c>
    </row>
    <row r="49" spans="9:23" x14ac:dyDescent="0.5">
      <c r="I49" s="64">
        <v>2021</v>
      </c>
      <c r="J49" s="3">
        <v>23858139681.801525</v>
      </c>
      <c r="K49">
        <v>8298749241</v>
      </c>
      <c r="L49">
        <f t="shared" ref="L49:L78" si="6">J49+K49</f>
        <v>32156888922.801525</v>
      </c>
      <c r="M49">
        <f>J49*('INPUT TABLE'!B$15/100)</f>
        <v>4771627936.3603048</v>
      </c>
      <c r="N49">
        <f>K49*('INPUT TABLE'!B$15/100)</f>
        <v>1659749848.2</v>
      </c>
      <c r="O49">
        <f t="shared" ref="O49:O78" si="7">N49+M49</f>
        <v>6431377784.5603046</v>
      </c>
      <c r="P49">
        <f>IF('INPUT TABLE'!$B$16=I49,L49*(('INPUT TABLE'!B$15+'INPUT TABLE'!B$17)/100),L49*(('INPUT TABLE'!B$15)/100))</f>
        <v>6431377784.5603056</v>
      </c>
      <c r="Q49">
        <f>L49*(('INPUT TABLE'!B$15+'INPUT TABLE'!B$18)/100)</f>
        <v>7074515563.0163355</v>
      </c>
      <c r="R49" s="59">
        <f>'GasTax Calcs'!C7*'Gas Tax'!L49</f>
        <v>0</v>
      </c>
      <c r="S49" s="59">
        <f>R49/(1+('INPUT TABLE'!B$2)/100)^(I49-'INPUT TABLE'!$B$1)</f>
        <v>0</v>
      </c>
      <c r="T49" s="59">
        <f>'GasTax Calcs'!D7*'Gas Tax'!L49</f>
        <v>643137778.45603049</v>
      </c>
      <c r="U49" s="59">
        <f>T49/(1+('INPUT TABLE'!B$2)/100)^(I49-'INPUT TABLE'!$B$1)</f>
        <v>627451491.17661512</v>
      </c>
      <c r="V49" s="102">
        <f>L49*'GasTax Calcs'!B7</f>
        <v>6431377784.5603056</v>
      </c>
      <c r="W49" s="102">
        <f>V49/(1+('INPUT TABLE'!B$2)/100)^(I49-'INPUT TABLE'!$B$1)</f>
        <v>6274514911.7661524</v>
      </c>
    </row>
    <row r="50" spans="9:23" x14ac:dyDescent="0.5">
      <c r="I50" s="64">
        <v>2022</v>
      </c>
      <c r="J50" s="3">
        <v>24245840622.380165</v>
      </c>
      <c r="K50">
        <v>8498749241</v>
      </c>
      <c r="L50">
        <f t="shared" si="6"/>
        <v>32744589863.380165</v>
      </c>
      <c r="M50">
        <f>J50*('INPUT TABLE'!B$15/100)</f>
        <v>4849168124.4760332</v>
      </c>
      <c r="N50">
        <f>K50*('INPUT TABLE'!B$15/100)</f>
        <v>1699749848.2</v>
      </c>
      <c r="O50">
        <f t="shared" si="7"/>
        <v>6548917972.676033</v>
      </c>
      <c r="P50">
        <f>IF('INPUT TABLE'!$B$16=I50,L50*(('INPUT TABLE'!B$15+'INPUT TABLE'!B$17)/100),L50*(('INPUT TABLE'!B$15)/100))</f>
        <v>6548917972.676033</v>
      </c>
      <c r="Q50">
        <f>L50*(('INPUT TABLE'!B$15+'INPUT TABLE'!B$18)/100)</f>
        <v>7203809769.9436359</v>
      </c>
      <c r="R50" s="59">
        <f>'GasTax Calcs'!C8*'Gas Tax'!L50</f>
        <v>0</v>
      </c>
      <c r="S50" s="59">
        <f>R50/(1+('INPUT TABLE'!B$2)/100)^(I50-'INPUT TABLE'!$B$1)</f>
        <v>0</v>
      </c>
      <c r="T50" s="59">
        <f>'GasTax Calcs'!D8*'Gas Tax'!L50</f>
        <v>654891797.26760328</v>
      </c>
      <c r="U50" s="59">
        <f>T50/(1+('INPUT TABLE'!B$2)/100)^(I50-'INPUT TABLE'!$B$1)</f>
        <v>623335440.58784378</v>
      </c>
      <c r="V50" s="102">
        <f>L50*'GasTax Calcs'!B8</f>
        <v>6548917972.676033</v>
      </c>
      <c r="W50" s="102">
        <f>V50/(1+('INPUT TABLE'!B$2)/100)^(I50-'INPUT TABLE'!$B$1)</f>
        <v>6233354405.878438</v>
      </c>
    </row>
    <row r="51" spans="9:23" x14ac:dyDescent="0.5">
      <c r="I51" s="64">
        <v>2023</v>
      </c>
      <c r="J51" s="3">
        <v>24232829843.098602</v>
      </c>
      <c r="K51">
        <v>8698749241</v>
      </c>
      <c r="L51">
        <f t="shared" si="6"/>
        <v>32931579084.098602</v>
      </c>
      <c r="M51">
        <f>J51*('INPUT TABLE'!B$15/100)</f>
        <v>4846565968.6197205</v>
      </c>
      <c r="N51">
        <f>K51*('INPUT TABLE'!B$15/100)</f>
        <v>1739749848.2</v>
      </c>
      <c r="O51">
        <f t="shared" si="7"/>
        <v>6586315816.8197203</v>
      </c>
      <c r="P51">
        <f>IF('INPUT TABLE'!$B$16=I51,L51*(('INPUT TABLE'!B$15+'INPUT TABLE'!B$17)/100),L51*(('INPUT TABLE'!B$15)/100))</f>
        <v>6586315816.8197212</v>
      </c>
      <c r="Q51">
        <f>L51*(('INPUT TABLE'!B$15+'INPUT TABLE'!B$18)/100)</f>
        <v>7244947398.5016928</v>
      </c>
      <c r="R51" s="59">
        <f>'GasTax Calcs'!C9*'Gas Tax'!L51</f>
        <v>0</v>
      </c>
      <c r="S51" s="59">
        <f>R51/(1+('INPUT TABLE'!B$2)/100)^(I51-'INPUT TABLE'!$B$1)</f>
        <v>0</v>
      </c>
      <c r="T51" s="59">
        <f>'GasTax Calcs'!D9*'Gas Tax'!L51</f>
        <v>1350194742.4480426</v>
      </c>
      <c r="U51" s="59">
        <f>T51/(1+('INPUT TABLE'!B$2)/100)^(I51-'INPUT TABLE'!$B$1)</f>
        <v>1253790042.4641943</v>
      </c>
      <c r="V51" s="102">
        <f>L51*'GasTax Calcs'!B9</f>
        <v>6586315816.8197212</v>
      </c>
      <c r="W51" s="102">
        <f>V51/(1+('INPUT TABLE'!B$2)/100)^(I51-'INPUT TABLE'!$B$1)</f>
        <v>6116048987.6302176</v>
      </c>
    </row>
    <row r="52" spans="9:23" x14ac:dyDescent="0.5">
      <c r="I52" s="64">
        <v>2024</v>
      </c>
      <c r="J52" s="3">
        <v>24619305837.388237</v>
      </c>
      <c r="K52">
        <v>8898749241</v>
      </c>
      <c r="L52">
        <f t="shared" si="6"/>
        <v>33518055078.388237</v>
      </c>
      <c r="M52">
        <f>J52*('INPUT TABLE'!B$15/100)</f>
        <v>4923861167.4776478</v>
      </c>
      <c r="N52">
        <f>K52*('INPUT TABLE'!B$15/100)</f>
        <v>1779749848.2</v>
      </c>
      <c r="O52">
        <f t="shared" si="7"/>
        <v>6703611015.6776476</v>
      </c>
      <c r="P52">
        <f>IF('INPUT TABLE'!$B$16=I52,L52*(('INPUT TABLE'!B$15+'INPUT TABLE'!B$17)/100),L52*(('INPUT TABLE'!B$15)/100))</f>
        <v>6703611015.6776476</v>
      </c>
      <c r="Q52">
        <f>L52*(('INPUT TABLE'!B$15+'INPUT TABLE'!B$18)/100)</f>
        <v>7373972117.2454119</v>
      </c>
      <c r="R52" s="59">
        <f>'GasTax Calcs'!C10*'Gas Tax'!L52</f>
        <v>0</v>
      </c>
      <c r="S52" s="59">
        <f>R52/(1+('INPUT TABLE'!B$2)/100)^(I52-'INPUT TABLE'!$B$1)</f>
        <v>0</v>
      </c>
      <c r="T52" s="59">
        <f>'GasTax Calcs'!D10*'Gas Tax'!L52</f>
        <v>1374240258.2139175</v>
      </c>
      <c r="U52" s="59">
        <f>T52/(1+('INPUT TABLE'!B$2)/100)^(I52-'INPUT TABLE'!$B$1)</f>
        <v>1244993848.0386803</v>
      </c>
      <c r="V52" s="102">
        <f>L52*'GasTax Calcs'!B10</f>
        <v>6703611015.6776476</v>
      </c>
      <c r="W52" s="102">
        <f>V52/(1+('INPUT TABLE'!B$2)/100)^(I52-'INPUT TABLE'!$B$1)</f>
        <v>6073140722.1399059</v>
      </c>
    </row>
    <row r="53" spans="9:23" x14ac:dyDescent="0.5">
      <c r="I53" s="64">
        <v>2025</v>
      </c>
      <c r="J53" s="3">
        <v>24604969763.604595</v>
      </c>
      <c r="K53">
        <v>9098749241</v>
      </c>
      <c r="L53">
        <f t="shared" si="6"/>
        <v>33703719004.604595</v>
      </c>
      <c r="M53">
        <f>J53*('INPUT TABLE'!B$15/100)</f>
        <v>4920993952.7209196</v>
      </c>
      <c r="N53">
        <f>K53*('INPUT TABLE'!B$15/100)</f>
        <v>1819749848.2</v>
      </c>
      <c r="O53">
        <f t="shared" si="7"/>
        <v>6740743800.9209194</v>
      </c>
      <c r="P53">
        <f>IF('INPUT TABLE'!$B$16=I53,L53*(('INPUT TABLE'!B$15+'INPUT TABLE'!B$17)/100),L53*(('INPUT TABLE'!B$15)/100))</f>
        <v>6740743800.9209194</v>
      </c>
      <c r="Q53">
        <f>L53*(('INPUT TABLE'!B$15+'INPUT TABLE'!B$18)/100)</f>
        <v>7414818181.013011</v>
      </c>
      <c r="R53" s="59">
        <f>'GasTax Calcs'!C11*'Gas Tax'!L53</f>
        <v>0</v>
      </c>
      <c r="S53" s="59">
        <f>R53/(1+('INPUT TABLE'!B$2)/100)^(I53-'INPUT TABLE'!$B$1)</f>
        <v>0</v>
      </c>
      <c r="T53" s="59">
        <f>'GasTax Calcs'!D11*'Gas Tax'!L53</f>
        <v>1381852479.1887882</v>
      </c>
      <c r="U53" s="59">
        <f>T53/(1+('INPUT TABLE'!B$2)/100)^(I53-'INPUT TABLE'!$B$1)</f>
        <v>1221356238.5748515</v>
      </c>
      <c r="V53" s="102">
        <f>L53*'GasTax Calcs'!B11</f>
        <v>6740743800.9209194</v>
      </c>
      <c r="W53" s="102">
        <f>V53/(1+('INPUT TABLE'!B$2)/100)^(I53-'INPUT TABLE'!$B$1)</f>
        <v>5957835310.1212282</v>
      </c>
    </row>
    <row r="54" spans="9:23" x14ac:dyDescent="0.5">
      <c r="I54" s="64">
        <v>2026</v>
      </c>
      <c r="J54" s="3">
        <v>24988639394.06004</v>
      </c>
      <c r="K54">
        <v>9298749241</v>
      </c>
      <c r="L54">
        <f t="shared" si="6"/>
        <v>34287388635.06004</v>
      </c>
      <c r="M54">
        <f>J54*('INPUT TABLE'!B$15/100)</f>
        <v>4997727878.8120079</v>
      </c>
      <c r="N54">
        <f>K54*('INPUT TABLE'!B$15/100)</f>
        <v>1859749848.2</v>
      </c>
      <c r="O54">
        <f t="shared" si="7"/>
        <v>6857477727.0120077</v>
      </c>
      <c r="P54">
        <f>IF('INPUT TABLE'!$B$16=I54,L54*(('INPUT TABLE'!B$15+'INPUT TABLE'!B$17)/100),L54*(('INPUT TABLE'!B$15)/100))</f>
        <v>6857477727.0120087</v>
      </c>
      <c r="Q54">
        <f>L54*(('INPUT TABLE'!B$15+'INPUT TABLE'!B$18)/100)</f>
        <v>7543225499.7132092</v>
      </c>
      <c r="R54" s="59">
        <f>'GasTax Calcs'!C12*'Gas Tax'!L54</f>
        <v>0</v>
      </c>
      <c r="S54" s="59">
        <f>R54/(1+('INPUT TABLE'!B$2)/100)^(I54-'INPUT TABLE'!$B$1)</f>
        <v>0</v>
      </c>
      <c r="T54" s="59">
        <f>'GasTax Calcs'!D12*'Gas Tax'!L54</f>
        <v>2143818974.4071288</v>
      </c>
      <c r="U54" s="59">
        <f>T54/(1+('INPUT TABLE'!B$2)/100)^(I54-'INPUT TABLE'!$B$1)</f>
        <v>1848608382.8179305</v>
      </c>
      <c r="V54" s="102">
        <f>L54*'GasTax Calcs'!B12</f>
        <v>6857477727.0120087</v>
      </c>
      <c r="W54" s="102">
        <f>V54/(1+('INPUT TABLE'!B$2)/100)^(I54-'INPUT TABLE'!$B$1)</f>
        <v>5913181552.3964195</v>
      </c>
    </row>
    <row r="55" spans="9:23" x14ac:dyDescent="0.5">
      <c r="I55" s="64">
        <v>2027</v>
      </c>
      <c r="J55" s="3">
        <v>24971149909.544598</v>
      </c>
      <c r="K55">
        <v>9498749241</v>
      </c>
      <c r="L55">
        <f t="shared" si="6"/>
        <v>34469899150.544601</v>
      </c>
      <c r="M55">
        <f>J55*('INPUT TABLE'!B$15/100)</f>
        <v>4994229981.9089193</v>
      </c>
      <c r="N55">
        <f>K55*('INPUT TABLE'!B$15/100)</f>
        <v>1899749848.2</v>
      </c>
      <c r="O55">
        <f t="shared" si="7"/>
        <v>6893979830.1089191</v>
      </c>
      <c r="P55">
        <f>IF('INPUT TABLE'!$B$16=I55,L55*(('INPUT TABLE'!B$15+'INPUT TABLE'!B$17)/100),L55*(('INPUT TABLE'!B$15)/100))</f>
        <v>6893979830.1089211</v>
      </c>
      <c r="Q55">
        <f>L55*(('INPUT TABLE'!B$15+'INPUT TABLE'!B$18)/100)</f>
        <v>7583377813.119812</v>
      </c>
      <c r="R55" s="59">
        <f>'GasTax Calcs'!C13*'Gas Tax'!L55</f>
        <v>0</v>
      </c>
      <c r="S55" s="59">
        <f>R55/(1+('INPUT TABLE'!B$2)/100)^(I55-'INPUT TABLE'!$B$1)</f>
        <v>0</v>
      </c>
      <c r="T55" s="59">
        <f>'GasTax Calcs'!D13*'Gas Tax'!L55</f>
        <v>2155230444.3878012</v>
      </c>
      <c r="U55" s="59">
        <f>T55/(1+('INPUT TABLE'!B$2)/100)^(I55-'INPUT TABLE'!$B$1)</f>
        <v>1813120446.4568453</v>
      </c>
      <c r="V55" s="102">
        <f>L55*'GasTax Calcs'!B13</f>
        <v>6893979830.1089211</v>
      </c>
      <c r="W55" s="102">
        <f>V55/(1+('INPUT TABLE'!B$2)/100)^(I55-'INPUT TABLE'!$B$1)</f>
        <v>5799665562.4369316</v>
      </c>
    </row>
    <row r="56" spans="9:23" x14ac:dyDescent="0.5">
      <c r="I56" s="64">
        <v>2028</v>
      </c>
      <c r="J56" s="3">
        <v>25352728200.828339</v>
      </c>
      <c r="K56">
        <v>9698749241</v>
      </c>
      <c r="L56">
        <f t="shared" si="6"/>
        <v>35051477441.828339</v>
      </c>
      <c r="M56">
        <f>J56*('INPUT TABLE'!B$15/100)</f>
        <v>5070545640.1656675</v>
      </c>
      <c r="N56">
        <f>K56*('INPUT TABLE'!B$15/100)</f>
        <v>1939749848.2</v>
      </c>
      <c r="O56">
        <f t="shared" si="7"/>
        <v>7010295488.3656673</v>
      </c>
      <c r="P56">
        <f>IF('INPUT TABLE'!$B$16=I56,L56*(('INPUT TABLE'!B$15+'INPUT TABLE'!B$17)/100),L56*(('INPUT TABLE'!B$15)/100))</f>
        <v>7010295488.3656683</v>
      </c>
      <c r="Q56">
        <f>L56*(('INPUT TABLE'!B$15+'INPUT TABLE'!B$18)/100)</f>
        <v>7711325037.2022343</v>
      </c>
      <c r="R56" s="59">
        <f>'GasTax Calcs'!C14*'Gas Tax'!L56</f>
        <v>0</v>
      </c>
      <c r="S56" s="59">
        <f>R56/(1+('INPUT TABLE'!B$2)/100)^(I56-'INPUT TABLE'!$B$1)</f>
        <v>0</v>
      </c>
      <c r="T56" s="59">
        <f>'GasTax Calcs'!D14*'Gas Tax'!L56</f>
        <v>2191593627.0503168</v>
      </c>
      <c r="U56" s="59">
        <f>T56/(1+('INPUT TABLE'!B$2)/100)^(I56-'INPUT TABLE'!$B$1)</f>
        <v>1798742954.0173738</v>
      </c>
      <c r="V56" s="102">
        <f>L56*'GasTax Calcs'!B14</f>
        <v>7010295488.3656683</v>
      </c>
      <c r="W56" s="102">
        <f>V56/(1+('INPUT TABLE'!B$2)/100)^(I56-'INPUT TABLE'!$B$1)</f>
        <v>5753675982.4626112</v>
      </c>
    </row>
    <row r="57" spans="9:23" x14ac:dyDescent="0.5">
      <c r="I57" s="64">
        <v>2029</v>
      </c>
      <c r="J57" s="3">
        <v>25333035200.851112</v>
      </c>
      <c r="K57">
        <v>9898749241</v>
      </c>
      <c r="L57">
        <f t="shared" si="6"/>
        <v>35231784441.851112</v>
      </c>
      <c r="M57">
        <f>J57*('INPUT TABLE'!B$15/100)</f>
        <v>5066607040.1702223</v>
      </c>
      <c r="N57">
        <f>K57*('INPUT TABLE'!B$15/100)</f>
        <v>1979749848.2</v>
      </c>
      <c r="O57">
        <f t="shared" si="7"/>
        <v>7046356888.3702221</v>
      </c>
      <c r="P57">
        <f>IF('INPUT TABLE'!$B$16=I57,L57*(('INPUT TABLE'!B$15+'INPUT TABLE'!B$17)/100),L57*(('INPUT TABLE'!B$15)/100))</f>
        <v>7046356888.370223</v>
      </c>
      <c r="Q57">
        <f>L57*(('INPUT TABLE'!B$15+'INPUT TABLE'!B$18)/100)</f>
        <v>7750992577.2072449</v>
      </c>
      <c r="R57" s="59">
        <f>'GasTax Calcs'!C15*'Gas Tax'!L57</f>
        <v>0</v>
      </c>
      <c r="S57" s="59">
        <f>R57/(1+('INPUT TABLE'!B$2)/100)^(I57-'INPUT TABLE'!$B$1)</f>
        <v>0</v>
      </c>
      <c r="T57" s="59">
        <f>'GasTax Calcs'!D15*'Gas Tax'!L57</f>
        <v>2980190586.3403573</v>
      </c>
      <c r="U57" s="59">
        <f>T57/(1+('INPUT TABLE'!B$2)/100)^(I57-'INPUT TABLE'!$B$1)</f>
        <v>2386323125.9593234</v>
      </c>
      <c r="V57" s="102">
        <f>L57*'GasTax Calcs'!B15</f>
        <v>7046356888.370223</v>
      </c>
      <c r="W57" s="102">
        <f>V57/(1+('INPUT TABLE'!B$2)/100)^(I57-'INPUT TABLE'!$B$1)</f>
        <v>5642217807.6634827</v>
      </c>
    </row>
    <row r="58" spans="9:23" x14ac:dyDescent="0.5">
      <c r="I58" s="64">
        <v>2030</v>
      </c>
      <c r="J58" s="3">
        <v>25711781065.616104</v>
      </c>
      <c r="K58">
        <v>10098749241</v>
      </c>
      <c r="L58">
        <f t="shared" si="6"/>
        <v>35810530306.616104</v>
      </c>
      <c r="M58">
        <f>J58*('INPUT TABLE'!B$15/100)</f>
        <v>5142356213.1232214</v>
      </c>
      <c r="N58">
        <f>K58*('INPUT TABLE'!B$15/100)</f>
        <v>2019749848.2</v>
      </c>
      <c r="O58">
        <f t="shared" si="7"/>
        <v>7162106061.3232212</v>
      </c>
      <c r="P58">
        <f>IF('INPUT TABLE'!$B$16=I58,L58*(('INPUT TABLE'!B$15+'INPUT TABLE'!B$17)/100),L58*(('INPUT TABLE'!B$15)/100))</f>
        <v>8952632576.654026</v>
      </c>
      <c r="Q58">
        <f>L58*(('INPUT TABLE'!B$15+'INPUT TABLE'!B$18)/100)</f>
        <v>7878316667.4555426</v>
      </c>
      <c r="R58" s="59">
        <f>'GasTax Calcs'!C16*'Gas Tax'!L58</f>
        <v>1790526515.3308053</v>
      </c>
      <c r="S58" s="59">
        <f>R58/(1+('INPUT TABLE'!B$2)/100)^(I58-'INPUT TABLE'!$B$1)</f>
        <v>1398756452.0239606</v>
      </c>
      <c r="T58" s="59">
        <f>'GasTax Calcs'!D16*'Gas Tax'!L58</f>
        <v>3029145613.8923311</v>
      </c>
      <c r="U58" s="59">
        <f>T58/(1+('INPUT TABLE'!B$2)/100)^(I58-'INPUT TABLE'!$B$1)</f>
        <v>2366363712.1671853</v>
      </c>
      <c r="V58" s="102">
        <f>L58*'GasTax Calcs'!B16</f>
        <v>7162106061.3232212</v>
      </c>
      <c r="W58" s="102">
        <f>V58/(1+('INPUT TABLE'!B$2)/100)^(I58-'INPUT TABLE'!$B$1)</f>
        <v>5595025808.0958424</v>
      </c>
    </row>
    <row r="59" spans="9:23" x14ac:dyDescent="0.5">
      <c r="I59" s="64">
        <v>2031</v>
      </c>
      <c r="J59" s="3">
        <v>25688719414.552509</v>
      </c>
      <c r="K59">
        <v>10298749241</v>
      </c>
      <c r="L59">
        <f t="shared" si="6"/>
        <v>35987468655.552505</v>
      </c>
      <c r="M59">
        <f>J59*('INPUT TABLE'!B$15/100)</f>
        <v>5137743882.9105024</v>
      </c>
      <c r="N59">
        <f>K59*('INPUT TABLE'!B$15/100)</f>
        <v>2059749848.2</v>
      </c>
      <c r="O59">
        <f t="shared" si="7"/>
        <v>7197493731.1105022</v>
      </c>
      <c r="P59">
        <f>IF('INPUT TABLE'!$B$16=I59,L59*(('INPUT TABLE'!B$15+'INPUT TABLE'!B$17)/100),L59*(('INPUT TABLE'!B$15)/100))</f>
        <v>7197493731.1105013</v>
      </c>
      <c r="Q59">
        <f>L59*(('INPUT TABLE'!B$15+'INPUT TABLE'!B$18)/100)</f>
        <v>7917243104.2215509</v>
      </c>
      <c r="R59" s="59">
        <f>'GasTax Calcs'!C17*'Gas Tax'!L59</f>
        <v>1799373432.7776253</v>
      </c>
      <c r="S59" s="59">
        <f>R59/(1+('INPUT TABLE'!B$2)/100)^(I59-'INPUT TABLE'!$B$1)</f>
        <v>1371383072.9693813</v>
      </c>
      <c r="T59" s="59">
        <f>'GasTax Calcs'!D17*'Gas Tax'!L59</f>
        <v>3044112497.0694571</v>
      </c>
      <c r="U59" s="59">
        <f>T59/(1+('INPUT TABLE'!B$2)/100)^(I59-'INPUT TABLE'!$B$1)</f>
        <v>2320054455.9843631</v>
      </c>
      <c r="V59" s="102">
        <f>L59*'GasTax Calcs'!B17</f>
        <v>7197493731.1105013</v>
      </c>
      <c r="W59" s="102">
        <f>V59/(1+('INPUT TABLE'!B$2)/100)^(I59-'INPUT TABLE'!$B$1)</f>
        <v>5485532291.8775253</v>
      </c>
    </row>
    <row r="60" spans="9:23" x14ac:dyDescent="0.5">
      <c r="I60" s="64">
        <v>2032</v>
      </c>
      <c r="J60" s="3">
        <v>26063619966.735374</v>
      </c>
      <c r="K60">
        <v>10498749241</v>
      </c>
      <c r="L60">
        <f t="shared" si="6"/>
        <v>36562369207.735374</v>
      </c>
      <c r="M60">
        <f>J60*('INPUT TABLE'!B$15/100)</f>
        <v>5212723993.3470755</v>
      </c>
      <c r="N60">
        <f>K60*('INPUT TABLE'!B$15/100)</f>
        <v>2099749848.2</v>
      </c>
      <c r="O60">
        <f t="shared" si="7"/>
        <v>7312473841.5470753</v>
      </c>
      <c r="P60">
        <f>IF('INPUT TABLE'!$B$16=I60,L60*(('INPUT TABLE'!B$15+'INPUT TABLE'!B$17)/100),L60*(('INPUT TABLE'!B$15)/100))</f>
        <v>7312473841.5470753</v>
      </c>
      <c r="Q60">
        <f>L60*(('INPUT TABLE'!B$15+'INPUT TABLE'!B$18)/100)</f>
        <v>8043721225.7017822</v>
      </c>
      <c r="R60" s="59">
        <f>'GasTax Calcs'!C18*'Gas Tax'!L60</f>
        <v>1828118460.3867688</v>
      </c>
      <c r="S60" s="59">
        <f>R60/(1+('INPUT TABLE'!B$2)/100)^(I60-'INPUT TABLE'!$B$1)</f>
        <v>1359308239.7805505</v>
      </c>
      <c r="T60" s="59">
        <f>'GasTax Calcs'!D18*'Gas Tax'!L60</f>
        <v>3092742256.8400707</v>
      </c>
      <c r="U60" s="59">
        <f>T60/(1+('INPUT TABLE'!B$2)/100)^(I60-'INPUT TABLE'!$B$1)</f>
        <v>2299626706.0017433</v>
      </c>
      <c r="V60" s="102">
        <f>L60*'GasTax Calcs'!B18</f>
        <v>7312473841.5470753</v>
      </c>
      <c r="W60" s="102">
        <f>V60/(1+('INPUT TABLE'!B$2)/100)^(I60-'INPUT TABLE'!$B$1)</f>
        <v>5437232959.1222019</v>
      </c>
    </row>
    <row r="61" spans="9:23" x14ac:dyDescent="0.5">
      <c r="I61" s="64">
        <v>2033</v>
      </c>
      <c r="J61" s="3">
        <v>26036384451.927517</v>
      </c>
      <c r="K61">
        <v>10698749241</v>
      </c>
      <c r="L61">
        <f t="shared" si="6"/>
        <v>36735133692.927521</v>
      </c>
      <c r="M61">
        <f>J61*('INPUT TABLE'!B$15/100)</f>
        <v>5207276890.3855038</v>
      </c>
      <c r="N61">
        <f>K61*('INPUT TABLE'!B$15/100)</f>
        <v>2139749848.2</v>
      </c>
      <c r="O61">
        <f t="shared" si="7"/>
        <v>7347026738.5855036</v>
      </c>
      <c r="P61">
        <f>IF('INPUT TABLE'!$B$16=I61,L61*(('INPUT TABLE'!B$15+'INPUT TABLE'!B$17)/100),L61*(('INPUT TABLE'!B$15)/100))</f>
        <v>7347026738.5855045</v>
      </c>
      <c r="Q61">
        <f>L61*(('INPUT TABLE'!B$15+'INPUT TABLE'!B$18)/100)</f>
        <v>8081729412.4440546</v>
      </c>
      <c r="R61" s="59">
        <f>'GasTax Calcs'!C19*'Gas Tax'!L61</f>
        <v>1836756684.6463761</v>
      </c>
      <c r="S61" s="59">
        <f>R61/(1+('INPUT TABLE'!B$2)/100)^(I61-'INPUT TABLE'!$B$1)</f>
        <v>1332420724.1610954</v>
      </c>
      <c r="T61" s="59">
        <f>'GasTax Calcs'!D19*'Gas Tax'!L61</f>
        <v>3107356080.709065</v>
      </c>
      <c r="U61" s="59">
        <f>T61/(1+('INPUT TABLE'!B$2)/100)^(I61-'INPUT TABLE'!$B$1)</f>
        <v>2254139415.3585849</v>
      </c>
      <c r="V61" s="102">
        <f>L61*'GasTax Calcs'!B19</f>
        <v>7347026738.5855045</v>
      </c>
      <c r="W61" s="102">
        <f>V61/(1+('INPUT TABLE'!B$2)/100)^(I61-'INPUT TABLE'!$B$1)</f>
        <v>5329682896.6443815</v>
      </c>
    </row>
    <row r="62" spans="9:23" x14ac:dyDescent="0.5">
      <c r="I62" s="64">
        <v>2034</v>
      </c>
      <c r="J62" s="3">
        <v>26406713395.68166</v>
      </c>
      <c r="K62">
        <v>10898749241</v>
      </c>
      <c r="L62">
        <f t="shared" si="6"/>
        <v>37305462636.681656</v>
      </c>
      <c r="M62">
        <f>J62*('INPUT TABLE'!B$15/100)</f>
        <v>5281342679.1363325</v>
      </c>
      <c r="N62">
        <f>K62*('INPUT TABLE'!B$15/100)</f>
        <v>2179749848.2000003</v>
      </c>
      <c r="O62">
        <f t="shared" si="7"/>
        <v>7461092527.3363323</v>
      </c>
      <c r="P62">
        <f>IF('INPUT TABLE'!$B$16=I62,L62*(('INPUT TABLE'!B$15+'INPUT TABLE'!B$17)/100),L62*(('INPUT TABLE'!B$15)/100))</f>
        <v>7461092527.3363314</v>
      </c>
      <c r="Q62">
        <f>L62*(('INPUT TABLE'!B$15+'INPUT TABLE'!B$18)/100)</f>
        <v>8207201780.0699644</v>
      </c>
      <c r="R62" s="59">
        <f>'GasTax Calcs'!C20*'Gas Tax'!L62</f>
        <v>1865273131.8340828</v>
      </c>
      <c r="S62" s="59">
        <f>R62/(1+('INPUT TABLE'!B$2)/100)^(I62-'INPUT TABLE'!$B$1)</f>
        <v>1320104522.9193347</v>
      </c>
      <c r="T62" s="59">
        <f>'GasTax Calcs'!D20*'Gas Tax'!L62</f>
        <v>3155599136.6944575</v>
      </c>
      <c r="U62" s="59">
        <f>T62/(1+('INPUT TABLE'!B$2)/100)^(I62-'INPUT TABLE'!$B$1)</f>
        <v>2233303327.9553208</v>
      </c>
      <c r="V62" s="102">
        <f>L62*'GasTax Calcs'!B20</f>
        <v>7461092527.3363314</v>
      </c>
      <c r="W62" s="102">
        <f>V62/(1+('INPUT TABLE'!B$2)/100)^(I62-'INPUT TABLE'!$B$1)</f>
        <v>5280418091.6773386</v>
      </c>
    </row>
    <row r="63" spans="9:23" x14ac:dyDescent="0.5">
      <c r="I63" s="64">
        <v>2035</v>
      </c>
      <c r="J63" s="3">
        <v>26374527698.384186</v>
      </c>
      <c r="K63">
        <v>11098749241</v>
      </c>
      <c r="L63">
        <f t="shared" si="6"/>
        <v>37473276939.384186</v>
      </c>
      <c r="M63">
        <f>J63*('INPUT TABLE'!B$15/100)</f>
        <v>5274905539.6768379</v>
      </c>
      <c r="N63">
        <f>K63*('INPUT TABLE'!B$15/100)</f>
        <v>2219749848.2000003</v>
      </c>
      <c r="O63">
        <f t="shared" si="7"/>
        <v>7494655387.8768387</v>
      </c>
      <c r="P63">
        <f>IF('INPUT TABLE'!$B$16=I63,L63*(('INPUT TABLE'!B$15+'INPUT TABLE'!B$17)/100),L63*(('INPUT TABLE'!B$15)/100))</f>
        <v>7494655387.8768377</v>
      </c>
      <c r="Q63">
        <f>L63*(('INPUT TABLE'!B$15+'INPUT TABLE'!B$18)/100)</f>
        <v>8244120926.6645212</v>
      </c>
      <c r="R63" s="59">
        <f>'GasTax Calcs'!C21*'Gas Tax'!L63</f>
        <v>1873663846.9692094</v>
      </c>
      <c r="S63" s="59">
        <f>R63/(1+('INPUT TABLE'!B$2)/100)^(I63-'INPUT TABLE'!$B$1)</f>
        <v>1293700351.4266715</v>
      </c>
      <c r="T63" s="59">
        <f>'GasTax Calcs'!D21*'Gas Tax'!L63</f>
        <v>3169794233.908247</v>
      </c>
      <c r="U63" s="59">
        <f>T63/(1+('INPUT TABLE'!B$2)/100)^(I63-'INPUT TABLE'!$B$1)</f>
        <v>2188633740.7804642</v>
      </c>
      <c r="V63" s="102">
        <f>L63*'GasTax Calcs'!B21</f>
        <v>7494655387.8768377</v>
      </c>
      <c r="W63" s="102">
        <f>V63/(1+('INPUT TABLE'!B$2)/100)^(I63-'INPUT TABLE'!$B$1)</f>
        <v>5174801405.706686</v>
      </c>
    </row>
    <row r="64" spans="9:23" x14ac:dyDescent="0.5">
      <c r="I64" s="64">
        <v>2036</v>
      </c>
      <c r="J64" s="3">
        <v>26739921882.136806</v>
      </c>
      <c r="K64">
        <v>11298749241</v>
      </c>
      <c r="L64">
        <f t="shared" si="6"/>
        <v>38038671123.13681</v>
      </c>
      <c r="M64">
        <f>J64*('INPUT TABLE'!B$15/100)</f>
        <v>5347984376.4273615</v>
      </c>
      <c r="N64">
        <f>K64*('INPUT TABLE'!B$15/100)</f>
        <v>2259749848.2000003</v>
      </c>
      <c r="O64">
        <f t="shared" si="7"/>
        <v>7607734224.6273613</v>
      </c>
      <c r="P64">
        <f>IF('INPUT TABLE'!$B$16=I64,L64*(('INPUT TABLE'!B$15+'INPUT TABLE'!B$17)/100),L64*(('INPUT TABLE'!B$15)/100))</f>
        <v>7607734224.6273623</v>
      </c>
      <c r="Q64">
        <f>L64*(('INPUT TABLE'!B$15+'INPUT TABLE'!B$18)/100)</f>
        <v>8368507647.0900984</v>
      </c>
      <c r="R64" s="59">
        <f>'GasTax Calcs'!C22*'Gas Tax'!L64</f>
        <v>1901933556.1568406</v>
      </c>
      <c r="S64" s="59">
        <f>R64/(1+('INPUT TABLE'!B$2)/100)^(I64-'INPUT TABLE'!$B$1)</f>
        <v>1281189865.2903273</v>
      </c>
      <c r="T64" s="59">
        <f>'GasTax Calcs'!D22*'Gas Tax'!L64</f>
        <v>3217619867.7977867</v>
      </c>
      <c r="U64" s="59">
        <f>T64/(1+('INPUT TABLE'!B$2)/100)^(I64-'INPUT TABLE'!$B$1)</f>
        <v>2167468969.4782271</v>
      </c>
      <c r="V64" s="102">
        <f>L64*'GasTax Calcs'!B22</f>
        <v>7607734224.6273623</v>
      </c>
      <c r="W64" s="102">
        <f>V64/(1+('INPUT TABLE'!B$2)/100)^(I64-'INPUT TABLE'!$B$1)</f>
        <v>5124759461.1613092</v>
      </c>
    </row>
    <row r="65" spans="9:23" x14ac:dyDescent="0.5">
      <c r="I65" s="64">
        <v>2037</v>
      </c>
      <c r="J65" s="3">
        <v>26702941979.138832</v>
      </c>
      <c r="K65">
        <v>11498749241</v>
      </c>
      <c r="L65">
        <f t="shared" si="6"/>
        <v>38201691220.138832</v>
      </c>
      <c r="M65">
        <f>J65*('INPUT TABLE'!B$15/100)</f>
        <v>5340588395.8277664</v>
      </c>
      <c r="N65">
        <f>K65*('INPUT TABLE'!B$15/100)</f>
        <v>2299749848.2000003</v>
      </c>
      <c r="O65">
        <f t="shared" si="7"/>
        <v>7640338244.0277672</v>
      </c>
      <c r="P65">
        <f>IF('INPUT TABLE'!$B$16=I65,L65*(('INPUT TABLE'!B$15+'INPUT TABLE'!B$17)/100),L65*(('INPUT TABLE'!B$15)/100))</f>
        <v>7640338244.0277672</v>
      </c>
      <c r="Q65">
        <f>L65*(('INPUT TABLE'!B$15+'INPUT TABLE'!B$18)/100)</f>
        <v>8404372068.4305429</v>
      </c>
      <c r="R65" s="59">
        <f>'GasTax Calcs'!C23*'Gas Tax'!L65</f>
        <v>1910084561.0069418</v>
      </c>
      <c r="S65" s="59">
        <f>R65/(1+('INPUT TABLE'!B$2)/100)^(I65-'INPUT TABLE'!$B$1)</f>
        <v>1255298132.0882409</v>
      </c>
      <c r="T65" s="59">
        <f>'GasTax Calcs'!D23*'Gas Tax'!L65</f>
        <v>3231409432.1405063</v>
      </c>
      <c r="U65" s="59">
        <f>T65/(1+('INPUT TABLE'!B$2)/100)^(I65-'INPUT TABLE'!$B$1)</f>
        <v>2123666306.1869326</v>
      </c>
      <c r="V65" s="102">
        <f>L65*'GasTax Calcs'!B23</f>
        <v>7640338244.0277672</v>
      </c>
      <c r="W65" s="102">
        <f>V65/(1+('INPUT TABLE'!B$2)/100)^(I65-'INPUT TABLE'!$B$1)</f>
        <v>5021192528.3529634</v>
      </c>
    </row>
    <row r="66" spans="9:23" x14ac:dyDescent="0.5">
      <c r="I66" s="64">
        <v>2038</v>
      </c>
      <c r="J66" s="3">
        <v>27063502903.284702</v>
      </c>
      <c r="K66">
        <v>11698749241</v>
      </c>
      <c r="L66">
        <f t="shared" si="6"/>
        <v>38762252144.284698</v>
      </c>
      <c r="M66">
        <f>J66*('INPUT TABLE'!B$15/100)</f>
        <v>5412700580.6569405</v>
      </c>
      <c r="N66">
        <f>K66*('INPUT TABLE'!B$15/100)</f>
        <v>2339749848.2000003</v>
      </c>
      <c r="O66">
        <f t="shared" si="7"/>
        <v>7752450428.8569412</v>
      </c>
      <c r="P66">
        <f>IF('INPUT TABLE'!$B$16=I66,L66*(('INPUT TABLE'!B$15+'INPUT TABLE'!B$17)/100),L66*(('INPUT TABLE'!B$15)/100))</f>
        <v>7752450428.8569403</v>
      </c>
      <c r="Q66">
        <f>L66*(('INPUT TABLE'!B$15+'INPUT TABLE'!B$18)/100)</f>
        <v>8527695471.7426338</v>
      </c>
      <c r="R66" s="59">
        <f>'GasTax Calcs'!C24*'Gas Tax'!L66</f>
        <v>1938112607.2142351</v>
      </c>
      <c r="S66" s="59">
        <f>R66/(1+('INPUT TABLE'!B$2)/100)^(I66-'INPUT TABLE'!$B$1)</f>
        <v>1242651732.2098849</v>
      </c>
      <c r="T66" s="59">
        <f>'GasTax Calcs'!D24*'Gas Tax'!L66</f>
        <v>3278826229.662272</v>
      </c>
      <c r="U66" s="59">
        <f>T66/(1+('INPUT TABLE'!B$2)/100)^(I66-'INPUT TABLE'!$B$1)</f>
        <v>2102271601.1127253</v>
      </c>
      <c r="V66" s="102">
        <f>L66*'GasTax Calcs'!B24</f>
        <v>7752450428.8569403</v>
      </c>
      <c r="W66" s="102">
        <f>V66/(1+('INPUT TABLE'!B$2)/100)^(I66-'INPUT TABLE'!$B$1)</f>
        <v>4970606928.8395395</v>
      </c>
    </row>
    <row r="67" spans="9:23" x14ac:dyDescent="0.5">
      <c r="I67" s="64">
        <v>2039</v>
      </c>
      <c r="J67" s="3">
        <v>27021622452.591091</v>
      </c>
      <c r="K67">
        <v>11898749241</v>
      </c>
      <c r="L67">
        <f t="shared" si="6"/>
        <v>38920371693.591095</v>
      </c>
      <c r="M67">
        <f>J67*('INPUT TABLE'!B$15/100)</f>
        <v>5404324490.518219</v>
      </c>
      <c r="N67">
        <f>K67*('INPUT TABLE'!B$15/100)</f>
        <v>2379749848.2000003</v>
      </c>
      <c r="O67">
        <f t="shared" si="7"/>
        <v>7784074338.7182198</v>
      </c>
      <c r="P67">
        <f>IF('INPUT TABLE'!$B$16=I67,L67*(('INPUT TABLE'!B$15+'INPUT TABLE'!B$17)/100),L67*(('INPUT TABLE'!B$15)/100))</f>
        <v>7784074338.7182198</v>
      </c>
      <c r="Q67">
        <f>L67*(('INPUT TABLE'!B$15+'INPUT TABLE'!B$18)/100)</f>
        <v>8562481772.5900412</v>
      </c>
      <c r="R67" s="59">
        <f>'GasTax Calcs'!C25*'Gas Tax'!L67</f>
        <v>1946018584.6795549</v>
      </c>
      <c r="S67" s="59">
        <f>R67/(1+('INPUT TABLE'!B$2)/100)^(I67-'INPUT TABLE'!$B$1)</f>
        <v>1217288561.4055283</v>
      </c>
      <c r="T67" s="59">
        <f>'GasTax Calcs'!D25*'Gas Tax'!L67</f>
        <v>3292201265.863945</v>
      </c>
      <c r="U67" s="59">
        <f>T67/(1+('INPUT TABLE'!B$2)/100)^(I67-'INPUT TABLE'!$B$1)</f>
        <v>2059363139.86482</v>
      </c>
      <c r="V67" s="102">
        <f>L67*'GasTax Calcs'!B25</f>
        <v>7784074338.7182198</v>
      </c>
      <c r="W67" s="102">
        <f>V67/(1+('INPUT TABLE'!B$2)/100)^(I67-'INPUT TABLE'!$B$1)</f>
        <v>4869154245.6221132</v>
      </c>
    </row>
    <row r="68" spans="9:23" x14ac:dyDescent="0.5">
      <c r="I68" s="64">
        <v>2040</v>
      </c>
      <c r="J68" s="3">
        <v>27377441000.359764</v>
      </c>
      <c r="K68">
        <v>12098749241</v>
      </c>
      <c r="L68">
        <f t="shared" si="6"/>
        <v>39476190241.359764</v>
      </c>
      <c r="M68">
        <f>J68*('INPUT TABLE'!B$15/100)</f>
        <v>5475488200.0719528</v>
      </c>
      <c r="N68">
        <f>K68*('INPUT TABLE'!B$15/100)</f>
        <v>2419749848.2000003</v>
      </c>
      <c r="O68">
        <f t="shared" si="7"/>
        <v>7895238048.2719536</v>
      </c>
      <c r="P68">
        <f>IF('INPUT TABLE'!$B$16=I68,L68*(('INPUT TABLE'!B$15+'INPUT TABLE'!B$17)/100),L68*(('INPUT TABLE'!B$15)/100))</f>
        <v>7895238048.2719536</v>
      </c>
      <c r="Q68">
        <f>L68*(('INPUT TABLE'!B$15+'INPUT TABLE'!B$18)/100)</f>
        <v>8684761853.0991478</v>
      </c>
      <c r="R68" s="59">
        <f>'GasTax Calcs'!C26*'Gas Tax'!L68</f>
        <v>1973809512.0679884</v>
      </c>
      <c r="S68" s="59">
        <f>R68/(1+('INPUT TABLE'!B$2)/100)^(I68-'INPUT TABLE'!$B$1)</f>
        <v>1204558591.9534593</v>
      </c>
      <c r="T68" s="59">
        <f>'GasTax Calcs'!D26*'Gas Tax'!L68</f>
        <v>3339216914.6599197</v>
      </c>
      <c r="U68" s="59">
        <f>T68/(1+('INPUT TABLE'!B$2)/100)^(I68-'INPUT TABLE'!$B$1)</f>
        <v>2037827054.9196637</v>
      </c>
      <c r="V68" s="102">
        <f>L68*'GasTax Calcs'!B26</f>
        <v>7895238048.2719536</v>
      </c>
      <c r="W68" s="102">
        <f>V68/(1+('INPUT TABLE'!B$2)/100)^(I68-'INPUT TABLE'!$B$1)</f>
        <v>4818234367.8138371</v>
      </c>
    </row>
    <row r="69" spans="9:23" x14ac:dyDescent="0.5">
      <c r="I69" s="64">
        <v>2041</v>
      </c>
      <c r="J69" s="3">
        <v>27331046429.989639</v>
      </c>
      <c r="K69">
        <v>12298749241</v>
      </c>
      <c r="L69">
        <f t="shared" si="6"/>
        <v>39629795670.989639</v>
      </c>
      <c r="M69">
        <f>J69*('INPUT TABLE'!B$15/100)</f>
        <v>5466209285.9979286</v>
      </c>
      <c r="N69">
        <f>K69*('INPUT TABLE'!B$15/100)</f>
        <v>2459749848.2000003</v>
      </c>
      <c r="O69">
        <f t="shared" si="7"/>
        <v>7925959134.1979294</v>
      </c>
      <c r="P69">
        <f>IF('INPUT TABLE'!$B$16=I69,L69*(('INPUT TABLE'!B$15+'INPUT TABLE'!B$17)/100),L69*(('INPUT TABLE'!B$15)/100))</f>
        <v>7925959134.1979284</v>
      </c>
      <c r="Q69">
        <f>L69*(('INPUT TABLE'!B$15+'INPUT TABLE'!B$18)/100)</f>
        <v>8718555047.6177216</v>
      </c>
      <c r="R69" s="59">
        <f>'GasTax Calcs'!C27*'Gas Tax'!L69</f>
        <v>1981489783.5494821</v>
      </c>
      <c r="S69" s="59">
        <f>R69/(1+('INPUT TABLE'!B$2)/100)^(I69-'INPUT TABLE'!$B$1)</f>
        <v>1179751842.4115925</v>
      </c>
      <c r="T69" s="59">
        <f>'GasTax Calcs'!D27*'Gas Tax'!L69</f>
        <v>3352210109.9421306</v>
      </c>
      <c r="U69" s="59">
        <f>T69/(1+('INPUT TABLE'!B$2)/100)^(I69-'INPUT TABLE'!$B$1)</f>
        <v>1995859926.2978415</v>
      </c>
      <c r="V69" s="102">
        <f>L69*'GasTax Calcs'!B27</f>
        <v>7925959134.1979284</v>
      </c>
      <c r="W69" s="102">
        <f>V69/(1+('INPUT TABLE'!B$2)/100)^(I69-'INPUT TABLE'!$B$1)</f>
        <v>4719007369.6463699</v>
      </c>
    </row>
    <row r="70" spans="9:23" x14ac:dyDescent="0.5">
      <c r="I70" s="64">
        <v>2042</v>
      </c>
      <c r="J70" s="3">
        <v>27682845706.327141</v>
      </c>
      <c r="K70">
        <v>12498749241</v>
      </c>
      <c r="L70">
        <f t="shared" si="6"/>
        <v>40181594947.327141</v>
      </c>
      <c r="M70">
        <f>J70*('INPUT TABLE'!B$15/100)</f>
        <v>5536569141.2654285</v>
      </c>
      <c r="N70">
        <f>K70*('INPUT TABLE'!B$15/100)</f>
        <v>2499749848.2000003</v>
      </c>
      <c r="O70">
        <f t="shared" si="7"/>
        <v>8036318989.4654293</v>
      </c>
      <c r="P70">
        <f>IF('INPUT TABLE'!$B$16=I70,L70*(('INPUT TABLE'!B$15+'INPUT TABLE'!B$17)/100),L70*(('INPUT TABLE'!B$15)/100))</f>
        <v>8036318989.4654284</v>
      </c>
      <c r="Q70">
        <f>L70*(('INPUT TABLE'!B$15+'INPUT TABLE'!B$18)/100)</f>
        <v>8839950888.4119701</v>
      </c>
      <c r="R70" s="59">
        <f>'GasTax Calcs'!C28*'Gas Tax'!L70</f>
        <v>2009079747.3663571</v>
      </c>
      <c r="S70" s="59">
        <f>R70/(1+('INPUT TABLE'!B$2)/100)^(I70-'INPUT TABLE'!$B$1)</f>
        <v>1167003442.430789</v>
      </c>
      <c r="T70" s="59">
        <f>'GasTax Calcs'!D28*'Gas Tax'!L70</f>
        <v>3398885776.1038766</v>
      </c>
      <c r="U70" s="59">
        <f>T70/(1+('INPUT TABLE'!B$2)/100)^(I70-'INPUT TABLE'!$B$1)</f>
        <v>1974292661.2753174</v>
      </c>
      <c r="V70" s="102">
        <f>L70*'GasTax Calcs'!B28</f>
        <v>8036318989.4654284</v>
      </c>
      <c r="W70" s="102">
        <f>V70/(1+('INPUT TABLE'!B$2)/100)^(I70-'INPUT TABLE'!$B$1)</f>
        <v>4668013769.723156</v>
      </c>
    </row>
    <row r="71" spans="9:23" x14ac:dyDescent="0.5">
      <c r="I71" s="64">
        <v>2043</v>
      </c>
      <c r="J71" s="3">
        <v>27632711707.401199</v>
      </c>
      <c r="K71">
        <v>12698749241</v>
      </c>
      <c r="L71">
        <f t="shared" si="6"/>
        <v>40331460948.401199</v>
      </c>
      <c r="M71">
        <f>J71*('INPUT TABLE'!B$15/100)</f>
        <v>5526542341.4802399</v>
      </c>
      <c r="N71">
        <f>K71*('INPUT TABLE'!B$15/100)</f>
        <v>2539749848.2000003</v>
      </c>
      <c r="O71">
        <f t="shared" si="7"/>
        <v>8066292189.6802406</v>
      </c>
      <c r="P71">
        <f>IF('INPUT TABLE'!$B$16=I71,L71*(('INPUT TABLE'!B$15+'INPUT TABLE'!B$17)/100),L71*(('INPUT TABLE'!B$15)/100))</f>
        <v>8066292189.6802406</v>
      </c>
      <c r="Q71">
        <f>L71*(('INPUT TABLE'!B$15+'INPUT TABLE'!B$18)/100)</f>
        <v>8872921408.6482639</v>
      </c>
      <c r="R71" s="59">
        <f>'GasTax Calcs'!C29*'Gas Tax'!L71</f>
        <v>2016573047.4200602</v>
      </c>
      <c r="S71" s="59">
        <f>R71/(1+('INPUT TABLE'!B$2)/100)^(I71-'INPUT TABLE'!$B$1)</f>
        <v>1142786376.2791557</v>
      </c>
      <c r="T71" s="59">
        <f>'GasTax Calcs'!D29*'Gas Tax'!L71</f>
        <v>3411562660.1359792</v>
      </c>
      <c r="U71" s="59">
        <f>T71/(1+('INPUT TABLE'!B$2)/100)^(I71-'INPUT TABLE'!$B$1)</f>
        <v>1933323136.8999648</v>
      </c>
      <c r="V71" s="102">
        <f>L71*'GasTax Calcs'!B29</f>
        <v>8066292189.6802406</v>
      </c>
      <c r="W71" s="102">
        <f>V71/(1+('INPUT TABLE'!B$2)/100)^(I71-'INPUT TABLE'!$B$1)</f>
        <v>4571145505.1166229</v>
      </c>
    </row>
    <row r="72" spans="9:23" x14ac:dyDescent="0.5">
      <c r="I72" s="64">
        <v>2044</v>
      </c>
      <c r="J72" s="3">
        <v>27980833179.589958</v>
      </c>
      <c r="K72">
        <v>12898749241</v>
      </c>
      <c r="L72">
        <f t="shared" si="6"/>
        <v>40879582420.589958</v>
      </c>
      <c r="M72">
        <f>J72*('INPUT TABLE'!B$15/100)</f>
        <v>5596166635.9179916</v>
      </c>
      <c r="N72">
        <f>K72*('INPUT TABLE'!B$15/100)</f>
        <v>2579749848.2000003</v>
      </c>
      <c r="O72">
        <f t="shared" si="7"/>
        <v>8175916484.1179924</v>
      </c>
      <c r="P72">
        <f>IF('INPUT TABLE'!$B$16=I72,L72*(('INPUT TABLE'!B$15+'INPUT TABLE'!B$17)/100),L72*(('INPUT TABLE'!B$15)/100))</f>
        <v>8175916484.1179924</v>
      </c>
      <c r="Q72">
        <f>L72*(('INPUT TABLE'!B$15+'INPUT TABLE'!B$18)/100)</f>
        <v>8993508132.5297909</v>
      </c>
      <c r="R72" s="59">
        <f>'GasTax Calcs'!C30*'Gas Tax'!L72</f>
        <v>2043979121.0294981</v>
      </c>
      <c r="S72" s="59">
        <f>R72/(1+('INPUT TABLE'!B$2)/100)^(I72-'INPUT TABLE'!$B$1)</f>
        <v>1130065680.486975</v>
      </c>
      <c r="T72" s="59">
        <f>'GasTax Calcs'!D30*'Gas Tax'!L72</f>
        <v>3457927227.7406659</v>
      </c>
      <c r="U72" s="59">
        <f>T72/(1+('INPUT TABLE'!B$2)/100)^(I72-'INPUT TABLE'!$B$1)</f>
        <v>1911802740.7848456</v>
      </c>
      <c r="V72" s="102">
        <f>L72*'GasTax Calcs'!B30</f>
        <v>8175916484.1179924</v>
      </c>
      <c r="W72" s="102">
        <f>V72/(1+('INPUT TABLE'!B$2)/100)^(I72-'INPUT TABLE'!$B$1)</f>
        <v>4520262721.9478998</v>
      </c>
    </row>
    <row r="73" spans="9:23" x14ac:dyDescent="0.5">
      <c r="I73" s="64">
        <v>2045</v>
      </c>
      <c r="J73" s="3">
        <v>27926996763.9963</v>
      </c>
      <c r="K73">
        <v>13098749241</v>
      </c>
      <c r="L73">
        <f t="shared" si="6"/>
        <v>41025746004.9963</v>
      </c>
      <c r="M73">
        <f>J73*('INPUT TABLE'!B$15/100)</f>
        <v>5585399352.7992601</v>
      </c>
      <c r="N73">
        <f>K73*('INPUT TABLE'!B$15/100)</f>
        <v>2619749848.2000003</v>
      </c>
      <c r="O73">
        <f t="shared" si="7"/>
        <v>8205149200.9992599</v>
      </c>
      <c r="P73">
        <f>IF('INPUT TABLE'!$B$16=I73,L73*(('INPUT TABLE'!B$15+'INPUT TABLE'!B$17)/100),L73*(('INPUT TABLE'!B$15)/100))</f>
        <v>8205149200.9992599</v>
      </c>
      <c r="Q73">
        <f>L73*(('INPUT TABLE'!B$15+'INPUT TABLE'!B$18)/100)</f>
        <v>9025664121.0991859</v>
      </c>
      <c r="R73" s="59">
        <f>'GasTax Calcs'!C31*'Gas Tax'!L73</f>
        <v>2051287300.249815</v>
      </c>
      <c r="S73" s="59">
        <f>R73/(1+('INPUT TABLE'!B$2)/100)^(I73-'INPUT TABLE'!$B$1)</f>
        <v>1106445066.0115697</v>
      </c>
      <c r="T73" s="59">
        <f>'GasTax Calcs'!D31*'Gas Tax'!L73</f>
        <v>3470290931.2888775</v>
      </c>
      <c r="U73" s="59">
        <f>T73/(1+('INPUT TABLE'!B$2)/100)^(I73-'INPUT TABLE'!$B$1)</f>
        <v>1871842270.9883981</v>
      </c>
      <c r="V73" s="102">
        <f>L73*'GasTax Calcs'!B31</f>
        <v>8205149200.9992599</v>
      </c>
      <c r="W73" s="102">
        <f>V73/(1+('INPUT TABLE'!B$2)/100)^(I73-'INPUT TABLE'!$B$1)</f>
        <v>4425780264.046279</v>
      </c>
    </row>
    <row r="74" spans="9:23" x14ac:dyDescent="0.5">
      <c r="I74" s="64">
        <v>2046</v>
      </c>
      <c r="J74" s="3">
        <v>28270929939.263763</v>
      </c>
      <c r="K74">
        <v>13298749241</v>
      </c>
      <c r="L74">
        <f t="shared" si="6"/>
        <v>41569679180.263763</v>
      </c>
      <c r="M74">
        <f>J74*('INPUT TABLE'!B$15/100)</f>
        <v>5654185987.8527527</v>
      </c>
      <c r="N74">
        <f>K74*('INPUT TABLE'!B$15/100)</f>
        <v>2659749848.2000003</v>
      </c>
      <c r="O74">
        <f t="shared" si="7"/>
        <v>8313935836.0527534</v>
      </c>
      <c r="P74">
        <f>IF('INPUT TABLE'!$B$16=I74,L74*(('INPUT TABLE'!B$15+'INPUT TABLE'!B$17)/100),L74*(('INPUT TABLE'!B$15)/100))</f>
        <v>8313935836.0527534</v>
      </c>
      <c r="Q74">
        <f>L74*(('INPUT TABLE'!B$15+'INPUT TABLE'!B$18)/100)</f>
        <v>9145329419.6580276</v>
      </c>
      <c r="R74" s="59">
        <f>'GasTax Calcs'!C32*'Gas Tax'!L74</f>
        <v>2078483959.0131884</v>
      </c>
      <c r="S74" s="59">
        <f>R74/(1+('INPUT TABLE'!B$2)/100)^(I74-'INPUT TABLE'!$B$1)</f>
        <v>1093770427.1346309</v>
      </c>
      <c r="T74" s="59">
        <f>'GasTax Calcs'!D32*'Gas Tax'!L74</f>
        <v>3516301218.7100487</v>
      </c>
      <c r="U74" s="59">
        <f>T74/(1+('INPUT TABLE'!B$2)/100)^(I74-'INPUT TABLE'!$B$1)</f>
        <v>1850399792.2353508</v>
      </c>
      <c r="V74" s="102">
        <f>L74*'GasTax Calcs'!B32</f>
        <v>8313935836.0527534</v>
      </c>
      <c r="W74" s="102">
        <f>V74/(1+('INPUT TABLE'!B$2)/100)^(I74-'INPUT TABLE'!$B$1)</f>
        <v>4375081708.5385237</v>
      </c>
    </row>
    <row r="75" spans="9:23" x14ac:dyDescent="0.5">
      <c r="I75" s="64">
        <v>2047</v>
      </c>
      <c r="J75" s="3">
        <v>28212892431.414352</v>
      </c>
      <c r="K75">
        <v>13498749241</v>
      </c>
      <c r="L75">
        <f t="shared" si="6"/>
        <v>41711641672.414352</v>
      </c>
      <c r="M75">
        <f>J75*('INPUT TABLE'!B$15/100)</f>
        <v>5642578486.2828712</v>
      </c>
      <c r="N75">
        <f>K75*('INPUT TABLE'!B$15/100)</f>
        <v>2699749848.2000003</v>
      </c>
      <c r="O75">
        <f t="shared" si="7"/>
        <v>8342328334.482872</v>
      </c>
      <c r="P75">
        <f>IF('INPUT TABLE'!$B$16=I75,L75*(('INPUT TABLE'!B$15+'INPUT TABLE'!B$17)/100),L75*(('INPUT TABLE'!B$15)/100))</f>
        <v>8342328334.4828711</v>
      </c>
      <c r="Q75">
        <f>L75*(('INPUT TABLE'!B$15+'INPUT TABLE'!B$18)/100)</f>
        <v>9176561167.9311581</v>
      </c>
      <c r="R75" s="59">
        <f>'GasTax Calcs'!C33*'Gas Tax'!L75</f>
        <v>2085582083.6207178</v>
      </c>
      <c r="S75" s="59">
        <f>R75/(1+('INPUT TABLE'!B$2)/100)^(I75-'INPUT TABLE'!$B$1)</f>
        <v>1070737274.8878396</v>
      </c>
      <c r="T75" s="59">
        <f>'GasTax Calcs'!D33*'Gas Tax'!L75</f>
        <v>3528309559.7413945</v>
      </c>
      <c r="U75" s="59">
        <f>T75/(1+('INPUT TABLE'!B$2)/100)^(I75-'INPUT TABLE'!$B$1)</f>
        <v>1811433169.0074387</v>
      </c>
      <c r="V75" s="102">
        <f>L75*'GasTax Calcs'!B33</f>
        <v>8342328334.4828711</v>
      </c>
      <c r="W75" s="102">
        <f>V75/(1+('INPUT TABLE'!B$2)/100)^(I75-'INPUT TABLE'!$B$1)</f>
        <v>4282949099.5513582</v>
      </c>
    </row>
    <row r="76" spans="9:23" x14ac:dyDescent="0.5">
      <c r="I76" s="64">
        <v>2048</v>
      </c>
      <c r="J76" s="3">
        <v>28552781087.986935</v>
      </c>
      <c r="K76">
        <v>13698749241</v>
      </c>
      <c r="L76">
        <f t="shared" si="6"/>
        <v>42251530328.986938</v>
      </c>
      <c r="M76">
        <f>J76*('INPUT TABLE'!B$15/100)</f>
        <v>5710556217.5973873</v>
      </c>
      <c r="N76">
        <f>K76*('INPUT TABLE'!B$15/100)</f>
        <v>2739749848.2000003</v>
      </c>
      <c r="O76">
        <f t="shared" si="7"/>
        <v>8450306065.7973881</v>
      </c>
      <c r="P76">
        <f>IF('INPUT TABLE'!$B$16=I76,L76*(('INPUT TABLE'!B$15+'INPUT TABLE'!B$17)/100),L76*(('INPUT TABLE'!B$15)/100))</f>
        <v>8450306065.7973881</v>
      </c>
      <c r="Q76">
        <f>L76*(('INPUT TABLE'!B$15+'INPUT TABLE'!B$18)/100)</f>
        <v>9295336672.3771267</v>
      </c>
      <c r="R76" s="59">
        <f>'GasTax Calcs'!C34*'Gas Tax'!L76</f>
        <v>2112576516.449347</v>
      </c>
      <c r="S76" s="59">
        <f>R76/(1+('INPUT TABLE'!B$2)/100)^(I76-'INPUT TABLE'!$B$1)</f>
        <v>1058142643.283128</v>
      </c>
      <c r="T76" s="59">
        <f>'GasTax Calcs'!D34*'Gas Tax'!L76</f>
        <v>3573977728.9096384</v>
      </c>
      <c r="U76" s="59">
        <f>T76/(1+('INPUT TABLE'!B$2)/100)^(I76-'INPUT TABLE'!$B$1)</f>
        <v>1790126043.5572729</v>
      </c>
      <c r="V76" s="102">
        <f>L76*'GasTax Calcs'!B34</f>
        <v>8450306065.7973881</v>
      </c>
      <c r="W76" s="102">
        <f>V76/(1+('INPUT TABLE'!B$2)/100)^(I76-'INPUT TABLE'!$B$1)</f>
        <v>4232570573.1325121</v>
      </c>
    </row>
    <row r="77" spans="9:23" x14ac:dyDescent="0.5">
      <c r="I77" s="64">
        <v>2049</v>
      </c>
      <c r="J77" s="3">
        <v>28490620707.680813</v>
      </c>
      <c r="K77">
        <v>13898749241</v>
      </c>
      <c r="L77">
        <f t="shared" si="6"/>
        <v>42389369948.680817</v>
      </c>
      <c r="M77">
        <f>J77*('INPUT TABLE'!B$15/100)</f>
        <v>5698124141.5361633</v>
      </c>
      <c r="N77">
        <f>K77*('INPUT TABLE'!B$15/100)</f>
        <v>2779749848.2000003</v>
      </c>
      <c r="O77">
        <f t="shared" si="7"/>
        <v>8477873989.7361641</v>
      </c>
      <c r="P77">
        <f>IF('INPUT TABLE'!$B$16=I77,L77*(('INPUT TABLE'!B$15+'INPUT TABLE'!B$17)/100),L77*(('INPUT TABLE'!B$15)/100))</f>
        <v>8477873989.7361641</v>
      </c>
      <c r="Q77">
        <f>L77*(('INPUT TABLE'!B$15+'INPUT TABLE'!B$18)/100)</f>
        <v>9325661388.7097797</v>
      </c>
      <c r="R77" s="59">
        <f>'GasTax Calcs'!C35*'Gas Tax'!L77</f>
        <v>2119468497.434041</v>
      </c>
      <c r="S77" s="59">
        <f>R77/(1+('INPUT TABLE'!B$2)/100)^(I77-'INPUT TABLE'!$B$1)</f>
        <v>1035702130.1887616</v>
      </c>
      <c r="T77" s="59">
        <f>'GasTax Calcs'!D35*'Gas Tax'!L77</f>
        <v>3585637323.8902564</v>
      </c>
      <c r="U77" s="59">
        <f>T77/(1+('INPUT TABLE'!B$2)/100)^(I77-'INPUT TABLE'!$B$1)</f>
        <v>1752162025.0234647</v>
      </c>
      <c r="V77" s="102">
        <f>L77*'GasTax Calcs'!B35</f>
        <v>8477873989.7361641</v>
      </c>
      <c r="W77" s="102">
        <f>V77/(1+('INPUT TABLE'!B$2)/100)^(I77-'INPUT TABLE'!$B$1)</f>
        <v>4142808520.7550464</v>
      </c>
    </row>
    <row r="78" spans="9:23" x14ac:dyDescent="0.5">
      <c r="I78" s="64">
        <v>2050</v>
      </c>
      <c r="J78" s="3">
        <v>28826543696.849674</v>
      </c>
      <c r="K78">
        <v>14098749241</v>
      </c>
      <c r="L78">
        <f t="shared" si="6"/>
        <v>42925292937.84967</v>
      </c>
      <c r="M78">
        <f>J78*('INPUT TABLE'!B$15/100)</f>
        <v>5765308739.369935</v>
      </c>
      <c r="N78">
        <f>K78*('INPUT TABLE'!B$15/100)</f>
        <v>2819749848.2000003</v>
      </c>
      <c r="O78">
        <f t="shared" si="7"/>
        <v>8585058587.5699348</v>
      </c>
      <c r="P78">
        <f>IF('INPUT TABLE'!$B$16=I78,L78*(('INPUT TABLE'!B$15+'INPUT TABLE'!B$17)/100),L78*(('INPUT TABLE'!B$15)/100))</f>
        <v>8585058587.5699348</v>
      </c>
      <c r="Q78">
        <f>L78*(('INPUT TABLE'!B$15+'INPUT TABLE'!B$18)/100)</f>
        <v>9443564446.3269272</v>
      </c>
      <c r="R78" s="59">
        <f>'GasTax Calcs'!C36*'Gas Tax'!L78</f>
        <v>2146264646.8924837</v>
      </c>
      <c r="S78" s="59">
        <f>R78/(1+('INPUT TABLE'!B$2)/100)^(I78-'INPUT TABLE'!$B$1)</f>
        <v>1023215970.8685108</v>
      </c>
      <c r="T78" s="59">
        <f>'GasTax Calcs'!D36*'Gas Tax'!L78</f>
        <v>3630970044.6884451</v>
      </c>
      <c r="U78" s="59">
        <f>T78/(1+('INPUT TABLE'!B$2)/100)^(I78-'INPUT TABLE'!$B$1)</f>
        <v>1731038408.9164391</v>
      </c>
      <c r="V78" s="102">
        <f>L78*'GasTax Calcs'!B36</f>
        <v>8585058587.5699348</v>
      </c>
      <c r="W78" s="102">
        <f>V78/(1+('INPUT TABLE'!B$2)/100)^(I78-'INPUT TABLE'!$B$1)</f>
        <v>4092863883.4740434</v>
      </c>
    </row>
    <row r="82" spans="12:17" x14ac:dyDescent="0.5">
      <c r="L82" t="s">
        <v>707</v>
      </c>
      <c r="M82" s="90" t="s">
        <v>697</v>
      </c>
      <c r="N82" s="90" t="s">
        <v>698</v>
      </c>
      <c r="O82" s="90" t="s">
        <v>699</v>
      </c>
      <c r="P82" s="90" t="s">
        <v>700</v>
      </c>
      <c r="Q82" s="90" t="s">
        <v>701</v>
      </c>
    </row>
    <row r="83" spans="12:17" x14ac:dyDescent="0.5">
      <c r="L83" s="61" t="s">
        <v>33</v>
      </c>
    </row>
    <row r="84" spans="12:17" x14ac:dyDescent="0.5">
      <c r="L84" s="64">
        <v>2020</v>
      </c>
      <c r="M84" s="91">
        <f>M48*(1+('INPUT TABLE'!$B$2/100))^($L84-2020)</f>
        <v>4773593174.2217093</v>
      </c>
      <c r="N84" s="91">
        <f>N48*(1+('INPUT TABLE'!$B$2/100))^($L84-2020)</f>
        <v>1619749848.2</v>
      </c>
      <c r="O84" s="91">
        <f>O48*(1+('INPUT TABLE'!$B$2/100))^($L84-2020)</f>
        <v>6393343022.4217091</v>
      </c>
      <c r="P84" s="91">
        <f>P48*(1+('INPUT TABLE'!$B$2/100))^($L84-2020)</f>
        <v>6393343022.4217091</v>
      </c>
      <c r="Q84" s="91">
        <f>Q48*(1+('INPUT TABLE'!$B$2/100))^($L84-2020)</f>
        <v>7032677324.6638794</v>
      </c>
    </row>
    <row r="85" spans="12:17" x14ac:dyDescent="0.5">
      <c r="L85" s="64">
        <v>2021</v>
      </c>
      <c r="M85" s="91">
        <f>M49*(1+('INPUT TABLE'!$B$2/100))^(L85-2020)</f>
        <v>4890918634.7693119</v>
      </c>
      <c r="N85" s="91">
        <f>N49*(1+('INPUT TABLE'!$B$2/100))^($L85-2020)</f>
        <v>1701243594.405</v>
      </c>
      <c r="O85" s="91">
        <f>O49*(1+('INPUT TABLE'!$B$2/100))^($L85-2020)</f>
        <v>6592162229.1743116</v>
      </c>
      <c r="P85" s="91">
        <f>P49*(1+('INPUT TABLE'!$B$2/100))^($L85-2020)</f>
        <v>6592162229.1743126</v>
      </c>
      <c r="Q85" s="91">
        <f>Q49*(1+('INPUT TABLE'!$B$2/100))^($L85-2020)</f>
        <v>7251378452.0917435</v>
      </c>
    </row>
    <row r="86" spans="12:17" x14ac:dyDescent="0.5">
      <c r="L86" s="64">
        <v>2022</v>
      </c>
      <c r="M86" s="91">
        <f>M50*(1+('INPUT TABLE'!$B$2/100))^(L86-2020)</f>
        <v>5094657260.7776318</v>
      </c>
      <c r="N86" s="91">
        <f>N50*(1+('INPUT TABLE'!$B$2/100))^($L86-2020)</f>
        <v>1785799684.2651248</v>
      </c>
      <c r="O86" s="91">
        <f>O50*(1+('INPUT TABLE'!$B$2/100))^($L86-2020)</f>
        <v>6880456945.042757</v>
      </c>
      <c r="P86" s="91">
        <f>P50*(1+('INPUT TABLE'!$B$2/100))^($L86-2020)</f>
        <v>6880456945.042757</v>
      </c>
      <c r="Q86" s="91">
        <f>Q50*(1+('INPUT TABLE'!$B$2/100))^($L86-2020)</f>
        <v>7568502639.5470324</v>
      </c>
    </row>
    <row r="87" spans="12:17" x14ac:dyDescent="0.5">
      <c r="L87" s="64">
        <v>2023</v>
      </c>
      <c r="M87" s="91">
        <f>M51*(1+('INPUT TABLE'!$B$2/100))^(L87-2020)</f>
        <v>5219221455.050621</v>
      </c>
      <c r="N87" s="91">
        <f>N51*(1+('INPUT TABLE'!$B$2/100))^($L87-2020)</f>
        <v>1873520301.371753</v>
      </c>
      <c r="O87" s="91">
        <f>O51*(1+('INPUT TABLE'!$B$2/100))^($L87-2020)</f>
        <v>7092741756.4223728</v>
      </c>
      <c r="P87" s="91">
        <f>P51*(1+('INPUT TABLE'!$B$2/100))^($L87-2020)</f>
        <v>7092741756.4223747</v>
      </c>
      <c r="Q87" s="91">
        <f>Q51*(1+('INPUT TABLE'!$B$2/100))^($L87-2020)</f>
        <v>7802015932.0646114</v>
      </c>
    </row>
    <row r="88" spans="12:17" x14ac:dyDescent="0.5">
      <c r="L88" s="64">
        <v>2024</v>
      </c>
      <c r="M88" s="91">
        <f>M52*(1+('INPUT TABLE'!$B$2/100))^(L88-2020)</f>
        <v>5435021428.3096886</v>
      </c>
      <c r="N88" s="91">
        <f>N52*(1+('INPUT TABLE'!$B$2/100))^($L88-2020)</f>
        <v>1964510824.5310466</v>
      </c>
      <c r="O88" s="91">
        <f>O52*(1+('INPUT TABLE'!$B$2/100))^($L88-2020)</f>
        <v>7399532252.8407345</v>
      </c>
      <c r="P88" s="91">
        <f>P52*(1+('INPUT TABLE'!$B$2/100))^($L88-2020)</f>
        <v>7399532252.8407345</v>
      </c>
      <c r="Q88" s="91">
        <f>Q52*(1+('INPUT TABLE'!$B$2/100))^($L88-2020)</f>
        <v>8139485478.1248074</v>
      </c>
    </row>
    <row r="89" spans="12:17" x14ac:dyDescent="0.5">
      <c r="L89" s="64">
        <v>2025</v>
      </c>
      <c r="M89" s="91">
        <f>M53*(1+('INPUT TABLE'!$B$2/100))^(L89-2020)</f>
        <v>5567652973.6935463</v>
      </c>
      <c r="N89" s="91">
        <f>N53*(1+('INPUT TABLE'!$B$2/100))^($L89-2020)</f>
        <v>2058879923.6599476</v>
      </c>
      <c r="O89" s="91">
        <f>O53*(1+('INPUT TABLE'!$B$2/100))^($L89-2020)</f>
        <v>7626532897.3534937</v>
      </c>
      <c r="P89" s="91">
        <f>P53*(1+('INPUT TABLE'!$B$2/100))^($L89-2020)</f>
        <v>7626532897.3534937</v>
      </c>
      <c r="Q89" s="91">
        <f>Q53*(1+('INPUT TABLE'!$B$2/100))^($L89-2020)</f>
        <v>8389186187.0888433</v>
      </c>
    </row>
    <row r="90" spans="12:17" x14ac:dyDescent="0.5">
      <c r="L90" s="64">
        <v>2026</v>
      </c>
      <c r="M90" s="91">
        <f>M54*(1+('INPUT TABLE'!$B$2/100))^(L90-2020)</f>
        <v>5795832127.0773544</v>
      </c>
      <c r="N90" s="91">
        <f>N54*(1+('INPUT TABLE'!$B$2/100))^($L90-2020)</f>
        <v>2156739658.4799619</v>
      </c>
      <c r="O90" s="91">
        <f>O54*(1+('INPUT TABLE'!$B$2/100))^($L90-2020)</f>
        <v>7952571785.5573158</v>
      </c>
      <c r="P90" s="91">
        <f>P54*(1+('INPUT TABLE'!$B$2/100))^($L90-2020)</f>
        <v>7952571785.5573168</v>
      </c>
      <c r="Q90" s="91">
        <f>Q54*(1+('INPUT TABLE'!$B$2/100))^($L90-2020)</f>
        <v>8747828964.1130486</v>
      </c>
    </row>
    <row r="91" spans="12:17" x14ac:dyDescent="0.5">
      <c r="L91" s="64">
        <v>2027</v>
      </c>
      <c r="M91" s="91">
        <f>M55*(1+('INPUT TABLE'!$B$2/100))^(L91-2020)</f>
        <v>5936570030.0377874</v>
      </c>
      <c r="N91" s="91">
        <f>N55*(1+('INPUT TABLE'!$B$2/100))^($L91-2020)</f>
        <v>2258205580.0886893</v>
      </c>
      <c r="O91" s="91">
        <f>O55*(1+('INPUT TABLE'!$B$2/100))^($L91-2020)</f>
        <v>8194775610.1264763</v>
      </c>
      <c r="P91" s="91">
        <f>P55*(1+('INPUT TABLE'!$B$2/100))^($L91-2020)</f>
        <v>8194775610.1264782</v>
      </c>
      <c r="Q91" s="91">
        <f>Q55*(1+('INPUT TABLE'!$B$2/100))^($L91-2020)</f>
        <v>9014253171.1391239</v>
      </c>
    </row>
    <row r="92" spans="12:17" x14ac:dyDescent="0.5">
      <c r="L92" s="64">
        <v>2028</v>
      </c>
      <c r="M92" s="91">
        <f>M56*(1+('INPUT TABLE'!$B$2/100))^(L92-2020)</f>
        <v>6177967499.9341297</v>
      </c>
      <c r="N92" s="91">
        <f>N56*(1+('INPUT TABLE'!$B$2/100))^($L92-2020)</f>
        <v>2363396835.491303</v>
      </c>
      <c r="O92" s="91">
        <f>O56*(1+('INPUT TABLE'!$B$2/100))^($L92-2020)</f>
        <v>8541364335.4254322</v>
      </c>
      <c r="P92" s="91">
        <f>P56*(1+('INPUT TABLE'!$B$2/100))^($L92-2020)</f>
        <v>8541364335.4254341</v>
      </c>
      <c r="Q92" s="91">
        <f>Q56*(1+('INPUT TABLE'!$B$2/100))^($L92-2020)</f>
        <v>9395500768.9679756</v>
      </c>
    </row>
    <row r="93" spans="12:17" x14ac:dyDescent="0.5">
      <c r="L93" s="64">
        <v>2029</v>
      </c>
      <c r="M93" s="91">
        <f>M57*(1+('INPUT TABLE'!$B$2/100))^(L93-2020)</f>
        <v>6327497915.7447348</v>
      </c>
      <c r="N93" s="91">
        <f>N57*(1+('INPUT TABLE'!$B$2/100))^($L93-2020)</f>
        <v>2472436275.1764917</v>
      </c>
      <c r="O93" s="91">
        <f>O57*(1+('INPUT TABLE'!$B$2/100))^($L93-2020)</f>
        <v>8799934190.9212265</v>
      </c>
      <c r="P93" s="91">
        <f>P57*(1+('INPUT TABLE'!$B$2/100))^($L93-2020)</f>
        <v>8799934190.9212265</v>
      </c>
      <c r="Q93" s="91">
        <f>Q57*(1+('INPUT TABLE'!$B$2/100))^($L93-2020)</f>
        <v>9679927610.0133495</v>
      </c>
    </row>
    <row r="94" spans="12:17" x14ac:dyDescent="0.5">
      <c r="L94" s="64">
        <v>2030</v>
      </c>
      <c r="M94" s="91">
        <f>M58*(1+('INPUT TABLE'!$B$2/100))^(L94-2020)</f>
        <v>6582650709.1711435</v>
      </c>
      <c r="N94" s="91">
        <f>N58*(1+('INPUT TABLE'!$B$2/100))^($L94-2020)</f>
        <v>2585450563.8237586</v>
      </c>
      <c r="O94" s="91">
        <f>O58*(1+('INPUT TABLE'!$B$2/100))^($L94-2020)</f>
        <v>9168101272.9949017</v>
      </c>
      <c r="P94" s="91">
        <f>P58*(1+('INPUT TABLE'!$B$2/100))^($L94-2020)</f>
        <v>11460126591.243628</v>
      </c>
      <c r="Q94" s="91">
        <f>Q58*(1+('INPUT TABLE'!$B$2/100))^($L94-2020)</f>
        <v>10084911400.294392</v>
      </c>
    </row>
    <row r="95" spans="12:17" x14ac:dyDescent="0.5">
      <c r="L95" s="64">
        <v>2031</v>
      </c>
      <c r="M95" s="91">
        <f>M59*(1+('INPUT TABLE'!$B$2/100))^(L95-2020)</f>
        <v>6741165199.9669399</v>
      </c>
      <c r="N95" s="91">
        <f>N59*(1+('INPUT TABLE'!$B$2/100))^($L95-2020)</f>
        <v>2702570294.2314029</v>
      </c>
      <c r="O95" s="91">
        <f>O59*(1+('INPUT TABLE'!$B$2/100))^($L95-2020)</f>
        <v>9443735494.1983433</v>
      </c>
      <c r="P95" s="91">
        <f>P59*(1+('INPUT TABLE'!$B$2/100))^($L95-2020)</f>
        <v>9443735494.1983414</v>
      </c>
      <c r="Q95" s="91">
        <f>Q59*(1+('INPUT TABLE'!$B$2/100))^($L95-2020)</f>
        <v>10388109043.618176</v>
      </c>
    </row>
    <row r="96" spans="12:17" x14ac:dyDescent="0.5">
      <c r="L96" s="64">
        <v>2032</v>
      </c>
      <c r="M96" s="91">
        <f>M60*(1+('INPUT TABLE'!$B$2/100))^(L96-2020)</f>
        <v>7010534242.5330133</v>
      </c>
      <c r="N96" s="91">
        <f>N60*(1+('INPUT TABLE'!$B$2/100))^($L96-2020)</f>
        <v>2823930104.5570397</v>
      </c>
      <c r="O96" s="91">
        <f>O60*(1+('INPUT TABLE'!$B$2/100))^($L96-2020)</f>
        <v>9834464347.0900517</v>
      </c>
      <c r="P96" s="91">
        <f>P60*(1+('INPUT TABLE'!$B$2/100))^($L96-2020)</f>
        <v>9834464347.0900517</v>
      </c>
      <c r="Q96" s="91">
        <f>Q60*(1+('INPUT TABLE'!$B$2/100))^($L96-2020)</f>
        <v>10817910781.799057</v>
      </c>
    </row>
    <row r="97" spans="12:17" x14ac:dyDescent="0.5">
      <c r="L97" s="64">
        <v>2033</v>
      </c>
      <c r="M97" s="91">
        <f>M61*(1+('INPUT TABLE'!$B$2/100))^(L97-2020)</f>
        <v>7178288707.0013628</v>
      </c>
      <c r="N97" s="91">
        <f>N61*(1+('INPUT TABLE'!$B$2/100))^($L97-2020)</f>
        <v>2949668798.965064</v>
      </c>
      <c r="O97" s="91">
        <f>O61*(1+('INPUT TABLE'!$B$2/100))^($L97-2020)</f>
        <v>10127957505.966427</v>
      </c>
      <c r="P97" s="91">
        <f>P61*(1+('INPUT TABLE'!$B$2/100))^($L97-2020)</f>
        <v>10127957505.966429</v>
      </c>
      <c r="Q97" s="91">
        <f>Q61*(1+('INPUT TABLE'!$B$2/100))^($L97-2020)</f>
        <v>11140753256.56307</v>
      </c>
    </row>
    <row r="98" spans="12:17" x14ac:dyDescent="0.5">
      <c r="L98" s="64">
        <v>2034</v>
      </c>
      <c r="M98" s="91">
        <f>M62*(1+('INPUT TABLE'!$B$2/100))^(L98-2020)</f>
        <v>7462398945.211091</v>
      </c>
      <c r="N98" s="91">
        <f>N62*(1+('INPUT TABLE'!$B$2/100))^($L98-2020)</f>
        <v>3079929471.778141</v>
      </c>
      <c r="O98" s="91">
        <f>O62*(1+('INPUT TABLE'!$B$2/100))^($L98-2020)</f>
        <v>10542328416.989231</v>
      </c>
      <c r="P98" s="91">
        <f>P62*(1+('INPUT TABLE'!$B$2/100))^($L98-2020)</f>
        <v>10542328416.989229</v>
      </c>
      <c r="Q98" s="91">
        <f>Q62*(1+('INPUT TABLE'!$B$2/100))^($L98-2020)</f>
        <v>11596561258.688152</v>
      </c>
    </row>
    <row r="99" spans="12:17" x14ac:dyDescent="0.5">
      <c r="L99" s="64">
        <v>2035</v>
      </c>
      <c r="M99" s="91">
        <f>M63*(1+('INPUT TABLE'!$B$2/100))^(L99-2020)</f>
        <v>7639636021.5646906</v>
      </c>
      <c r="N99" s="91">
        <f>N63*(1+('INPUT TABLE'!$B$2/100))^($L99-2020)</f>
        <v>3214859635.2325196</v>
      </c>
      <c r="O99" s="91">
        <f>O63*(1+('INPUT TABLE'!$B$2/100))^($L99-2020)</f>
        <v>10854495656.797211</v>
      </c>
      <c r="P99" s="91">
        <f>P63*(1+('INPUT TABLE'!$B$2/100))^($L99-2020)</f>
        <v>10854495656.797209</v>
      </c>
      <c r="Q99" s="91">
        <f>Q63*(1+('INPUT TABLE'!$B$2/100))^($L99-2020)</f>
        <v>11939945222.476931</v>
      </c>
    </row>
    <row r="100" spans="12:17" x14ac:dyDescent="0.5">
      <c r="L100" s="64">
        <v>2036</v>
      </c>
      <c r="M100" s="91">
        <f>M64*(1+('INPUT TABLE'!$B$2/100))^(L100-2020)</f>
        <v>7939112866.0112953</v>
      </c>
      <c r="N100" s="91">
        <f>N64*(1+('INPUT TABLE'!$B$2/100))^($L100-2020)</f>
        <v>3354611350.939755</v>
      </c>
      <c r="O100" s="91">
        <f>O64*(1+('INPUT TABLE'!$B$2/100))^($L100-2020)</f>
        <v>11293724216.95105</v>
      </c>
      <c r="P100" s="91">
        <f>P64*(1+('INPUT TABLE'!$B$2/100))^($L100-2020)</f>
        <v>11293724216.95105</v>
      </c>
      <c r="Q100" s="91">
        <f>Q64*(1+('INPUT TABLE'!$B$2/100))^($L100-2020)</f>
        <v>12423096638.646154</v>
      </c>
    </row>
    <row r="101" spans="12:17" x14ac:dyDescent="0.5">
      <c r="L101" s="64">
        <v>2037</v>
      </c>
      <c r="M101" s="91">
        <f>M65*(1+('INPUT TABLE'!$B$2/100))^(L101-2020)</f>
        <v>8126336828.5219212</v>
      </c>
      <c r="N101" s="91">
        <f>N65*(1+('INPUT TABLE'!$B$2/100))^($L101-2020)</f>
        <v>3499341365.1603312</v>
      </c>
      <c r="O101" s="91">
        <f>O65*(1+('INPUT TABLE'!$B$2/100))^($L101-2020)</f>
        <v>11625678193.682253</v>
      </c>
      <c r="P101" s="91">
        <f>P65*(1+('INPUT TABLE'!$B$2/100))^($L101-2020)</f>
        <v>11625678193.682253</v>
      </c>
      <c r="Q101" s="91">
        <f>Q65*(1+('INPUT TABLE'!$B$2/100))^($L101-2020)</f>
        <v>12788246013.050476</v>
      </c>
    </row>
    <row r="102" spans="12:17" x14ac:dyDescent="0.5">
      <c r="L102" s="64">
        <v>2038</v>
      </c>
      <c r="M102" s="91">
        <f>M66*(1+('INPUT TABLE'!$B$2/100))^(L102-2020)</f>
        <v>8441965646.9566536</v>
      </c>
      <c r="N102" s="91">
        <f>N66*(1+('INPUT TABLE'!$B$2/100))^($L102-2020)</f>
        <v>3649211247.9975996</v>
      </c>
      <c r="O102" s="91">
        <f>O66*(1+('INPUT TABLE'!$B$2/100))^($L102-2020)</f>
        <v>12091176894.954254</v>
      </c>
      <c r="P102" s="91">
        <f>P66*(1+('INPUT TABLE'!$B$2/100))^($L102-2020)</f>
        <v>12091176894.954252</v>
      </c>
      <c r="Q102" s="91">
        <f>Q66*(1+('INPUT TABLE'!$B$2/100))^($L102-2020)</f>
        <v>13300294584.449677</v>
      </c>
    </row>
    <row r="103" spans="12:17" x14ac:dyDescent="0.5">
      <c r="L103" s="64">
        <v>2039</v>
      </c>
      <c r="M103" s="91">
        <f>M67*(1+('INPUT TABLE'!$B$2/100))^(L103-2020)</f>
        <v>8639624350.0752888</v>
      </c>
      <c r="N103" s="91">
        <f>N67*(1+('INPUT TABLE'!$B$2/100))^($L103-2020)</f>
        <v>3804387536.6235065</v>
      </c>
      <c r="O103" s="91">
        <f>O67*(1+('INPUT TABLE'!$B$2/100))^($L103-2020)</f>
        <v>12444011886.698795</v>
      </c>
      <c r="P103" s="91">
        <f>P67*(1+('INPUT TABLE'!$B$2/100))^($L103-2020)</f>
        <v>12444011886.698795</v>
      </c>
      <c r="Q103" s="91">
        <f>Q67*(1+('INPUT TABLE'!$B$2/100))^($L103-2020)</f>
        <v>13688413075.368675</v>
      </c>
    </row>
    <row r="104" spans="12:17" x14ac:dyDescent="0.5">
      <c r="L104" s="64">
        <v>2040</v>
      </c>
      <c r="M104" s="91">
        <f>M68*(1+('INPUT TABLE'!$B$2/100))^(L104-2020)</f>
        <v>8972224983.2539692</v>
      </c>
      <c r="N104" s="91">
        <f>N68*(1+('INPUT TABLE'!$B$2/100))^($L104-2020)</f>
        <v>3965041882.6507096</v>
      </c>
      <c r="O104" s="91">
        <f>O68*(1+('INPUT TABLE'!$B$2/100))^($L104-2020)</f>
        <v>12937266865.904678</v>
      </c>
      <c r="P104" s="91">
        <f>P68*(1+('INPUT TABLE'!$B$2/100))^($L104-2020)</f>
        <v>12937266865.904678</v>
      </c>
      <c r="Q104" s="91">
        <f>Q68*(1+('INPUT TABLE'!$B$2/100))^($L104-2020)</f>
        <v>14230993552.495144</v>
      </c>
    </row>
    <row r="105" spans="12:17" x14ac:dyDescent="0.5">
      <c r="L105" s="64">
        <v>2041</v>
      </c>
      <c r="M105" s="91">
        <f>M69*(1+('INPUT TABLE'!$B$2/100))^(L105-2020)</f>
        <v>9180945912.1568356</v>
      </c>
      <c r="N105" s="91">
        <f>N69*(1+('INPUT TABLE'!$B$2/100))^($L105-2020)</f>
        <v>4131351203.7688828</v>
      </c>
      <c r="O105" s="91">
        <f>O69*(1+('INPUT TABLE'!$B$2/100))^($L105-2020)</f>
        <v>13312297115.925718</v>
      </c>
      <c r="P105" s="91">
        <f>P69*(1+('INPUT TABLE'!$B$2/100))^($L105-2020)</f>
        <v>13312297115.925718</v>
      </c>
      <c r="Q105" s="91">
        <f>Q69*(1+('INPUT TABLE'!$B$2/100))^($L105-2020)</f>
        <v>14643526827.51829</v>
      </c>
    </row>
    <row r="106" spans="12:17" x14ac:dyDescent="0.5">
      <c r="L106" s="64">
        <v>2042</v>
      </c>
      <c r="M106" s="91">
        <f>M70*(1+('INPUT TABLE'!$B$2/100))^(L106-2020)</f>
        <v>9531599074.3271599</v>
      </c>
      <c r="N106" s="91">
        <f>N70*(1+('INPUT TABLE'!$B$2/100))^($L106-2020)</f>
        <v>4303497839.7663088</v>
      </c>
      <c r="O106" s="91">
        <f>O70*(1+('INPUT TABLE'!$B$2/100))^($L106-2020)</f>
        <v>13835096914.093468</v>
      </c>
      <c r="P106" s="91">
        <f>P70*(1+('INPUT TABLE'!$B$2/100))^($L106-2020)</f>
        <v>13835096914.093468</v>
      </c>
      <c r="Q106" s="91">
        <f>Q70*(1+('INPUT TABLE'!$B$2/100))^($L106-2020)</f>
        <v>15218606605.502811</v>
      </c>
    </row>
    <row r="107" spans="12:17" x14ac:dyDescent="0.5">
      <c r="L107" s="64">
        <v>2043</v>
      </c>
      <c r="M107" s="91">
        <f>M71*(1+('INPUT TABLE'!$B$2/100))^(L107-2020)</f>
        <v>9752195653.1729088</v>
      </c>
      <c r="N107" s="91">
        <f>N71*(1+('INPUT TABLE'!$B$2/100))^($L107-2020)</f>
        <v>4481669713.0612507</v>
      </c>
      <c r="O107" s="91">
        <f>O71*(1+('INPUT TABLE'!$B$2/100))^($L107-2020)</f>
        <v>14233865366.234161</v>
      </c>
      <c r="P107" s="91">
        <f>P71*(1+('INPUT TABLE'!$B$2/100))^($L107-2020)</f>
        <v>14233865366.234161</v>
      </c>
      <c r="Q107" s="91">
        <f>Q71*(1+('INPUT TABLE'!$B$2/100))^($L107-2020)</f>
        <v>15657251902.857576</v>
      </c>
    </row>
    <row r="108" spans="12:17" x14ac:dyDescent="0.5">
      <c r="L108" s="64">
        <v>2044</v>
      </c>
      <c r="M108" s="91">
        <f>M72*(1+('INPUT TABLE'!$B$2/100))^(L108-2020)</f>
        <v>10121931812.573172</v>
      </c>
      <c r="N108" s="91">
        <f>N72*(1+('INPUT TABLE'!$B$2/100))^($L108-2020)</f>
        <v>4666060493.8710852</v>
      </c>
      <c r="O108" s="91">
        <f>O72*(1+('INPUT TABLE'!$B$2/100))^($L108-2020)</f>
        <v>14787992306.444258</v>
      </c>
      <c r="P108" s="91">
        <f>P72*(1+('INPUT TABLE'!$B$2/100))^($L108-2020)</f>
        <v>14787992306.444258</v>
      </c>
      <c r="Q108" s="91">
        <f>Q72*(1+('INPUT TABLE'!$B$2/100))^($L108-2020)</f>
        <v>16266791537.088682</v>
      </c>
    </row>
    <row r="109" spans="12:17" x14ac:dyDescent="0.5">
      <c r="L109" s="64">
        <v>2045</v>
      </c>
      <c r="M109" s="91">
        <f>M73*(1+('INPUT TABLE'!$B$2/100))^(L109-2020)</f>
        <v>10355018166.894564</v>
      </c>
      <c r="N109" s="91">
        <f>N73*(1+('INPUT TABLE'!$B$2/100))^($L109-2020)</f>
        <v>4856869770.1507473</v>
      </c>
      <c r="O109" s="91">
        <f>O73*(1+('INPUT TABLE'!$B$2/100))^($L109-2020)</f>
        <v>15211887937.045309</v>
      </c>
      <c r="P109" s="91">
        <f>P73*(1+('INPUT TABLE'!$B$2/100))^($L109-2020)</f>
        <v>15211887937.045309</v>
      </c>
      <c r="Q109" s="91">
        <f>Q73*(1+('INPUT TABLE'!$B$2/100))^($L109-2020)</f>
        <v>16733076730.749842</v>
      </c>
    </row>
    <row r="110" spans="12:17" x14ac:dyDescent="0.5">
      <c r="L110" s="64">
        <v>2046</v>
      </c>
      <c r="M110" s="91">
        <f>M74*(1+('INPUT TABLE'!$B$2/100))^(L110-2020)</f>
        <v>10744608361.570311</v>
      </c>
      <c r="N110" s="91">
        <f>N74*(1+('INPUT TABLE'!$B$2/100))^($L110-2020)</f>
        <v>5054303222.4357243</v>
      </c>
      <c r="O110" s="91">
        <f>O74*(1+('INPUT TABLE'!$B$2/100))^($L110-2020)</f>
        <v>15798911584.006035</v>
      </c>
      <c r="P110" s="91">
        <f>P74*(1+('INPUT TABLE'!$B$2/100))^($L110-2020)</f>
        <v>15798911584.006035</v>
      </c>
      <c r="Q110" s="91">
        <f>Q74*(1+('INPUT TABLE'!$B$2/100))^($L110-2020)</f>
        <v>17378802742.406635</v>
      </c>
    </row>
    <row r="111" spans="12:17" x14ac:dyDescent="0.5">
      <c r="L111" s="64">
        <v>2047</v>
      </c>
      <c r="M111" s="91">
        <f>M75*(1+('INPUT TABLE'!$B$2/100))^(L111-2020)</f>
        <v>10990614478.839338</v>
      </c>
      <c r="N111" s="91">
        <f>N75*(1+('INPUT TABLE'!$B$2/100))^($L111-2020)</f>
        <v>5258572803.7286053</v>
      </c>
      <c r="O111" s="91">
        <f>O75*(1+('INPUT TABLE'!$B$2/100))^($L111-2020)</f>
        <v>16249187282.567945</v>
      </c>
      <c r="P111" s="91">
        <f>P75*(1+('INPUT TABLE'!$B$2/100))^($L111-2020)</f>
        <v>16249187282.567944</v>
      </c>
      <c r="Q111" s="91">
        <f>Q75*(1+('INPUT TABLE'!$B$2/100))^($L111-2020)</f>
        <v>17874106010.824738</v>
      </c>
    </row>
    <row r="112" spans="12:17" x14ac:dyDescent="0.5">
      <c r="L112" s="64">
        <v>2048</v>
      </c>
      <c r="M112" s="91">
        <f>M76*(1+('INPUT TABLE'!$B$2/100))^(L112-2020)</f>
        <v>11401097042.766169</v>
      </c>
      <c r="N112" s="91">
        <f>N76*(1+('INPUT TABLE'!$B$2/100))^($L112-2020)</f>
        <v>5469896924.5721083</v>
      </c>
      <c r="O112" s="91">
        <f>O76*(1+('INPUT TABLE'!$B$2/100))^($L112-2020)</f>
        <v>16870993967.338278</v>
      </c>
      <c r="P112" s="91">
        <f>P76*(1+('INPUT TABLE'!$B$2/100))^($L112-2020)</f>
        <v>16870993967.338278</v>
      </c>
      <c r="Q112" s="91">
        <f>Q76*(1+('INPUT TABLE'!$B$2/100))^($L112-2020)</f>
        <v>18558093364.072105</v>
      </c>
    </row>
    <row r="113" spans="12:17" x14ac:dyDescent="0.5">
      <c r="L113" s="64">
        <v>2049</v>
      </c>
      <c r="M113" s="91">
        <f>M77*(1+('INPUT TABLE'!$B$2/100))^(L113-2020)</f>
        <v>11660683376.458054</v>
      </c>
      <c r="N113" s="91">
        <f>N77*(1+('INPUT TABLE'!$B$2/100))^($L113-2020)</f>
        <v>5688500643.4554577</v>
      </c>
      <c r="O113" s="91">
        <f>O77*(1+('INPUT TABLE'!$B$2/100))^($L113-2020)</f>
        <v>17349184019.913513</v>
      </c>
      <c r="P113" s="91">
        <f>P77*(1+('INPUT TABLE'!$B$2/100))^($L113-2020)</f>
        <v>17349184019.913513</v>
      </c>
      <c r="Q113" s="91">
        <f>Q77*(1+('INPUT TABLE'!$B$2/100))^($L113-2020)</f>
        <v>19084102421.904861</v>
      </c>
    </row>
    <row r="114" spans="12:17" x14ac:dyDescent="0.5">
      <c r="L114" s="64">
        <v>2050</v>
      </c>
      <c r="M114" s="91">
        <f>M78*(1+('INPUT TABLE'!$B$2/100))^(L114-2020)</f>
        <v>12093124695.09927</v>
      </c>
      <c r="N114" s="91">
        <f>N78*(1+('INPUT TABLE'!$B$2/100))^($L114-2020)</f>
        <v>5914615862.7051144</v>
      </c>
      <c r="O114" s="91">
        <f>O78*(1+('INPUT TABLE'!$B$2/100))^($L114-2020)</f>
        <v>18007740557.804382</v>
      </c>
      <c r="P114" s="91">
        <f>P78*(1+('INPUT TABLE'!$B$2/100))^($L114-2020)</f>
        <v>18007740557.804382</v>
      </c>
      <c r="Q114" s="91">
        <f>Q78*(1+('INPUT TABLE'!$B$2/100))^($L114-2020)</f>
        <v>19808514613.58482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AC2-2185-4FCD-AB7A-0A16F752E881}">
  <dimension ref="A1:X47"/>
  <sheetViews>
    <sheetView topLeftCell="F22" zoomScale="89" zoomScaleNormal="40" workbookViewId="0">
      <selection activeCell="F6" sqref="F6"/>
    </sheetView>
  </sheetViews>
  <sheetFormatPr defaultRowHeight="14.35" x14ac:dyDescent="0.5"/>
  <cols>
    <col min="1" max="1" width="19.29296875" bestFit="1" customWidth="1"/>
    <col min="2" max="2" width="12.5859375" bestFit="1" customWidth="1"/>
    <col min="3" max="3" width="18.703125" bestFit="1" customWidth="1"/>
    <col min="4" max="4" width="12.1171875" bestFit="1" customWidth="1"/>
    <col min="5" max="5" width="18.5859375" bestFit="1" customWidth="1"/>
    <col min="6" max="6" width="18.5859375" customWidth="1"/>
    <col min="7" max="7" width="14.1171875" customWidth="1"/>
    <col min="8" max="8" width="12" customWidth="1"/>
    <col min="9" max="9" width="11.41015625" customWidth="1"/>
    <col min="10" max="10" width="27.703125" bestFit="1" customWidth="1"/>
    <col min="11" max="11" width="36.703125" bestFit="1" customWidth="1"/>
    <col min="12" max="12" width="22.1171875" bestFit="1" customWidth="1"/>
    <col min="14" max="14" width="9.29296875" bestFit="1" customWidth="1"/>
    <col min="15" max="15" width="16.29296875" bestFit="1" customWidth="1"/>
    <col min="16" max="16" width="18.1171875" bestFit="1" customWidth="1"/>
    <col min="17" max="17" width="30.29296875" customWidth="1"/>
    <col min="18" max="18" width="25.703125" bestFit="1" customWidth="1"/>
    <col min="19" max="21" width="9.29296875" bestFit="1" customWidth="1"/>
    <col min="22" max="22" width="10.703125" bestFit="1" customWidth="1"/>
    <col min="23" max="23" width="19.5859375" customWidth="1"/>
    <col min="24" max="24" width="24.87890625" customWidth="1"/>
    <col min="25" max="28" width="9.29296875" bestFit="1" customWidth="1"/>
    <col min="29" max="30" width="9" bestFit="1" customWidth="1"/>
    <col min="31" max="31" width="21.5859375" customWidth="1"/>
    <col min="32" max="32" width="19.703125" bestFit="1" customWidth="1"/>
    <col min="33" max="33" width="21.5859375" bestFit="1" customWidth="1"/>
    <col min="34" max="34" width="21" customWidth="1"/>
  </cols>
  <sheetData>
    <row r="1" spans="1:12" ht="15.7" x14ac:dyDescent="0.5">
      <c r="A1" s="128" t="s">
        <v>708</v>
      </c>
      <c r="B1" s="133" t="s">
        <v>709</v>
      </c>
      <c r="C1" s="133" t="s">
        <v>710</v>
      </c>
      <c r="D1" s="131" t="s">
        <v>711</v>
      </c>
      <c r="E1" s="132"/>
      <c r="F1" s="131" t="s">
        <v>712</v>
      </c>
      <c r="G1" s="132"/>
      <c r="H1" s="96"/>
      <c r="I1" t="s">
        <v>721</v>
      </c>
    </row>
    <row r="2" spans="1:12" ht="14.25" customHeight="1" x14ac:dyDescent="0.5">
      <c r="A2" s="128"/>
      <c r="B2" s="133"/>
      <c r="C2" s="133"/>
      <c r="D2" s="55" t="s">
        <v>713</v>
      </c>
      <c r="E2" s="55" t="s">
        <v>714</v>
      </c>
      <c r="F2" s="124" t="s">
        <v>715</v>
      </c>
      <c r="G2" s="124" t="s">
        <v>716</v>
      </c>
      <c r="H2" s="96"/>
    </row>
    <row r="3" spans="1:12" ht="15.7" x14ac:dyDescent="0.55000000000000004">
      <c r="A3" s="16">
        <f>'INPUT TABLE'!B$15/100</f>
        <v>0.2</v>
      </c>
      <c r="B3" s="51">
        <f>'INPUT TABLE'!B$17/100</f>
        <v>0.05</v>
      </c>
      <c r="C3" s="95">
        <f>'INPUT TABLE'!B16</f>
        <v>2030</v>
      </c>
      <c r="D3" s="52">
        <f>'INPUT TABLE'!B18/100</f>
        <v>0.02</v>
      </c>
      <c r="E3" s="56">
        <f>'INPUT TABLE'!B19</f>
        <v>3</v>
      </c>
      <c r="F3" s="53">
        <f>'INPUT TABLE'!B$20</f>
        <v>2020</v>
      </c>
      <c r="G3" s="53">
        <f>'INPUT TABLE'!B$21</f>
        <v>2030</v>
      </c>
      <c r="H3" s="97"/>
      <c r="I3" s="2" t="s">
        <v>726</v>
      </c>
    </row>
    <row r="4" spans="1:12" x14ac:dyDescent="0.5">
      <c r="I4" s="122" t="s">
        <v>33</v>
      </c>
      <c r="J4" s="122" t="s">
        <v>693</v>
      </c>
      <c r="K4" s="2" t="s">
        <v>729</v>
      </c>
      <c r="L4" t="s">
        <v>730</v>
      </c>
    </row>
    <row r="5" spans="1:12" ht="15.7" x14ac:dyDescent="0.5">
      <c r="A5" s="99" t="s">
        <v>33</v>
      </c>
      <c r="B5" s="101" t="s">
        <v>717</v>
      </c>
      <c r="C5" s="3" t="s">
        <v>718</v>
      </c>
      <c r="D5" s="3" t="s">
        <v>720</v>
      </c>
      <c r="E5" s="3" t="s">
        <v>719</v>
      </c>
      <c r="I5" s="10">
        <v>2019</v>
      </c>
      <c r="J5" s="41">
        <v>14284545674</v>
      </c>
    </row>
    <row r="6" spans="1:12" x14ac:dyDescent="0.5">
      <c r="A6" s="121">
        <v>2020</v>
      </c>
      <c r="B6" s="101">
        <f>$A3</f>
        <v>0.2</v>
      </c>
      <c r="C6" s="100">
        <f>IF(A6=$C$3,$B$3,0)</f>
        <v>0</v>
      </c>
      <c r="D6" s="100">
        <f>IF(F3=2020,D3,0)</f>
        <v>0.02</v>
      </c>
      <c r="E6" s="100">
        <f>B6+C6+D6</f>
        <v>0.22</v>
      </c>
      <c r="I6" s="10">
        <v>2020</v>
      </c>
      <c r="J6" s="41">
        <f>J5+(2*10^8)</f>
        <v>14484545674</v>
      </c>
    </row>
    <row r="7" spans="1:12" ht="15.7" x14ac:dyDescent="0.5">
      <c r="A7" s="124">
        <v>2021</v>
      </c>
      <c r="B7" s="101">
        <f>$A3</f>
        <v>0.2</v>
      </c>
      <c r="C7" s="100">
        <f t="shared" ref="C7:C36" si="0">IF(A7=$C$3,$B$3,C6)</f>
        <v>0</v>
      </c>
      <c r="D7" s="100">
        <f>IF(AND(A7&lt;=$G$3,A7&gt;=$F$3),IF(MOD(A7-$F$3,$E$3)=0,(D6+$D$3)*IF('INPUT TABLE'!C$22=0,1,(1+'INPUT TABLE'!$B$2/100)),D6),D6)</f>
        <v>0.02</v>
      </c>
      <c r="E7" s="100">
        <f t="shared" ref="E7:E36" si="1">B7+C7+D7</f>
        <v>0.22</v>
      </c>
      <c r="I7" s="10">
        <v>2021</v>
      </c>
      <c r="J7" s="41">
        <f t="shared" ref="J7:K24" si="2">J6+(2*10^8)</f>
        <v>14684545674</v>
      </c>
      <c r="K7" s="57">
        <f>J7</f>
        <v>14684545674</v>
      </c>
      <c r="L7" s="39">
        <f t="shared" ref="L7:L26" si="3">K7-W23</f>
        <v>14637889547.819088</v>
      </c>
    </row>
    <row r="8" spans="1:12" ht="15.7" x14ac:dyDescent="0.5">
      <c r="A8" s="124">
        <f t="shared" ref="A8:A36" si="4">A7+1</f>
        <v>2022</v>
      </c>
      <c r="B8" s="101">
        <f>$A3</f>
        <v>0.2</v>
      </c>
      <c r="C8" s="100">
        <f t="shared" si="0"/>
        <v>0</v>
      </c>
      <c r="D8" s="100">
        <f>IF(AND(A8&lt;=$G$3,A8&gt;=$F$3),IF(MOD(A8-$F$3,$E$3)=0,(D7+$D$3)*IF('INPUT TABLE'!C$22=0,1,(1+'INPUT TABLE'!$B$2/100)),D7),D7)</f>
        <v>0.02</v>
      </c>
      <c r="E8" s="100">
        <f t="shared" si="1"/>
        <v>0.22</v>
      </c>
      <c r="I8" s="10">
        <v>2022</v>
      </c>
      <c r="J8" s="41">
        <f t="shared" si="2"/>
        <v>14884545674</v>
      </c>
      <c r="K8" s="39">
        <f>J8*(1-K28)</f>
        <v>14512432032.15</v>
      </c>
      <c r="L8" s="39">
        <f t="shared" si="3"/>
        <v>14447158376.707676</v>
      </c>
    </row>
    <row r="9" spans="1:12" ht="15.7" x14ac:dyDescent="0.5">
      <c r="A9" s="124">
        <f t="shared" si="4"/>
        <v>2023</v>
      </c>
      <c r="B9" s="101">
        <f>$A3</f>
        <v>0.2</v>
      </c>
      <c r="C9" s="100">
        <f t="shared" si="0"/>
        <v>0</v>
      </c>
      <c r="D9" s="100">
        <f>IF(AND(A9&lt;=$G$3,A9&gt;=$F$3),IF(MOD(A9-$F$3,$E$3)=0,(D8+$D$3)*IF('INPUT TABLE'!C$22=0,1,(1+'INPUT TABLE'!$B$2/100)),D8),D8)</f>
        <v>4.0999999999999995E-2</v>
      </c>
      <c r="E9" s="100">
        <f t="shared" si="1"/>
        <v>0.24099999999999999</v>
      </c>
      <c r="I9" s="10">
        <v>2023</v>
      </c>
      <c r="J9" s="41">
        <f t="shared" si="2"/>
        <v>15084545674</v>
      </c>
      <c r="K9" s="41">
        <f t="shared" si="2"/>
        <v>14712432032.15</v>
      </c>
      <c r="L9" s="39">
        <f t="shared" si="3"/>
        <v>14628070349.713486</v>
      </c>
    </row>
    <row r="10" spans="1:12" ht="15.7" x14ac:dyDescent="0.5">
      <c r="A10" s="124">
        <f t="shared" si="4"/>
        <v>2024</v>
      </c>
      <c r="B10" s="101">
        <f>$A3</f>
        <v>0.2</v>
      </c>
      <c r="C10" s="100">
        <f t="shared" si="0"/>
        <v>0</v>
      </c>
      <c r="D10" s="100">
        <f>IF(AND(A10&lt;=$G$3,A10&gt;=$F$3),IF(MOD(A10-$F$3,$E$3)=0,(D9+$D$3)*IF('INPUT TABLE'!C$22=0,1,(1+'INPUT TABLE'!$B$2/100)),D9),D9)</f>
        <v>4.0999999999999995E-2</v>
      </c>
      <c r="E10" s="100">
        <f t="shared" si="1"/>
        <v>0.24099999999999999</v>
      </c>
      <c r="I10" s="10">
        <v>2024</v>
      </c>
      <c r="J10" s="41">
        <f t="shared" si="2"/>
        <v>15284545674</v>
      </c>
      <c r="K10" s="41">
        <f t="shared" si="2"/>
        <v>14912432032.15</v>
      </c>
      <c r="L10" s="39">
        <f t="shared" si="3"/>
        <v>14807685655.08112</v>
      </c>
    </row>
    <row r="11" spans="1:12" ht="15.7" x14ac:dyDescent="0.5">
      <c r="A11" s="124">
        <f t="shared" si="4"/>
        <v>2025</v>
      </c>
      <c r="B11" s="101">
        <f>$A3</f>
        <v>0.2</v>
      </c>
      <c r="C11" s="100">
        <f t="shared" si="0"/>
        <v>0</v>
      </c>
      <c r="D11" s="100">
        <f>IF(AND(A11&lt;=$G$3,A11&gt;=$F$3),IF(MOD(A11-$F$3,$E$3)=0,(D10+$D$3)*IF('INPUT TABLE'!C$22=0,1,(1+'INPUT TABLE'!$B$2/100)),D10),D10)</f>
        <v>4.0999999999999995E-2</v>
      </c>
      <c r="E11" s="100">
        <f t="shared" si="1"/>
        <v>0.24099999999999999</v>
      </c>
      <c r="I11" s="10">
        <v>2025</v>
      </c>
      <c r="J11" s="41">
        <f t="shared" si="2"/>
        <v>15484545674</v>
      </c>
      <c r="K11" s="41">
        <f t="shared" si="2"/>
        <v>15112432032.15</v>
      </c>
      <c r="L11" s="39">
        <f t="shared" si="3"/>
        <v>14985798180.930082</v>
      </c>
    </row>
    <row r="12" spans="1:12" ht="15.7" x14ac:dyDescent="0.5">
      <c r="A12" s="124">
        <f t="shared" si="4"/>
        <v>2026</v>
      </c>
      <c r="B12" s="101">
        <f>$A3</f>
        <v>0.2</v>
      </c>
      <c r="C12" s="100">
        <f t="shared" si="0"/>
        <v>0</v>
      </c>
      <c r="D12" s="100">
        <f>IF(AND(A12&lt;=$G$3,A12&gt;=$F$3),IF(MOD(A12-$F$3,$E$3)=0,(D11+$D$3)*IF('INPUT TABLE'!C$22=0,1,(1+'INPUT TABLE'!$B$2/100)),D11),D11)</f>
        <v>6.2524999999999997E-2</v>
      </c>
      <c r="E12" s="100">
        <f t="shared" si="1"/>
        <v>0.26252500000000001</v>
      </c>
      <c r="I12" s="10">
        <v>2026</v>
      </c>
      <c r="J12" s="41">
        <f t="shared" si="2"/>
        <v>15684545674</v>
      </c>
      <c r="K12" s="41">
        <f t="shared" si="2"/>
        <v>15312432032.15</v>
      </c>
      <c r="L12" s="39">
        <f t="shared" si="3"/>
        <v>15162224780.491909</v>
      </c>
    </row>
    <row r="13" spans="1:12" ht="15.7" x14ac:dyDescent="0.5">
      <c r="A13" s="124">
        <f t="shared" si="4"/>
        <v>2027</v>
      </c>
      <c r="B13" s="101">
        <f>$A3</f>
        <v>0.2</v>
      </c>
      <c r="C13" s="100">
        <f t="shared" si="0"/>
        <v>0</v>
      </c>
      <c r="D13" s="100">
        <f>IF(AND(A13&lt;=$G$3,A13&gt;=$F$3),IF(MOD(A13-$F$3,$E$3)=0,(D12+$D$3)*IF('INPUT TABLE'!C$22=0,1,(1+'INPUT TABLE'!$B$2/100)),D12),D12)</f>
        <v>6.2524999999999997E-2</v>
      </c>
      <c r="E13" s="100">
        <f t="shared" si="1"/>
        <v>0.26252500000000001</v>
      </c>
      <c r="I13" s="10">
        <v>2027</v>
      </c>
      <c r="J13" s="41">
        <f t="shared" si="2"/>
        <v>15884545674</v>
      </c>
      <c r="K13" s="41">
        <f t="shared" si="2"/>
        <v>15512432032.15</v>
      </c>
      <c r="L13" s="39">
        <f t="shared" si="3"/>
        <v>15337468676.784025</v>
      </c>
    </row>
    <row r="14" spans="1:12" ht="15.7" x14ac:dyDescent="0.5">
      <c r="A14" s="124">
        <f t="shared" si="4"/>
        <v>2028</v>
      </c>
      <c r="B14" s="101">
        <f>$A3</f>
        <v>0.2</v>
      </c>
      <c r="C14" s="100">
        <f t="shared" si="0"/>
        <v>0</v>
      </c>
      <c r="D14" s="100">
        <f>IF(AND(A14&lt;=$G$3,A14&gt;=$F$3),IF(MOD(A14-$F$3,$E$3)=0,(D13+$D$3)*IF('INPUT TABLE'!C$22=0,1,(1+'INPUT TABLE'!$B$2/100)),D13),D13)</f>
        <v>6.2524999999999997E-2</v>
      </c>
      <c r="E14" s="100">
        <f t="shared" si="1"/>
        <v>0.26252500000000001</v>
      </c>
      <c r="I14" s="10">
        <v>2028</v>
      </c>
      <c r="J14" s="41">
        <f t="shared" si="2"/>
        <v>16084545674</v>
      </c>
      <c r="K14" s="41">
        <f t="shared" si="2"/>
        <v>15712432032.15</v>
      </c>
      <c r="L14" s="39">
        <f t="shared" si="3"/>
        <v>15511564891.602282</v>
      </c>
    </row>
    <row r="15" spans="1:12" ht="15.7" x14ac:dyDescent="0.5">
      <c r="A15" s="124">
        <f t="shared" si="4"/>
        <v>2029</v>
      </c>
      <c r="B15" s="101">
        <f>$A3</f>
        <v>0.2</v>
      </c>
      <c r="C15" s="100">
        <f t="shared" si="0"/>
        <v>0</v>
      </c>
      <c r="D15" s="100">
        <f>IF(AND(A15&lt;=$G$3,A15&gt;=$F$3),IF(MOD(A15-$F$3,$E$3)=0,(D14+$D$3)*IF('INPUT TABLE'!C$22=0,1,(1+'INPUT TABLE'!$B$2/100)),D14),D14)</f>
        <v>8.4588125E-2</v>
      </c>
      <c r="E15" s="100">
        <f t="shared" si="1"/>
        <v>0.28458812500000003</v>
      </c>
      <c r="I15" s="10">
        <v>2029</v>
      </c>
      <c r="J15" s="41">
        <f t="shared" si="2"/>
        <v>16284545674</v>
      </c>
      <c r="K15" s="41">
        <f t="shared" si="2"/>
        <v>15912432032.15</v>
      </c>
      <c r="L15" s="39">
        <f t="shared" si="3"/>
        <v>15684280312.561619</v>
      </c>
    </row>
    <row r="16" spans="1:12" ht="15.7" x14ac:dyDescent="0.5">
      <c r="A16" s="124">
        <f t="shared" si="4"/>
        <v>2030</v>
      </c>
      <c r="B16" s="101">
        <f>$A3</f>
        <v>0.2</v>
      </c>
      <c r="C16" s="100">
        <f t="shared" si="0"/>
        <v>0.05</v>
      </c>
      <c r="D16" s="100">
        <f>IF(AND(A16&lt;=$G$3,A16&gt;=$F$3),IF(MOD(A16-$F$3,$E$3)=0,(D15+$D$3)*IF('INPUT TABLE'!C$22=0,1,(1+'INPUT TABLE'!$B$2/100)),D15),D15)</f>
        <v>8.4588125E-2</v>
      </c>
      <c r="E16" s="100">
        <f t="shared" si="1"/>
        <v>0.33458812500000001</v>
      </c>
      <c r="I16" s="10">
        <v>2030</v>
      </c>
      <c r="J16" s="41">
        <f t="shared" si="2"/>
        <v>16484545674</v>
      </c>
      <c r="K16" s="41">
        <f t="shared" si="2"/>
        <v>16112432032.15</v>
      </c>
      <c r="L16" s="39">
        <f t="shared" si="3"/>
        <v>15855614939.662033</v>
      </c>
    </row>
    <row r="17" spans="1:24" ht="15" customHeight="1" x14ac:dyDescent="0.5">
      <c r="A17" s="124">
        <f t="shared" si="4"/>
        <v>2031</v>
      </c>
      <c r="B17" s="101">
        <f>$A3</f>
        <v>0.2</v>
      </c>
      <c r="C17" s="100">
        <f t="shared" si="0"/>
        <v>0.05</v>
      </c>
      <c r="D17" s="100">
        <f>IF(AND(A17&lt;=$G$3,A17&gt;=$F$3),IF(MOD(A17-$F$3,$E$3)=0,(D16+$D$3)*IF('INPUT TABLE'!C$22=0,1,(1+'INPUT TABLE'!$B$2/100)),D16),D16)</f>
        <v>8.4588125E-2</v>
      </c>
      <c r="E17" s="100">
        <f t="shared" si="1"/>
        <v>0.33458812500000001</v>
      </c>
      <c r="I17" s="10">
        <v>2031</v>
      </c>
      <c r="J17" s="41">
        <f t="shared" si="2"/>
        <v>16684545674</v>
      </c>
      <c r="K17" s="41">
        <f t="shared" si="2"/>
        <v>16312432032.15</v>
      </c>
      <c r="L17" s="39">
        <f t="shared" si="3"/>
        <v>16025568772.903526</v>
      </c>
      <c r="W17" s="123" t="s">
        <v>722</v>
      </c>
      <c r="X17" s="10">
        <v>24.1</v>
      </c>
    </row>
    <row r="18" spans="1:24" ht="15.7" x14ac:dyDescent="0.5">
      <c r="A18" s="124">
        <f t="shared" si="4"/>
        <v>2032</v>
      </c>
      <c r="B18" s="101">
        <f>$A3</f>
        <v>0.2</v>
      </c>
      <c r="C18" s="100">
        <f t="shared" si="0"/>
        <v>0.05</v>
      </c>
      <c r="D18" s="100">
        <f>IF(AND(A18&lt;=$G$3,A18&gt;=$F$3),IF(MOD(A18-$F$3,$E$3)=0,(D17+$D$3)*IF('INPUT TABLE'!C$22=0,1,(1+'INPUT TABLE'!$B$2/100)),D17),D17)</f>
        <v>8.4588125E-2</v>
      </c>
      <c r="E18" s="100">
        <f t="shared" si="1"/>
        <v>0.33458812500000001</v>
      </c>
      <c r="I18" s="10">
        <v>2032</v>
      </c>
      <c r="J18" s="41">
        <f t="shared" si="2"/>
        <v>16884545674</v>
      </c>
      <c r="K18" s="41">
        <f t="shared" si="2"/>
        <v>16512432032.15</v>
      </c>
      <c r="L18" s="39">
        <f t="shared" si="3"/>
        <v>16194141812.286098</v>
      </c>
      <c r="W18" s="2" t="s">
        <v>724</v>
      </c>
      <c r="X18">
        <v>9940</v>
      </c>
    </row>
    <row r="19" spans="1:24" ht="15.7" x14ac:dyDescent="0.5">
      <c r="A19" s="124">
        <f t="shared" si="4"/>
        <v>2033</v>
      </c>
      <c r="B19" s="101">
        <f>$A3</f>
        <v>0.2</v>
      </c>
      <c r="C19" s="100">
        <f t="shared" si="0"/>
        <v>0.05</v>
      </c>
      <c r="D19" s="100">
        <f>IF(AND(A19&lt;=$G$3,A19&gt;=$F$3),IF(MOD(A19-$F$3,$E$3)=0,(D18+$D$3)*IF('INPUT TABLE'!C$22=0,1,(1+'INPUT TABLE'!$B$2/100)),D18),D18)</f>
        <v>8.4588125E-2</v>
      </c>
      <c r="E19" s="100">
        <f t="shared" si="1"/>
        <v>0.33458812500000001</v>
      </c>
      <c r="I19" s="10">
        <v>2033</v>
      </c>
      <c r="J19" s="41">
        <f t="shared" si="2"/>
        <v>17084545674</v>
      </c>
      <c r="K19" s="41">
        <f t="shared" si="2"/>
        <v>16712432032.15</v>
      </c>
      <c r="L19" s="39">
        <f t="shared" si="3"/>
        <v>16361334057.809752</v>
      </c>
      <c r="T19" t="s">
        <v>725</v>
      </c>
    </row>
    <row r="20" spans="1:24" ht="15.7" x14ac:dyDescent="0.5">
      <c r="A20" s="124">
        <f t="shared" si="4"/>
        <v>2034</v>
      </c>
      <c r="B20" s="101">
        <f>$A3</f>
        <v>0.2</v>
      </c>
      <c r="C20" s="100">
        <f t="shared" si="0"/>
        <v>0.05</v>
      </c>
      <c r="D20" s="100">
        <f>IF(AND(A20&lt;=$G$3,A20&gt;=$F$3),IF(MOD(A20-$F$3,$E$3)=0,(D19+$D$3)*IF('INPUT TABLE'!C$22=0,1,(1+'INPUT TABLE'!$B$2/100)),D19),D19)</f>
        <v>8.4588125E-2</v>
      </c>
      <c r="E20" s="100">
        <f t="shared" si="1"/>
        <v>0.33458812500000001</v>
      </c>
      <c r="I20" s="10">
        <v>2034</v>
      </c>
      <c r="J20" s="41">
        <f t="shared" si="2"/>
        <v>17284545674</v>
      </c>
      <c r="K20" s="41">
        <f t="shared" si="2"/>
        <v>16912432032.15</v>
      </c>
      <c r="L20" s="39">
        <f t="shared" si="3"/>
        <v>16527145509.474482</v>
      </c>
      <c r="T20" s="129" t="s">
        <v>33</v>
      </c>
      <c r="U20" t="s">
        <v>82</v>
      </c>
      <c r="V20" t="s">
        <v>727</v>
      </c>
      <c r="W20" t="s">
        <v>728</v>
      </c>
    </row>
    <row r="21" spans="1:24" ht="15.7" x14ac:dyDescent="0.5">
      <c r="A21" s="124">
        <f t="shared" si="4"/>
        <v>2035</v>
      </c>
      <c r="B21" s="101">
        <f>$A3</f>
        <v>0.2</v>
      </c>
      <c r="C21" s="100">
        <f t="shared" si="0"/>
        <v>0.05</v>
      </c>
      <c r="D21" s="100">
        <f>IF(AND(A21&lt;=$G$3,A21&gt;=$F$3),IF(MOD(A21-$F$3,$E$3)=0,(D20+$D$3)*IF('INPUT TABLE'!C$22=0,1,(1+'INPUT TABLE'!$B$2/100)),D20),D20)</f>
        <v>8.4588125E-2</v>
      </c>
      <c r="E21" s="100">
        <f t="shared" si="1"/>
        <v>0.33458812500000001</v>
      </c>
      <c r="I21" s="10">
        <v>2035</v>
      </c>
      <c r="J21" s="41">
        <f t="shared" si="2"/>
        <v>17484545674</v>
      </c>
      <c r="K21" s="41">
        <f t="shared" si="2"/>
        <v>17112432032.15</v>
      </c>
      <c r="L21" s="39">
        <f t="shared" si="3"/>
        <v>16691576167.280291</v>
      </c>
      <c r="T21" s="130"/>
      <c r="U21" s="27">
        <v>36418</v>
      </c>
      <c r="V21" s="1">
        <f t="shared" ref="V21:V42" si="5">U21*$X$18</f>
        <v>361994920</v>
      </c>
      <c r="W21" s="39">
        <f t="shared" ref="W21:W42" si="6">V21/$X$17</f>
        <v>15020536.099585062</v>
      </c>
    </row>
    <row r="22" spans="1:24" ht="15.7" x14ac:dyDescent="0.5">
      <c r="A22" s="124">
        <f t="shared" si="4"/>
        <v>2036</v>
      </c>
      <c r="B22" s="101">
        <f>$A3</f>
        <v>0.2</v>
      </c>
      <c r="C22" s="100">
        <f t="shared" si="0"/>
        <v>0.05</v>
      </c>
      <c r="D22" s="100">
        <f>IF(AND(A22&lt;=$G$3,A22&gt;=$F$3),IF(MOD(A22-$F$3,$E$3)=0,(D21+$D$3)*IF('INPUT TABLE'!C$22=0,1,(1+'INPUT TABLE'!$B$2/100)),D21),D21)</f>
        <v>8.4588125E-2</v>
      </c>
      <c r="E22" s="100">
        <f t="shared" si="1"/>
        <v>0.33458812500000001</v>
      </c>
      <c r="I22" s="10">
        <v>2036</v>
      </c>
      <c r="J22" s="41">
        <f t="shared" si="2"/>
        <v>17684545674</v>
      </c>
      <c r="K22" s="41">
        <f t="shared" si="2"/>
        <v>17312432032.150002</v>
      </c>
      <c r="L22" s="39">
        <f t="shared" si="3"/>
        <v>16854626031.22718</v>
      </c>
      <c r="T22" s="10">
        <v>2020</v>
      </c>
      <c r="U22" s="27">
        <v>67547.296000000002</v>
      </c>
      <c r="V22" s="1">
        <f t="shared" si="5"/>
        <v>671420122.24000001</v>
      </c>
      <c r="W22" s="39">
        <f t="shared" si="6"/>
        <v>27859756.109543566</v>
      </c>
    </row>
    <row r="23" spans="1:24" ht="15.7" x14ac:dyDescent="0.5">
      <c r="A23" s="124">
        <f t="shared" si="4"/>
        <v>2037</v>
      </c>
      <c r="B23" s="101">
        <f>$A3</f>
        <v>0.2</v>
      </c>
      <c r="C23" s="100">
        <f t="shared" si="0"/>
        <v>0.05</v>
      </c>
      <c r="D23" s="100">
        <f>IF(AND(A23&lt;=$G$3,A23&gt;=$F$3),IF(MOD(A23-$F$3,$E$3)=0,(D22+$D$3)*IF('INPUT TABLE'!C$22=0,1,(1+'INPUT TABLE'!$B$2/100)),D22),D22)</f>
        <v>8.4588125E-2</v>
      </c>
      <c r="E23" s="100">
        <f t="shared" si="1"/>
        <v>0.33458812500000001</v>
      </c>
      <c r="I23" s="10">
        <v>2037</v>
      </c>
      <c r="J23" s="41">
        <f t="shared" si="2"/>
        <v>17884545674</v>
      </c>
      <c r="K23" s="41">
        <f t="shared" si="2"/>
        <v>17512432032.150002</v>
      </c>
      <c r="L23" s="39">
        <f t="shared" si="3"/>
        <v>17016295101.315147</v>
      </c>
      <c r="T23" s="10">
        <v>2021</v>
      </c>
      <c r="U23" s="27">
        <v>113119.984</v>
      </c>
      <c r="V23" s="1">
        <f t="shared" si="5"/>
        <v>1124412640.96</v>
      </c>
      <c r="W23" s="39">
        <f t="shared" si="6"/>
        <v>46656126.18091286</v>
      </c>
    </row>
    <row r="24" spans="1:24" ht="15.7" x14ac:dyDescent="0.5">
      <c r="A24" s="124">
        <f t="shared" si="4"/>
        <v>2038</v>
      </c>
      <c r="B24" s="101">
        <f>$A3</f>
        <v>0.2</v>
      </c>
      <c r="C24" s="100">
        <f t="shared" si="0"/>
        <v>0.05</v>
      </c>
      <c r="D24" s="100">
        <f>IF(AND(A24&lt;=$G$3,A24&gt;=$F$3),IF(MOD(A24-$F$3,$E$3)=0,(D23+$D$3)*IF('INPUT TABLE'!C$22=0,1,(1+'INPUT TABLE'!$B$2/100)),D23),D23)</f>
        <v>8.4588125E-2</v>
      </c>
      <c r="E24" s="100">
        <f t="shared" si="1"/>
        <v>0.33458812500000001</v>
      </c>
      <c r="I24" s="10">
        <v>2038</v>
      </c>
      <c r="J24" s="41">
        <f t="shared" si="2"/>
        <v>18084545674</v>
      </c>
      <c r="K24" s="41">
        <f t="shared" si="2"/>
        <v>17712432032.150002</v>
      </c>
      <c r="L24" s="39">
        <f t="shared" si="3"/>
        <v>17176583377.544193</v>
      </c>
      <c r="T24" s="10">
        <v>2022</v>
      </c>
      <c r="U24" s="27">
        <v>158259.06399999998</v>
      </c>
      <c r="V24" s="1">
        <f t="shared" si="5"/>
        <v>1573095096.1599998</v>
      </c>
      <c r="W24" s="39">
        <f t="shared" si="6"/>
        <v>65273655.44232364</v>
      </c>
    </row>
    <row r="25" spans="1:24" ht="15.7" x14ac:dyDescent="0.5">
      <c r="A25" s="124">
        <f t="shared" si="4"/>
        <v>2039</v>
      </c>
      <c r="B25" s="101">
        <f>$A3</f>
        <v>0.2</v>
      </c>
      <c r="C25" s="100">
        <f t="shared" si="0"/>
        <v>0.05</v>
      </c>
      <c r="D25" s="100">
        <f>IF(AND(A25&lt;=$G$3,A25&gt;=$F$3),IF(MOD(A25-$F$3,$E$3)=0,(D24+$D$3)*IF('INPUT TABLE'!C$22=0,1,(1+'INPUT TABLE'!$B$2/100)),D24),D24)</f>
        <v>8.4588125E-2</v>
      </c>
      <c r="E25" s="100">
        <f t="shared" si="1"/>
        <v>0.33458812500000001</v>
      </c>
      <c r="I25" s="10">
        <v>2039</v>
      </c>
      <c r="J25" s="41">
        <f>J24+(2*10^8)</f>
        <v>18284545674</v>
      </c>
      <c r="K25" s="41">
        <f>K24+(2*10^8)</f>
        <v>17912432032.150002</v>
      </c>
      <c r="L25" s="39">
        <f t="shared" si="3"/>
        <v>17335490859.914318</v>
      </c>
      <c r="T25" s="10">
        <v>2023</v>
      </c>
      <c r="U25" s="27">
        <v>204538.88799999998</v>
      </c>
      <c r="V25" s="1">
        <f t="shared" si="5"/>
        <v>2033116546.7199998</v>
      </c>
      <c r="W25" s="39">
        <f t="shared" si="6"/>
        <v>84361682.436514512</v>
      </c>
    </row>
    <row r="26" spans="1:24" ht="15.7" x14ac:dyDescent="0.5">
      <c r="A26" s="124">
        <f t="shared" si="4"/>
        <v>2040</v>
      </c>
      <c r="B26" s="101">
        <f>$A3</f>
        <v>0.2</v>
      </c>
      <c r="C26" s="100">
        <f t="shared" si="0"/>
        <v>0.05</v>
      </c>
      <c r="D26" s="100">
        <f>IF(AND(A26&lt;=$G$3,A26&gt;=$F$3),IF(MOD(A26-$F$3,$E$3)=0,(D25+$D$3)*IF('INPUT TABLE'!C$22=0,1,(1+'INPUT TABLE'!$B$2/100)),D25),D25)</f>
        <v>8.4588125E-2</v>
      </c>
      <c r="E26" s="100">
        <f t="shared" si="1"/>
        <v>0.33458812500000001</v>
      </c>
      <c r="I26" s="10">
        <v>2040</v>
      </c>
      <c r="J26" s="41">
        <f>J25+(2*10^8)</f>
        <v>18484545674</v>
      </c>
      <c r="K26" s="41">
        <f>K25+(2*10^8)</f>
        <v>18112432032.150002</v>
      </c>
      <c r="L26" s="39">
        <f t="shared" si="3"/>
        <v>17493017548.425522</v>
      </c>
      <c r="T26" s="10">
        <v>2024</v>
      </c>
      <c r="U26" s="27">
        <v>253962.54399999997</v>
      </c>
      <c r="V26" s="1">
        <f t="shared" si="5"/>
        <v>2524387687.3599997</v>
      </c>
      <c r="W26" s="39">
        <f t="shared" si="6"/>
        <v>104746377.06887965</v>
      </c>
    </row>
    <row r="27" spans="1:24" ht="15.7" x14ac:dyDescent="0.5">
      <c r="A27" s="124">
        <f t="shared" si="4"/>
        <v>2041</v>
      </c>
      <c r="B27" s="101">
        <f>$A3</f>
        <v>0.2</v>
      </c>
      <c r="C27" s="100">
        <f t="shared" si="0"/>
        <v>0.05</v>
      </c>
      <c r="D27" s="100">
        <f>IF(AND(A27&lt;=$G$3,A27&gt;=$F$3),IF(MOD(A27-$F$3,$E$3)=0,(D26+$D$3)*IF('INPUT TABLE'!C$22=0,1,(1+'INPUT TABLE'!$B$2/100)),D26),D26)</f>
        <v>8.4588125E-2</v>
      </c>
      <c r="E27" s="100">
        <f t="shared" si="1"/>
        <v>0.33458812500000001</v>
      </c>
      <c r="T27" s="10">
        <v>2025</v>
      </c>
      <c r="U27" s="27">
        <v>307029.75999999995</v>
      </c>
      <c r="V27" s="1">
        <f t="shared" si="5"/>
        <v>3051875814.3999996</v>
      </c>
      <c r="W27" s="39">
        <f t="shared" si="6"/>
        <v>126633851.21991698</v>
      </c>
    </row>
    <row r="28" spans="1:24" ht="15.7" x14ac:dyDescent="0.5">
      <c r="A28" s="124">
        <f t="shared" si="4"/>
        <v>2042</v>
      </c>
      <c r="B28" s="101">
        <f>$A3</f>
        <v>0.2</v>
      </c>
      <c r="C28" s="100">
        <f t="shared" si="0"/>
        <v>0.05</v>
      </c>
      <c r="D28" s="100">
        <f>IF(AND(A28&lt;=$G$3,A28&gt;=$F$3),IF(MOD(A28-$F$3,$E$3)=0,(D27+$D$3)*IF('INPUT TABLE'!C$22=0,1,(1+'INPUT TABLE'!$B$2/100)),D27),D27)</f>
        <v>8.4588125E-2</v>
      </c>
      <c r="E28" s="100">
        <f t="shared" si="1"/>
        <v>0.33458812500000001</v>
      </c>
      <c r="J28" t="s">
        <v>723</v>
      </c>
      <c r="K28">
        <v>2.5000000000000001E-2</v>
      </c>
      <c r="T28" s="10">
        <v>2026</v>
      </c>
      <c r="U28" s="27">
        <v>364184.58399999992</v>
      </c>
      <c r="V28" s="1">
        <f t="shared" si="5"/>
        <v>3619994764.9599991</v>
      </c>
      <c r="W28" s="39">
        <f t="shared" si="6"/>
        <v>150207251.65809125</v>
      </c>
    </row>
    <row r="29" spans="1:24" ht="15.7" x14ac:dyDescent="0.5">
      <c r="A29" s="124">
        <f t="shared" si="4"/>
        <v>2043</v>
      </c>
      <c r="B29" s="101">
        <f>$A3</f>
        <v>0.2</v>
      </c>
      <c r="C29" s="100">
        <f t="shared" si="0"/>
        <v>0.05</v>
      </c>
      <c r="D29" s="100">
        <f>IF(AND(A29&lt;=$G$3,A29&gt;=$F$3),IF(MOD(A29-$F$3,$E$3)=0,(D28+$D$3)*IF('INPUT TABLE'!C$22=0,1,(1+'INPUT TABLE'!$B$2/100)),D28),D28)</f>
        <v>8.4588125E-2</v>
      </c>
      <c r="E29" s="100">
        <f t="shared" si="1"/>
        <v>0.33458812500000001</v>
      </c>
      <c r="T29" s="10">
        <v>2027</v>
      </c>
      <c r="U29" s="27">
        <v>424206.9279999999</v>
      </c>
      <c r="V29" s="1">
        <f t="shared" si="5"/>
        <v>4216616864.3199992</v>
      </c>
      <c r="W29" s="39">
        <f t="shared" si="6"/>
        <v>174963355.36597505</v>
      </c>
    </row>
    <row r="30" spans="1:24" ht="15.7" x14ac:dyDescent="0.5">
      <c r="A30" s="124">
        <f t="shared" si="4"/>
        <v>2044</v>
      </c>
      <c r="B30" s="101">
        <f>$A3</f>
        <v>0.2</v>
      </c>
      <c r="C30" s="100">
        <f t="shared" si="0"/>
        <v>0.05</v>
      </c>
      <c r="D30" s="100">
        <f>IF(AND(A30&lt;=$G$3,A30&gt;=$F$3),IF(MOD(A30-$F$3,$E$3)=0,(D29+$D$3)*IF('INPUT TABLE'!C$22=0,1,(1+'INPUT TABLE'!$B$2/100)),D29),D29)</f>
        <v>8.4588125E-2</v>
      </c>
      <c r="E30" s="100">
        <f t="shared" si="1"/>
        <v>0.33458812500000001</v>
      </c>
      <c r="T30" s="10">
        <v>2028</v>
      </c>
      <c r="U30" s="27">
        <v>487011.87999999989</v>
      </c>
      <c r="V30" s="1">
        <f t="shared" si="5"/>
        <v>4840898087.1999989</v>
      </c>
      <c r="W30" s="39">
        <f t="shared" si="6"/>
        <v>200867140.54771778</v>
      </c>
    </row>
    <row r="31" spans="1:24" ht="15.7" x14ac:dyDescent="0.5">
      <c r="A31" s="124">
        <f t="shared" si="4"/>
        <v>2045</v>
      </c>
      <c r="B31" s="101">
        <f>$A3</f>
        <v>0.2</v>
      </c>
      <c r="C31" s="100">
        <f t="shared" si="0"/>
        <v>0.05</v>
      </c>
      <c r="D31" s="100">
        <f>IF(AND(A31&lt;=$G$3,A31&gt;=$F$3),IF(MOD(A31-$F$3,$E$3)=0,(D30+$D$3)*IF('INPUT TABLE'!C$22=0,1,(1+'INPUT TABLE'!$B$2/100)),D30),D30)</f>
        <v>8.4588125E-2</v>
      </c>
      <c r="E31" s="100">
        <f t="shared" si="1"/>
        <v>0.33458812500000001</v>
      </c>
      <c r="T31" s="10">
        <v>2029</v>
      </c>
      <c r="U31" s="27">
        <v>553164.63199999987</v>
      </c>
      <c r="V31" s="1">
        <f t="shared" si="5"/>
        <v>5498456442.079999</v>
      </c>
      <c r="W31" s="39">
        <f t="shared" si="6"/>
        <v>228151719.58838168</v>
      </c>
    </row>
    <row r="32" spans="1:24" ht="15.7" x14ac:dyDescent="0.5">
      <c r="A32" s="124">
        <f t="shared" si="4"/>
        <v>2046</v>
      </c>
      <c r="B32" s="101">
        <f>$A3</f>
        <v>0.2</v>
      </c>
      <c r="C32" s="100">
        <f t="shared" si="0"/>
        <v>0.05</v>
      </c>
      <c r="D32" s="100">
        <f>IF(AND(A32&lt;=$G$3,A32&gt;=$F$3),IF(MOD(A32-$F$3,$E$3)=0,(D31+$D$3)*IF('INPUT TABLE'!C$22=0,1,(1+'INPUT TABLE'!$B$2/100)),D31),D31)</f>
        <v>8.4588125E-2</v>
      </c>
      <c r="E32" s="100">
        <f t="shared" si="1"/>
        <v>0.33458812500000001</v>
      </c>
      <c r="T32" s="10">
        <v>2030</v>
      </c>
      <c r="U32" s="27">
        <v>622665.18399999989</v>
      </c>
      <c r="V32" s="1">
        <f t="shared" si="5"/>
        <v>6189291928.9599991</v>
      </c>
      <c r="W32" s="39">
        <f t="shared" si="6"/>
        <v>256817092.48796675</v>
      </c>
    </row>
    <row r="33" spans="1:23" ht="15.7" x14ac:dyDescent="0.5">
      <c r="A33" s="124">
        <f t="shared" si="4"/>
        <v>2047</v>
      </c>
      <c r="B33" s="101">
        <f>$A3</f>
        <v>0.2</v>
      </c>
      <c r="C33" s="100">
        <f t="shared" si="0"/>
        <v>0.05</v>
      </c>
      <c r="D33" s="100">
        <f>IF(AND(A33&lt;=$G$3,A33&gt;=$F$3),IF(MOD(A33-$F$3,$E$3)=0,(D32+$D$3)*IF('INPUT TABLE'!C$22=0,1,(1+'INPUT TABLE'!$B$2/100)),D32),D32)</f>
        <v>8.4588125E-2</v>
      </c>
      <c r="E33" s="100">
        <f t="shared" si="1"/>
        <v>0.33458812500000001</v>
      </c>
      <c r="T33" s="10">
        <v>2031</v>
      </c>
      <c r="U33" s="27">
        <v>695513.53599999985</v>
      </c>
      <c r="V33" s="1">
        <f t="shared" si="5"/>
        <v>6913404547.8399982</v>
      </c>
      <c r="W33" s="39">
        <f t="shared" si="6"/>
        <v>286863259.24647295</v>
      </c>
    </row>
    <row r="34" spans="1:23" ht="15.7" x14ac:dyDescent="0.5">
      <c r="A34" s="124">
        <f t="shared" si="4"/>
        <v>2048</v>
      </c>
      <c r="B34" s="101">
        <f>$A3</f>
        <v>0.2</v>
      </c>
      <c r="C34" s="100">
        <f t="shared" si="0"/>
        <v>0.05</v>
      </c>
      <c r="D34" s="100">
        <f>IF(AND(A34&lt;=$G$3,A34&gt;=$F$3),IF(MOD(A34-$F$3,$E$3)=0,(D33+$D$3)*IF('INPUT TABLE'!C$22=0,1,(1+'INPUT TABLE'!$B$2/100)),D33),D33)</f>
        <v>8.4588125E-2</v>
      </c>
      <c r="E34" s="100">
        <f t="shared" si="1"/>
        <v>0.33458812500000001</v>
      </c>
      <c r="T34" s="10">
        <v>2032</v>
      </c>
      <c r="U34" s="27">
        <v>771709.68799999985</v>
      </c>
      <c r="V34" s="1">
        <f t="shared" si="5"/>
        <v>7670794298.7199984</v>
      </c>
      <c r="W34" s="39">
        <f t="shared" si="6"/>
        <v>318290219.8639003</v>
      </c>
    </row>
    <row r="35" spans="1:23" ht="15.7" x14ac:dyDescent="0.5">
      <c r="A35" s="124">
        <f t="shared" si="4"/>
        <v>2049</v>
      </c>
      <c r="B35" s="101">
        <f>$A3</f>
        <v>0.2</v>
      </c>
      <c r="C35" s="100">
        <f t="shared" si="0"/>
        <v>0.05</v>
      </c>
      <c r="D35" s="100">
        <f>IF(AND(A35&lt;=$G$3,A35&gt;=$F$3),IF(MOD(A35-$F$3,$E$3)=0,(D34+$D$3)*IF('INPUT TABLE'!C$22=0,1,(1+'INPUT TABLE'!$B$2/100)),D34),D34)</f>
        <v>8.4588125E-2</v>
      </c>
      <c r="E35" s="100">
        <f t="shared" si="1"/>
        <v>0.33458812500000001</v>
      </c>
      <c r="T35" s="10">
        <v>2033</v>
      </c>
      <c r="U35" s="27">
        <v>851253.6399999999</v>
      </c>
      <c r="V35" s="1">
        <f t="shared" si="5"/>
        <v>8461461181.5999994</v>
      </c>
      <c r="W35" s="39">
        <f t="shared" si="6"/>
        <v>351097974.34024894</v>
      </c>
    </row>
    <row r="36" spans="1:23" ht="15.7" x14ac:dyDescent="0.5">
      <c r="A36" s="124">
        <f t="shared" si="4"/>
        <v>2050</v>
      </c>
      <c r="B36" s="101">
        <f>$A3</f>
        <v>0.2</v>
      </c>
      <c r="C36" s="100">
        <f t="shared" si="0"/>
        <v>0.05</v>
      </c>
      <c r="D36" s="100">
        <f>IF(AND(A36&lt;=$G$3,A36&gt;=$F$3),IF(MOD(A36-$F$3,$E$3)=0,(D35+$D$3)*IF('INPUT TABLE'!C$22=0,1,(1+'INPUT TABLE'!$B$2/100)),D35),D35)</f>
        <v>8.4588125E-2</v>
      </c>
      <c r="E36" s="100">
        <f t="shared" si="1"/>
        <v>0.33458812500000001</v>
      </c>
      <c r="T36" s="10">
        <v>2034</v>
      </c>
      <c r="U36" s="27">
        <v>934145.39199999988</v>
      </c>
      <c r="V36" s="1">
        <f t="shared" si="5"/>
        <v>9285405196.4799995</v>
      </c>
      <c r="W36" s="39">
        <f t="shared" si="6"/>
        <v>385286522.67551863</v>
      </c>
    </row>
    <row r="37" spans="1:23" x14ac:dyDescent="0.5">
      <c r="T37" s="10">
        <v>2035</v>
      </c>
      <c r="U37" s="27">
        <v>1020384.9439999999</v>
      </c>
      <c r="V37" s="1">
        <f t="shared" si="5"/>
        <v>10142626343.359999</v>
      </c>
      <c r="W37" s="39">
        <f t="shared" si="6"/>
        <v>420855864.86970949</v>
      </c>
    </row>
    <row r="38" spans="1:23" x14ac:dyDescent="0.5">
      <c r="T38" s="10">
        <v>2036</v>
      </c>
      <c r="U38" s="27">
        <v>1109972.2959999999</v>
      </c>
      <c r="V38" s="1">
        <f t="shared" si="5"/>
        <v>11033124622.239998</v>
      </c>
      <c r="W38" s="39">
        <f t="shared" si="6"/>
        <v>457806000.92282146</v>
      </c>
    </row>
    <row r="39" spans="1:23" x14ac:dyDescent="0.5">
      <c r="T39" s="10">
        <v>2037</v>
      </c>
      <c r="U39" s="27">
        <v>1202907.4479999999</v>
      </c>
      <c r="V39" s="1">
        <f t="shared" si="5"/>
        <v>11956900033.119999</v>
      </c>
      <c r="W39" s="39">
        <f t="shared" si="6"/>
        <v>496136930.83485472</v>
      </c>
    </row>
    <row r="40" spans="1:23" x14ac:dyDescent="0.5">
      <c r="T40" s="10">
        <v>2038</v>
      </c>
      <c r="U40" s="27">
        <v>1299190.3999999999</v>
      </c>
      <c r="V40" s="1">
        <f t="shared" si="5"/>
        <v>12913952576</v>
      </c>
      <c r="W40" s="39">
        <f t="shared" si="6"/>
        <v>535848654.60580909</v>
      </c>
    </row>
    <row r="41" spans="1:23" x14ac:dyDescent="0.5">
      <c r="T41" s="10">
        <v>2039</v>
      </c>
      <c r="U41" s="27">
        <v>1398821.152</v>
      </c>
      <c r="V41" s="1">
        <f t="shared" si="5"/>
        <v>13904282250.879999</v>
      </c>
      <c r="W41" s="39">
        <f t="shared" si="6"/>
        <v>576941172.23568463</v>
      </c>
    </row>
    <row r="42" spans="1:23" x14ac:dyDescent="0.5">
      <c r="T42" s="10">
        <v>2040</v>
      </c>
      <c r="U42" s="27">
        <v>1501799.7039999999</v>
      </c>
      <c r="V42" s="1">
        <f t="shared" si="5"/>
        <v>14927889057.759998</v>
      </c>
      <c r="W42" s="39">
        <f t="shared" si="6"/>
        <v>619414483.72448123</v>
      </c>
    </row>
    <row r="46" spans="1:23" x14ac:dyDescent="0.5">
      <c r="E46" s="15"/>
      <c r="F46" s="15"/>
    </row>
    <row r="47" spans="1:23" x14ac:dyDescent="0.5">
      <c r="E47" s="15"/>
      <c r="F47" s="15"/>
    </row>
  </sheetData>
  <mergeCells count="6">
    <mergeCell ref="A1:A2"/>
    <mergeCell ref="T20:T21"/>
    <mergeCell ref="F1:G1"/>
    <mergeCell ref="D1:E1"/>
    <mergeCell ref="B1:B2"/>
    <mergeCell ref="C1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CFCE-9782-47A0-B661-659E9C09490B}">
  <dimension ref="B2:H33"/>
  <sheetViews>
    <sheetView workbookViewId="0">
      <selection activeCell="N16" sqref="N16"/>
    </sheetView>
  </sheetViews>
  <sheetFormatPr defaultRowHeight="14.35" x14ac:dyDescent="0.5"/>
  <cols>
    <col min="3" max="3" width="28.5859375" bestFit="1" customWidth="1"/>
    <col min="4" max="4" width="22.87890625" bestFit="1" customWidth="1"/>
    <col min="5" max="5" width="23.703125" bestFit="1" customWidth="1"/>
    <col min="6" max="6" width="13.703125" bestFit="1" customWidth="1"/>
    <col min="7" max="8" width="15.703125" bestFit="1" customWidth="1"/>
  </cols>
  <sheetData>
    <row r="2" spans="2:8" x14ac:dyDescent="0.5">
      <c r="B2" s="7" t="s">
        <v>33</v>
      </c>
      <c r="C2" s="7" t="s">
        <v>731</v>
      </c>
      <c r="D2" s="7" t="s">
        <v>732</v>
      </c>
      <c r="E2" s="7" t="s">
        <v>733</v>
      </c>
      <c r="F2" s="7" t="s">
        <v>734</v>
      </c>
      <c r="G2" s="7" t="s">
        <v>26</v>
      </c>
      <c r="H2" s="7" t="s">
        <v>735</v>
      </c>
    </row>
    <row r="3" spans="2:8" x14ac:dyDescent="0.5">
      <c r="B3" s="3">
        <v>2020</v>
      </c>
      <c r="C3" s="47">
        <f>'Registered Vehicles'!H9</f>
        <v>23555175.340000033</v>
      </c>
      <c r="D3" s="47">
        <f>'Hybrid Vehicle Projection'!D12</f>
        <v>201629</v>
      </c>
      <c r="E3" s="3">
        <f>EV!D10</f>
        <v>40059.800000000003</v>
      </c>
      <c r="F3" s="3">
        <f>C3*'INPUT TABLE'!B$25+D3*'INPUT TABLE'!B$26+'INPUT TABLE'!B$27*'Carbon Tax'!E3</f>
        <v>135378819.0077202</v>
      </c>
      <c r="G3" s="54">
        <f>F3*('INPUT TABLE'!B$24)</f>
        <v>135378819.0077202</v>
      </c>
      <c r="H3" s="104">
        <f>G3/(1+('INPUT TABLE'!B$2)/100)^(B3-'INPUT TABLE'!$B$1)</f>
        <v>135378819.0077202</v>
      </c>
    </row>
    <row r="4" spans="2:8" x14ac:dyDescent="0.5">
      <c r="B4" s="3">
        <v>2021</v>
      </c>
      <c r="C4" s="47">
        <f>'Registered Vehicles'!H10</f>
        <v>24003259.730000019</v>
      </c>
      <c r="D4" s="47">
        <f>'Hybrid Vehicle Projection'!D13</f>
        <v>221716.787048</v>
      </c>
      <c r="E4" s="3">
        <f>EV!D11</f>
        <v>74302.025600000008</v>
      </c>
      <c r="F4" s="3">
        <f>C4*'INPUT TABLE'!B$25+D4*'INPUT TABLE'!B$26+'INPUT TABLE'!B$27*'Carbon Tax'!E4</f>
        <v>138070606.37568045</v>
      </c>
      <c r="G4" s="54">
        <f>F4*('INPUT TABLE'!B$24)</f>
        <v>138070606.37568045</v>
      </c>
      <c r="H4" s="104">
        <f>G4/(1+('INPUT TABLE'!B$2)/100)^(B4-'INPUT TABLE'!$B$1)</f>
        <v>134703030.61041996</v>
      </c>
    </row>
    <row r="5" spans="2:8" x14ac:dyDescent="0.5">
      <c r="B5" s="3">
        <v>2022</v>
      </c>
      <c r="C5" s="47">
        <f>'Registered Vehicles'!H11</f>
        <v>24451344.120000005</v>
      </c>
      <c r="D5" s="47">
        <f>'Hybrid Vehicle Projection'!D14</f>
        <v>243335.89032800001</v>
      </c>
      <c r="E5" s="3">
        <f>EV!D12</f>
        <v>124431.98240000001</v>
      </c>
      <c r="F5" s="3">
        <f>C5*'INPUT TABLE'!B$25+D5*'INPUT TABLE'!B$26+'INPUT TABLE'!B$27*'Carbon Tax'!E5</f>
        <v>140798990.55910069</v>
      </c>
      <c r="G5" s="54">
        <f>F5*('INPUT TABLE'!B$24)</f>
        <v>140798990.55910069</v>
      </c>
      <c r="H5" s="104">
        <f>G5/(1+('INPUT TABLE'!B$2)/100)^(B5-'INPUT TABLE'!$B$1)</f>
        <v>134014506.18355808</v>
      </c>
    </row>
    <row r="6" spans="2:8" x14ac:dyDescent="0.5">
      <c r="B6" s="3">
        <v>2023</v>
      </c>
      <c r="C6" s="47">
        <f>'Registered Vehicles'!H12</f>
        <v>24899428.50999999</v>
      </c>
      <c r="D6" s="47">
        <f>'Hybrid Vehicle Projection'!D15</f>
        <v>265620.98765600001</v>
      </c>
      <c r="E6" s="3">
        <f>EV!D13</f>
        <v>174084.97039999999</v>
      </c>
      <c r="F6" s="3">
        <f>C6*'INPUT TABLE'!B$25+D6*'INPUT TABLE'!B$26+'INPUT TABLE'!B$27*'Carbon Tax'!E6</f>
        <v>143528429.04729649</v>
      </c>
      <c r="G6" s="54">
        <f>F6*('INPUT TABLE'!B$24)</f>
        <v>143528429.04729649</v>
      </c>
      <c r="H6" s="104">
        <f>G6/(1+('INPUT TABLE'!B$2)/100)^(B6-'INPUT TABLE'!$B$1)</f>
        <v>133280414.66355649</v>
      </c>
    </row>
    <row r="7" spans="2:8" x14ac:dyDescent="0.5">
      <c r="B7" s="3">
        <v>2024</v>
      </c>
      <c r="C7" s="47">
        <f>'Registered Vehicles'!H13</f>
        <v>25347512.899999976</v>
      </c>
      <c r="D7" s="47">
        <f>'Hybrid Vehicle Projection'!D16</f>
        <v>288962.90600000002</v>
      </c>
      <c r="E7" s="3">
        <f>EV!D14</f>
        <v>224992.77679999999</v>
      </c>
      <c r="F7" s="3">
        <f>C7*'INPUT TABLE'!B$25+D7*'INPUT TABLE'!B$26+'INPUT TABLE'!B$27*'Carbon Tax'!E7</f>
        <v>146263588.05686545</v>
      </c>
      <c r="G7" s="54">
        <f>F7*('INPUT TABLE'!B$24)</f>
        <v>146263588.05686545</v>
      </c>
      <c r="H7" s="104">
        <f>G7/(1+('INPUT TABLE'!B$2)/100)^(B7-'INPUT TABLE'!$B$1)</f>
        <v>132507591.910843</v>
      </c>
    </row>
    <row r="8" spans="2:8" x14ac:dyDescent="0.5">
      <c r="B8" s="3">
        <v>2025</v>
      </c>
      <c r="C8" s="47">
        <f>'Registered Vehicles'!H14</f>
        <v>25795597.289999962</v>
      </c>
      <c r="D8" s="47">
        <f>'Hybrid Vehicle Projection'!D17</f>
        <v>313447.71341600001</v>
      </c>
      <c r="E8" s="3">
        <f>EV!D15</f>
        <v>279358.79839999997</v>
      </c>
      <c r="F8" s="3">
        <f>C8*'INPUT TABLE'!B$25+D8*'INPUT TABLE'!B$26+'INPUT TABLE'!B$27*'Carbon Tax'!E8</f>
        <v>149009161.09197056</v>
      </c>
      <c r="G8" s="54">
        <f>F8*('INPUT TABLE'!B$24)</f>
        <v>149009161.09197056</v>
      </c>
      <c r="H8" s="104">
        <f>G8/(1+('INPUT TABLE'!B$2)/100)^(B8-'INPUT TABLE'!$B$1)</f>
        <v>131702385.92423543</v>
      </c>
    </row>
    <row r="9" spans="2:8" x14ac:dyDescent="0.5">
      <c r="B9" s="3">
        <v>2026</v>
      </c>
      <c r="C9" s="47">
        <f>'Registered Vehicles'!H15</f>
        <v>26243681.679999948</v>
      </c>
      <c r="D9" s="47">
        <f>'Hybrid Vehicle Projection'!D18</f>
        <v>342520.998272</v>
      </c>
      <c r="E9" s="3">
        <f>EV!D16</f>
        <v>337732.73599999998</v>
      </c>
      <c r="F9" s="3">
        <f>C9*'INPUT TABLE'!B$25+D9*'INPUT TABLE'!B$26+'INPUT TABLE'!B$27*'Carbon Tax'!E9</f>
        <v>151776673.6098462</v>
      </c>
      <c r="G9" s="54">
        <f>F9*('INPUT TABLE'!B$24)</f>
        <v>151776673.6098462</v>
      </c>
      <c r="H9" s="104">
        <f>G9/(1+('INPUT TABLE'!B$2)/100)^(B9-'INPUT TABLE'!$B$1)</f>
        <v>130876549.97968081</v>
      </c>
    </row>
    <row r="10" spans="2:8" x14ac:dyDescent="0.5">
      <c r="B10" s="3">
        <v>2027</v>
      </c>
      <c r="C10" s="47">
        <f>'Registered Vehicles'!H16</f>
        <v>26691766.069999933</v>
      </c>
      <c r="D10" s="47">
        <f>'Hybrid Vehicle Projection'!D19</f>
        <v>373602.70109599998</v>
      </c>
      <c r="E10" s="3">
        <f>EV!D17</f>
        <v>400603.04239999992</v>
      </c>
      <c r="F10" s="3">
        <f>C10*'INPUT TABLE'!B$25+D10*'INPUT TABLE'!B$26+'INPUT TABLE'!B$27*'Carbon Tax'!E10</f>
        <v>154559306.27768272</v>
      </c>
      <c r="G10" s="54">
        <f>F10*('INPUT TABLE'!B$24)</f>
        <v>154559306.27768272</v>
      </c>
      <c r="H10" s="104">
        <f>G10/(1+('INPUT TABLE'!B$2)/100)^(B10-'INPUT TABLE'!$B$1)</f>
        <v>130025371.13002492</v>
      </c>
    </row>
    <row r="11" spans="2:8" x14ac:dyDescent="0.5">
      <c r="B11" s="3">
        <v>2028</v>
      </c>
      <c r="C11" s="47">
        <f>'Registered Vehicles'!H17</f>
        <v>27139850.460000038</v>
      </c>
      <c r="D11" s="47">
        <f>'Hybrid Vehicle Projection'!D20</f>
        <v>405850.48510399996</v>
      </c>
      <c r="E11" s="3">
        <f>EV!D18</f>
        <v>466627.62079999992</v>
      </c>
      <c r="F11" s="3">
        <f>C11*'INPUT TABLE'!B$25+D11*'INPUT TABLE'!B$26+'INPUT TABLE'!B$27*'Carbon Tax'!E11</f>
        <v>157351811.57028431</v>
      </c>
      <c r="G11" s="54">
        <f>F11*('INPUT TABLE'!B$24)</f>
        <v>157351811.57028431</v>
      </c>
      <c r="H11" s="104">
        <f>G11/(1+('INPUT TABLE'!B$2)/100)^(B11-'INPUT TABLE'!$B$1)</f>
        <v>129145959.75753865</v>
      </c>
    </row>
    <row r="12" spans="2:8" x14ac:dyDescent="0.5">
      <c r="B12" s="3">
        <v>2029</v>
      </c>
      <c r="C12" s="47">
        <f>'Registered Vehicles'!H18</f>
        <v>27587934.850000024</v>
      </c>
      <c r="D12" s="47">
        <f>'Hybrid Vehicle Projection'!D21</f>
        <v>439027.04631199996</v>
      </c>
      <c r="E12" s="3">
        <f>EV!D19</f>
        <v>535713.06799999997</v>
      </c>
      <c r="F12" s="3">
        <f>C12*'INPUT TABLE'!B$25+D12*'INPUT TABLE'!B$26+'INPUT TABLE'!B$27*'Carbon Tax'!E12</f>
        <v>160153283.95316362</v>
      </c>
      <c r="G12" s="54">
        <f>F12*('INPUT TABLE'!B$24)</f>
        <v>160153283.95316362</v>
      </c>
      <c r="H12" s="104">
        <f>G12/(1+('INPUT TABLE'!B$2)/100)^(B12-'INPUT TABLE'!$B$1)</f>
        <v>128239276.69172141</v>
      </c>
    </row>
    <row r="13" spans="2:8" x14ac:dyDescent="0.5">
      <c r="B13" s="3">
        <v>2030</v>
      </c>
      <c r="C13" s="47">
        <f>'Registered Vehicles'!H19</f>
        <v>28036019.24000001</v>
      </c>
      <c r="D13" s="47">
        <f>'Hybrid Vehicle Projection'!D22</f>
        <v>473310.27675199998</v>
      </c>
      <c r="E13" s="3">
        <f>EV!D20</f>
        <v>608481.09519999987</v>
      </c>
      <c r="F13" s="3">
        <f>C13*'INPUT TABLE'!B$25+D13*'INPUT TABLE'!B$26+'INPUT TABLE'!B$27*'Carbon Tax'!E13</f>
        <v>162965512.2547605</v>
      </c>
      <c r="G13" s="54">
        <f>F13*('INPUT TABLE'!B$24)</f>
        <v>162965512.2547605</v>
      </c>
      <c r="H13" s="104">
        <f>G13/(1+('INPUT TABLE'!B$2)/100)^(B13-'INPUT TABLE'!$B$1)</f>
        <v>127308397.70983329</v>
      </c>
    </row>
    <row r="14" spans="2:8" x14ac:dyDescent="0.5">
      <c r="B14" s="3">
        <v>2031</v>
      </c>
      <c r="C14" s="47">
        <f>'Registered Vehicles'!H20</f>
        <v>28484103.629999995</v>
      </c>
      <c r="D14" s="47">
        <f>'Hybrid Vehicle Projection'!D23</f>
        <v>508830.71609599999</v>
      </c>
      <c r="E14" s="3">
        <f>EV!D21</f>
        <v>684931.70239999995</v>
      </c>
      <c r="F14" s="3">
        <f>C14*'INPUT TABLE'!B$25+D14*'INPUT TABLE'!B$26+'INPUT TABLE'!B$27*'Carbon Tax'!E14</f>
        <v>165788891.22704309</v>
      </c>
      <c r="G14" s="54">
        <f>F14*('INPUT TABLE'!B$24)</f>
        <v>165788891.22704309</v>
      </c>
      <c r="H14" s="104">
        <f>G14/(1+('INPUT TABLE'!B$2)/100)^(B14-'INPUT TABLE'!$B$1)</f>
        <v>126355138.39067949</v>
      </c>
    </row>
    <row r="15" spans="2:8" x14ac:dyDescent="0.5">
      <c r="B15" s="3">
        <v>2032</v>
      </c>
      <c r="C15" s="47">
        <f>'Registered Vehicles'!H21</f>
        <v>28932188.019999981</v>
      </c>
      <c r="D15" s="47">
        <f>'Hybrid Vehicle Projection'!D24</f>
        <v>545521.26716000005</v>
      </c>
      <c r="E15" s="3">
        <f>EV!D22</f>
        <v>765064.88959999988</v>
      </c>
      <c r="F15" s="3">
        <f>C15*'INPUT TABLE'!B$25+D15*'INPUT TABLE'!B$26+'INPUT TABLE'!B$27*'Carbon Tax'!E15</f>
        <v>168623217.96812692</v>
      </c>
      <c r="G15" s="54">
        <f>F15*('INPUT TABLE'!B$24)</f>
        <v>168623217.96812692</v>
      </c>
      <c r="H15" s="104">
        <f>G15/(1+('INPUT TABLE'!B$2)/100)^(B15-'INPUT TABLE'!$B$1)</f>
        <v>125380786.07547857</v>
      </c>
    </row>
    <row r="16" spans="2:8" x14ac:dyDescent="0.5">
      <c r="B16" s="3">
        <v>2033</v>
      </c>
      <c r="C16" s="47">
        <f>'Registered Vehicles'!H22</f>
        <v>29380272.409999967</v>
      </c>
      <c r="D16" s="47">
        <f>'Hybrid Vehicle Projection'!D25</f>
        <v>583427.59032800002</v>
      </c>
      <c r="E16" s="3">
        <f>EV!D23</f>
        <v>848880.65679999988</v>
      </c>
      <c r="F16" s="3">
        <f>C16*'INPUT TABLE'!B$25+D16*'INPUT TABLE'!B$26+'INPUT TABLE'!B$27*'Carbon Tax'!E16</f>
        <v>171468630.55501327</v>
      </c>
      <c r="G16" s="54">
        <f>F16*('INPUT TABLE'!B$24)</f>
        <v>171468630.55501327</v>
      </c>
      <c r="H16" s="104">
        <f>G16/(1+('INPUT TABLE'!B$2)/100)^(B16-'INPUT TABLE'!$B$1)</f>
        <v>124386838.39008772</v>
      </c>
    </row>
    <row r="17" spans="2:8" x14ac:dyDescent="0.5">
      <c r="B17" s="3">
        <v>2034</v>
      </c>
      <c r="C17" s="47">
        <f>'Registered Vehicles'!H23</f>
        <v>29828356.799999952</v>
      </c>
      <c r="D17" s="47">
        <f>'Hybrid Vehicle Projection'!D26</f>
        <v>622584.29141599999</v>
      </c>
      <c r="E17" s="3">
        <f>EV!D24</f>
        <v>936379.00399999996</v>
      </c>
      <c r="F17" s="3">
        <f>C17*'INPUT TABLE'!B$25+D17*'INPUT TABLE'!B$26+'INPUT TABLE'!B$27*'Carbon Tax'!E17</f>
        <v>174325233.63568971</v>
      </c>
      <c r="G17" s="54">
        <f>F17*('INPUT TABLE'!B$24)</f>
        <v>174325233.63568971</v>
      </c>
      <c r="H17" s="104">
        <f>G17/(1+('INPUT TABLE'!B$2)/100)^(B17-'INPUT TABLE'!$B$1)</f>
        <v>123374708.75118662</v>
      </c>
    </row>
    <row r="18" spans="2:8" x14ac:dyDescent="0.5">
      <c r="B18" s="3">
        <v>2035</v>
      </c>
      <c r="C18" s="47">
        <f>'Registered Vehicles'!H24</f>
        <v>30276441.189999938</v>
      </c>
      <c r="D18" s="47">
        <f>'Hybrid Vehicle Projection'!D27</f>
        <v>662691.09514400002</v>
      </c>
      <c r="E18" s="3">
        <f>EV!D25</f>
        <v>1027559.9312</v>
      </c>
      <c r="F18" s="3">
        <f>C18*'INPUT TABLE'!B$25+D18*'INPUT TABLE'!B$26+'INPUT TABLE'!B$27*'Carbon Tax'!E18</f>
        <v>177192119.17770952</v>
      </c>
      <c r="G18" s="54">
        <f>F18*('INPUT TABLE'!B$24)</f>
        <v>177192119.17770952</v>
      </c>
      <c r="H18" s="104">
        <f>G18/(1+('INPUT TABLE'!B$2)/100)^(B18-'INPUT TABLE'!$B$1)</f>
        <v>122345055.23551713</v>
      </c>
    </row>
    <row r="19" spans="2:8" x14ac:dyDescent="0.5">
      <c r="B19" s="3">
        <v>2036</v>
      </c>
      <c r="C19" s="47">
        <f>'Registered Vehicles'!H25</f>
        <v>30724525.580000043</v>
      </c>
      <c r="D19" s="47">
        <f>'Hybrid Vehicle Projection'!D28</f>
        <v>703616.88485600008</v>
      </c>
      <c r="E19" s="3">
        <f>EV!D26</f>
        <v>1122423.4383999999</v>
      </c>
      <c r="F19" s="3">
        <f>C19*'INPUT TABLE'!B$25+D19*'INPUT TABLE'!B$26+'INPUT TABLE'!B$27*'Carbon Tax'!E19</f>
        <v>180068890.68430558</v>
      </c>
      <c r="G19" s="54">
        <f>F19*('INPUT TABLE'!B$24)</f>
        <v>180068890.68430558</v>
      </c>
      <c r="H19" s="104">
        <f>G19/(1+('INPUT TABLE'!B$2)/100)^(B19-'INPUT TABLE'!$B$1)</f>
        <v>121298894.51289514</v>
      </c>
    </row>
    <row r="20" spans="2:8" x14ac:dyDescent="0.5">
      <c r="B20" s="3">
        <v>2037</v>
      </c>
      <c r="C20" s="47">
        <f>'Registered Vehicles'!H26</f>
        <v>31172609.970000029</v>
      </c>
      <c r="D20" s="47">
        <f>'Hybrid Vehicle Projection'!D29</f>
        <v>745456.58868800011</v>
      </c>
      <c r="E20" s="3">
        <f>EV!D27</f>
        <v>1220969.5256000001</v>
      </c>
      <c r="F20" s="3">
        <f>C20*'INPUT TABLE'!B$25+D20*'INPUT TABLE'!B$26+'INPUT TABLE'!B$27*'Carbon Tax'!E20</f>
        <v>182955835.21815988</v>
      </c>
      <c r="G20" s="54">
        <f>F20*('INPUT TABLE'!B$24)</f>
        <v>182955835.21815988</v>
      </c>
      <c r="H20" s="104">
        <f>G20/(1+('INPUT TABLE'!B$2)/100)^(B20-'INPUT TABLE'!$B$1)</f>
        <v>120237670.56832696</v>
      </c>
    </row>
    <row r="21" spans="2:8" x14ac:dyDescent="0.5">
      <c r="B21" s="3">
        <v>2038</v>
      </c>
      <c r="C21" s="47">
        <f>'Registered Vehicles'!H27</f>
        <v>31620694.360000014</v>
      </c>
      <c r="D21" s="47">
        <f>'Hybrid Vehicle Projection'!D30</f>
        <v>788286.91349600011</v>
      </c>
      <c r="E21" s="3">
        <f>EV!D28</f>
        <v>1323198.1927999998</v>
      </c>
      <c r="F21" s="3">
        <f>C21*'INPUT TABLE'!B$25+D21*'INPUT TABLE'!B$26+'INPUT TABLE'!B$27*'Carbon Tax'!E21</f>
        <v>185853184.7408056</v>
      </c>
      <c r="G21" s="54">
        <f>F21*('INPUT TABLE'!B$24)</f>
        <v>185853184.7408056</v>
      </c>
      <c r="H21" s="104">
        <f>G21/(1+('INPUT TABLE'!B$2)/100)^(B21-'INPUT TABLE'!$B$1)</f>
        <v>119162726.19827037</v>
      </c>
    </row>
    <row r="22" spans="2:8" x14ac:dyDescent="0.5">
      <c r="B22" s="3">
        <v>2039</v>
      </c>
      <c r="C22" s="47">
        <f>'Registered Vehicles'!H28</f>
        <v>32068778.75</v>
      </c>
      <c r="D22" s="47">
        <f>'Hybrid Vehicle Projection'!D31</f>
        <v>831920.29145600006</v>
      </c>
      <c r="E22" s="3">
        <f>EV!D29</f>
        <v>1429109.44</v>
      </c>
      <c r="F22" s="3">
        <f>C22*'INPUT TABLE'!B$25+D22*'INPUT TABLE'!B$26+'INPUT TABLE'!B$27*'Carbon Tax'!E22</f>
        <v>188760372.04714298</v>
      </c>
      <c r="G22" s="54">
        <f>F22*('INPUT TABLE'!B$24)</f>
        <v>188760372.04714298</v>
      </c>
      <c r="H22" s="104">
        <f>G22/(1+('INPUT TABLE'!B$2)/100)^(B22-'INPUT TABLE'!$B$1)</f>
        <v>118074844.47918338</v>
      </c>
    </row>
    <row r="23" spans="2:8" x14ac:dyDescent="0.5">
      <c r="B23" s="3">
        <v>2040</v>
      </c>
      <c r="C23" s="47">
        <f>'Registered Vehicles'!H29</f>
        <v>32516863.139999986</v>
      </c>
      <c r="D23" s="47">
        <f>'Hybrid Vehicle Projection'!D32</f>
        <v>876413.43404000008</v>
      </c>
      <c r="E23" s="3">
        <f>EV!D30</f>
        <v>1538703.2672000001</v>
      </c>
      <c r="F23" s="3">
        <f>C23*'INPUT TABLE'!B$25+D23*'INPUT TABLE'!B$26+'INPUT TABLE'!B$27*'Carbon Tax'!E23</f>
        <v>191677568.63266328</v>
      </c>
      <c r="G23" s="54">
        <f>F23*('INPUT TABLE'!B$24)</f>
        <v>191677568.63266328</v>
      </c>
      <c r="H23" s="104">
        <f>G23/(1+('INPUT TABLE'!B$2)/100)^(B23-'INPUT TABLE'!$B$1)</f>
        <v>116975250.53434359</v>
      </c>
    </row>
    <row r="24" spans="2:8" x14ac:dyDescent="0.5">
      <c r="B24" s="3">
        <v>2041</v>
      </c>
      <c r="C24" s="47">
        <f>'Registered Vehicles'!H30</f>
        <v>32964947.529999971</v>
      </c>
      <c r="D24" s="47">
        <f>'Hybrid Vehicle Projection'!D33</f>
        <v>921875.65988000005</v>
      </c>
      <c r="E24" s="3">
        <f>EV!D31</f>
        <v>1651979.6744000001</v>
      </c>
      <c r="F24" s="3">
        <f>C24*'INPUT TABLE'!B$25+D24*'INPUT TABLE'!B$26+'INPUT TABLE'!B$27*'Carbon Tax'!E24</f>
        <v>194605105.07690975</v>
      </c>
      <c r="G24" s="54">
        <f>F24*('INPUT TABLE'!B$24)</f>
        <v>194605105.07690975</v>
      </c>
      <c r="H24" s="104">
        <f>G24/(1+('INPUT TABLE'!B$2)/100)^(B24-'INPUT TABLE'!$B$1)</f>
        <v>115865210.69309999</v>
      </c>
    </row>
    <row r="25" spans="2:8" x14ac:dyDescent="0.5">
      <c r="B25" s="3">
        <v>2042</v>
      </c>
      <c r="C25" s="47">
        <f>'Registered Vehicles'!H31</f>
        <v>33413031.919999957</v>
      </c>
      <c r="D25" s="47">
        <f>'Hybrid Vehicle Projection'!D34</f>
        <v>968433.66951200005</v>
      </c>
      <c r="E25" s="3">
        <f>EV!D32</f>
        <v>1768938.6616</v>
      </c>
      <c r="F25" s="3">
        <f>C25*'INPUT TABLE'!B$25+D25*'INPUT TABLE'!B$26+'INPUT TABLE'!B$27*'Carbon Tax'!E25</f>
        <v>197543364.52230322</v>
      </c>
      <c r="G25" s="54">
        <f>F25*('INPUT TABLE'!B$24)</f>
        <v>197543364.52230322</v>
      </c>
      <c r="H25" s="104">
        <f>G25/(1+('INPUT TABLE'!B$2)/100)^(B25-'INPUT TABLE'!$B$1)</f>
        <v>114745961.0446464</v>
      </c>
    </row>
    <row r="26" spans="2:8" x14ac:dyDescent="0.5">
      <c r="B26" s="3">
        <v>2043</v>
      </c>
      <c r="C26" s="47">
        <f>'Registered Vehicles'!H32</f>
        <v>33861116.309999943</v>
      </c>
      <c r="D26" s="47">
        <f>'Hybrid Vehicle Projection'!D35</f>
        <v>1015750.2690320001</v>
      </c>
      <c r="E26" s="3">
        <f>EV!D33</f>
        <v>1889580.2287999999</v>
      </c>
      <c r="F26" s="3">
        <f>C26*'INPUT TABLE'!B$25+D26*'INPUT TABLE'!B$26+'INPUT TABLE'!B$27*'Carbon Tax'!E26</f>
        <v>200491327.29447803</v>
      </c>
      <c r="G26" s="54">
        <f>F26*('INPUT TABLE'!B$24)</f>
        <v>200491327.29447803</v>
      </c>
      <c r="H26" s="104">
        <f>G26/(1+('INPUT TABLE'!B$2)/100)^(B26-'INPUT TABLE'!$B$1)</f>
        <v>113617881.42878436</v>
      </c>
    </row>
    <row r="27" spans="2:8" x14ac:dyDescent="0.5">
      <c r="B27" s="3">
        <v>2044</v>
      </c>
      <c r="C27" s="47">
        <f>'Registered Vehicles'!H33</f>
        <v>34309200.700000048</v>
      </c>
      <c r="D27" s="47">
        <f>'Hybrid Vehicle Projection'!D36</f>
        <v>1064031.8231360002</v>
      </c>
      <c r="E27" s="3">
        <f>EV!D34</f>
        <v>2013904.3760000002</v>
      </c>
      <c r="F27" s="3">
        <f>C27*'INPUT TABLE'!B$25+D27*'INPUT TABLE'!B$26+'INPUT TABLE'!B$27*'Carbon Tax'!E27</f>
        <v>203449617.44027555</v>
      </c>
      <c r="G27" s="54">
        <f>F27*('INPUT TABLE'!B$24)</f>
        <v>203449617.44027555</v>
      </c>
      <c r="H27" s="104">
        <f>G27/(1+('INPUT TABLE'!B$2)/100)^(B27-'INPUT TABLE'!$B$1)</f>
        <v>112482279.30119923</v>
      </c>
    </row>
    <row r="28" spans="2:8" x14ac:dyDescent="0.5">
      <c r="B28" s="3">
        <v>2045</v>
      </c>
      <c r="C28" s="47">
        <f>'Registered Vehicles'!H34</f>
        <v>34757285.090000033</v>
      </c>
      <c r="D28" s="47">
        <f>'Hybrid Vehicle Projection'!D37</f>
        <v>1113661.3775120003</v>
      </c>
      <c r="E28" s="3">
        <f>EV!D35</f>
        <v>2141911.1032000002</v>
      </c>
      <c r="F28" s="3">
        <f>C28*'INPUT TABLE'!B$25+D28*'INPUT TABLE'!B$26+'INPUT TABLE'!B$27*'Carbon Tax'!E28</f>
        <v>206419393.28985485</v>
      </c>
      <c r="G28" s="54">
        <f>F28*('INPUT TABLE'!B$24)</f>
        <v>206419393.28985485</v>
      </c>
      <c r="H28" s="104">
        <f>G28/(1+('INPUT TABLE'!B$2)/100)^(B28-'INPUT TABLE'!$B$1)</f>
        <v>111340678.22037753</v>
      </c>
    </row>
    <row r="29" spans="2:8" x14ac:dyDescent="0.5">
      <c r="B29" s="3">
        <v>2046</v>
      </c>
      <c r="C29" s="47">
        <f>'Registered Vehicles'!H35</f>
        <v>35205369.480000019</v>
      </c>
      <c r="D29" s="47">
        <f>'Hybrid Vehicle Projection'!D38</f>
        <v>1164476.1370640004</v>
      </c>
      <c r="E29" s="3">
        <f>EV!D36</f>
        <v>2273600.4104000004</v>
      </c>
      <c r="F29" s="3">
        <f>C29*'INPUT TABLE'!B$25+D29*'INPUT TABLE'!B$26+'INPUT TABLE'!B$27*'Carbon Tax'!E29</f>
        <v>209400162.55084646</v>
      </c>
      <c r="G29" s="54">
        <f>F29*('INPUT TABLE'!B$24)</f>
        <v>209400162.55084646</v>
      </c>
      <c r="H29" s="104">
        <f>G29/(1+('INPUT TABLE'!B$2)/100)^(B29-'INPUT TABLE'!$B$1)</f>
        <v>110193636.20397669</v>
      </c>
    </row>
    <row r="30" spans="2:8" x14ac:dyDescent="0.5">
      <c r="B30" s="3">
        <v>2047</v>
      </c>
      <c r="C30" s="47">
        <f>'Registered Vehicles'!H36</f>
        <v>35653453.870000005</v>
      </c>
      <c r="D30" s="47">
        <f>'Hybrid Vehicle Projection'!D39</f>
        <v>1216333.1656640004</v>
      </c>
      <c r="E30" s="3">
        <f>EV!D37</f>
        <v>2408972.2976000002</v>
      </c>
      <c r="F30" s="3">
        <f>C30*'INPUT TABLE'!B$25+D30*'INPUT TABLE'!B$26+'INPUT TABLE'!B$27*'Carbon Tax'!E30</f>
        <v>212391492.98439914</v>
      </c>
      <c r="G30" s="54">
        <f>F30*('INPUT TABLE'!B$24)</f>
        <v>212391492.98439914</v>
      </c>
      <c r="H30" s="104">
        <f>G30/(1+('INPUT TABLE'!B$2)/100)^(B30-'INPUT TABLE'!$B$1)</f>
        <v>109041734.77203347</v>
      </c>
    </row>
    <row r="31" spans="2:8" x14ac:dyDescent="0.5">
      <c r="B31" s="3">
        <v>2048</v>
      </c>
      <c r="C31" s="47">
        <f>'Registered Vehicles'!H37</f>
        <v>36101538.25999999</v>
      </c>
      <c r="D31" s="47">
        <f>'Hybrid Vehicle Projection'!D40</f>
        <v>1269279.8128880004</v>
      </c>
      <c r="E31" s="3">
        <f>EV!D38</f>
        <v>2548026.7648000005</v>
      </c>
      <c r="F31" s="3">
        <f>C31*'INPUT TABLE'!B$25+D31*'INPUT TABLE'!B$26+'INPUT TABLE'!B$27*'Carbon Tax'!E31</f>
        <v>215393527.77563086</v>
      </c>
      <c r="G31" s="54">
        <f>F31*('INPUT TABLE'!B$24)</f>
        <v>215393527.77563086</v>
      </c>
      <c r="H31" s="104">
        <f>G31/(1+('INPUT TABLE'!B$2)/100)^(B31-'INPUT TABLE'!$B$1)</f>
        <v>107885832.79797556</v>
      </c>
    </row>
    <row r="32" spans="2:8" x14ac:dyDescent="0.5">
      <c r="B32" s="3">
        <v>2049</v>
      </c>
      <c r="C32" s="47">
        <f>'Registered Vehicles'!H38</f>
        <v>36549622.649999976</v>
      </c>
      <c r="D32" s="47">
        <f>'Hybrid Vehicle Projection'!D41</f>
        <v>1323033.6795200005</v>
      </c>
      <c r="E32" s="3">
        <f>EV!D39</f>
        <v>2690763.8120000008</v>
      </c>
      <c r="F32" s="3">
        <f>C32*'INPUT TABLE'!B$25+D32*'INPUT TABLE'!B$26+'INPUT TABLE'!B$27*'Carbon Tax'!E32</f>
        <v>218405412.94931233</v>
      </c>
      <c r="G32" s="54">
        <f>F32*('INPUT TABLE'!B$24)</f>
        <v>218405412.94931233</v>
      </c>
      <c r="H32" s="104">
        <f>G32/(1+('INPUT TABLE'!B$2)/100)^(B32-'INPUT TABLE'!$B$1)</f>
        <v>106726262.60320176</v>
      </c>
    </row>
    <row r="33" spans="2:8" x14ac:dyDescent="0.5">
      <c r="B33" s="3">
        <v>2050</v>
      </c>
      <c r="C33" s="47">
        <f>'Registered Vehicles'!H39</f>
        <v>36997707.039999962</v>
      </c>
      <c r="D33" s="47">
        <f>'Hybrid Vehicle Projection'!D42</f>
        <v>1377596.2522160006</v>
      </c>
      <c r="E33" s="3">
        <f>EV!D40</f>
        <v>2837183.4392000004</v>
      </c>
      <c r="F33" s="3">
        <f>C33*'INPUT TABLE'!B$25+D33*'INPUT TABLE'!B$26+'INPUT TABLE'!B$27*'Carbon Tax'!E33</f>
        <v>221427153.00109136</v>
      </c>
      <c r="G33" s="54">
        <f>F33*('INPUT TABLE'!B$24)</f>
        <v>221427153.00109136</v>
      </c>
      <c r="H33" s="104">
        <f>G33/(1+('INPUT TABLE'!B$2)/100)^(B33-'INPUT TABLE'!$B$1)</f>
        <v>105563775.49371795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E1EC-396C-44E4-BDD6-C8F7E6F6849E}">
  <dimension ref="A1:B13"/>
  <sheetViews>
    <sheetView zoomScale="119" workbookViewId="0">
      <selection activeCell="B18" sqref="B18"/>
    </sheetView>
  </sheetViews>
  <sheetFormatPr defaultRowHeight="14.35" x14ac:dyDescent="0.5"/>
  <cols>
    <col min="1" max="1" width="32.41015625" customWidth="1"/>
    <col min="2" max="2" width="45.5859375" bestFit="1" customWidth="1"/>
  </cols>
  <sheetData>
    <row r="1" spans="1:2" x14ac:dyDescent="0.5">
      <c r="A1" s="2" t="s">
        <v>736</v>
      </c>
    </row>
    <row r="2" spans="1:2" x14ac:dyDescent="0.5">
      <c r="A2" t="s">
        <v>737</v>
      </c>
    </row>
    <row r="3" spans="1:2" ht="16.350000000000001" x14ac:dyDescent="0.5">
      <c r="A3" s="122" t="s">
        <v>738</v>
      </c>
      <c r="B3" s="122" t="s">
        <v>739</v>
      </c>
    </row>
    <row r="4" spans="1:2" x14ac:dyDescent="0.5">
      <c r="A4" s="10" t="s">
        <v>740</v>
      </c>
      <c r="B4" s="10">
        <v>4023</v>
      </c>
    </row>
    <row r="5" spans="1:2" x14ac:dyDescent="0.5">
      <c r="A5" s="10" t="s">
        <v>741</v>
      </c>
      <c r="B5" s="10">
        <v>5837</v>
      </c>
    </row>
    <row r="6" spans="1:2" x14ac:dyDescent="0.5">
      <c r="A6" s="10" t="s">
        <v>742</v>
      </c>
      <c r="B6" s="10">
        <v>6258</v>
      </c>
    </row>
    <row r="7" spans="1:2" x14ac:dyDescent="0.5">
      <c r="A7" s="10" t="s">
        <v>743</v>
      </c>
      <c r="B7" s="10">
        <v>11435</v>
      </c>
    </row>
    <row r="12" spans="1:2" x14ac:dyDescent="0.5">
      <c r="A12" s="50" t="s">
        <v>744</v>
      </c>
    </row>
    <row r="13" spans="1:2" x14ac:dyDescent="0.5">
      <c r="A13" s="15" t="s">
        <v>745</v>
      </c>
    </row>
  </sheetData>
  <hyperlinks>
    <hyperlink ref="A13" r:id="rId1" xr:uid="{101A7BC4-D231-48D0-B7C3-989F5E2E99AB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FFA7-9118-4D7C-97F2-C74FA5AB6676}">
  <dimension ref="A1:AI70"/>
  <sheetViews>
    <sheetView topLeftCell="M1" zoomScale="80" zoomScaleNormal="100" workbookViewId="0">
      <selection activeCell="S11" sqref="S11"/>
    </sheetView>
  </sheetViews>
  <sheetFormatPr defaultRowHeight="14.35" x14ac:dyDescent="0.5"/>
  <cols>
    <col min="2" max="2" width="16.1171875" bestFit="1" customWidth="1"/>
    <col min="3" max="3" width="23.1171875" customWidth="1"/>
    <col min="4" max="4" width="15.41015625" bestFit="1" customWidth="1"/>
    <col min="5" max="5" width="19.87890625" customWidth="1"/>
    <col min="6" max="6" width="18.87890625" customWidth="1"/>
    <col min="8" max="8" width="19.1171875" bestFit="1" customWidth="1"/>
    <col min="10" max="10" width="13.87890625" bestFit="1" customWidth="1"/>
    <col min="11" max="11" width="17.41015625" customWidth="1"/>
    <col min="12" max="12" width="11" customWidth="1"/>
    <col min="13" max="13" width="11.703125" customWidth="1"/>
    <col min="15" max="15" width="18.41015625" bestFit="1" customWidth="1"/>
    <col min="16" max="16" width="17.41015625" bestFit="1" customWidth="1"/>
    <col min="17" max="17" width="18.41015625" bestFit="1" customWidth="1"/>
    <col min="18" max="19" width="16.29296875" bestFit="1" customWidth="1"/>
    <col min="29" max="29" width="27.87890625" customWidth="1"/>
    <col min="30" max="30" width="19.5859375" customWidth="1"/>
    <col min="31" max="31" width="20.29296875" customWidth="1"/>
    <col min="32" max="33" width="17.29296875" bestFit="1" customWidth="1"/>
    <col min="34" max="34" width="12.1171875" bestFit="1" customWidth="1"/>
  </cols>
  <sheetData>
    <row r="1" spans="1:34" x14ac:dyDescent="0.5">
      <c r="A1" s="2" t="s">
        <v>750</v>
      </c>
      <c r="I1" s="134" t="s">
        <v>751</v>
      </c>
      <c r="J1" s="134"/>
      <c r="V1" s="15" t="s">
        <v>746</v>
      </c>
      <c r="AC1" s="25" t="s">
        <v>761</v>
      </c>
      <c r="AH1" s="15"/>
    </row>
    <row r="2" spans="1:34" ht="57.35" x14ac:dyDescent="0.5">
      <c r="A2" s="17" t="s">
        <v>33</v>
      </c>
      <c r="B2" s="18" t="s">
        <v>752</v>
      </c>
      <c r="C2" s="18" t="s">
        <v>753</v>
      </c>
      <c r="D2" s="23" t="s">
        <v>754</v>
      </c>
      <c r="E2" s="18" t="s">
        <v>755</v>
      </c>
      <c r="F2" s="18" t="s">
        <v>756</v>
      </c>
      <c r="G2" s="18" t="s">
        <v>757</v>
      </c>
      <c r="H2" s="18" t="s">
        <v>758</v>
      </c>
      <c r="I2" s="122" t="s">
        <v>33</v>
      </c>
      <c r="J2" s="17" t="s">
        <v>759</v>
      </c>
      <c r="K2" s="18" t="s">
        <v>755</v>
      </c>
      <c r="L2" s="18" t="s">
        <v>760</v>
      </c>
      <c r="N2" s="17" t="s">
        <v>33</v>
      </c>
      <c r="O2" s="18" t="s">
        <v>755</v>
      </c>
      <c r="P2" s="18" t="s">
        <v>756</v>
      </c>
      <c r="Q2" s="18" t="s">
        <v>764</v>
      </c>
      <c r="R2" s="18" t="s">
        <v>765</v>
      </c>
      <c r="S2" s="18" t="s">
        <v>766</v>
      </c>
      <c r="V2" s="15" t="s">
        <v>748</v>
      </c>
    </row>
    <row r="3" spans="1:34" x14ac:dyDescent="0.5">
      <c r="A3" s="19">
        <v>2005</v>
      </c>
      <c r="B3" s="20">
        <v>641728448.27199996</v>
      </c>
      <c r="C3" s="20">
        <v>68923812.104000002</v>
      </c>
      <c r="D3" s="60">
        <f>B3-C3</f>
        <v>572804636.16799998</v>
      </c>
      <c r="E3" s="22">
        <f>B3*365</f>
        <v>234230883619.28</v>
      </c>
      <c r="F3" s="22">
        <f>C3*365</f>
        <v>25157191417.959999</v>
      </c>
      <c r="G3" s="42">
        <f>F3/E3</f>
        <v>0.10740339202600892</v>
      </c>
      <c r="H3" s="60">
        <f>E3-F3</f>
        <v>209073692201.32001</v>
      </c>
      <c r="I3" s="34">
        <v>2005</v>
      </c>
      <c r="J3" s="4">
        <v>22790696</v>
      </c>
      <c r="K3" s="44">
        <v>234230883619.28</v>
      </c>
      <c r="L3" s="44">
        <f>K3/J3</f>
        <v>10277.478301640283</v>
      </c>
      <c r="N3" s="19">
        <v>2019</v>
      </c>
      <c r="O3" s="22">
        <v>288226726953.48999</v>
      </c>
      <c r="P3" s="62">
        <f>O3*$G$17</f>
        <v>30392133188.260002</v>
      </c>
      <c r="Q3" s="62">
        <f>O3-P3</f>
        <v>257834593765.22998</v>
      </c>
      <c r="R3" s="40">
        <f>O3*('INPUT TABLE'!B$7/100)</f>
        <v>2882267269.5349002</v>
      </c>
      <c r="S3" s="40"/>
      <c r="V3" s="15" t="s">
        <v>749</v>
      </c>
      <c r="AC3" s="26" t="s">
        <v>762</v>
      </c>
    </row>
    <row r="4" spans="1:34" x14ac:dyDescent="0.5">
      <c r="A4" s="19">
        <v>2006</v>
      </c>
      <c r="B4" s="20">
        <v>647906182.66900003</v>
      </c>
      <c r="C4" s="20">
        <v>69308427.636000007</v>
      </c>
      <c r="D4" s="60">
        <f t="shared" ref="D4:D17" si="0">B4-C4</f>
        <v>578597755.03299999</v>
      </c>
      <c r="E4" s="22">
        <f t="shared" ref="E4:E17" si="1">B4*365</f>
        <v>236485756674.185</v>
      </c>
      <c r="F4" s="22">
        <f t="shared" ref="F4:F17" si="2">C4*365</f>
        <v>25297576087.140003</v>
      </c>
      <c r="G4" s="42">
        <f t="shared" ref="G4:G17" si="3">F4/E4</f>
        <v>0.10697293757946442</v>
      </c>
      <c r="H4" s="60">
        <f t="shared" ref="H4:H17" si="4">E4-F4</f>
        <v>211188180587.04498</v>
      </c>
      <c r="I4" s="34">
        <v>2006</v>
      </c>
      <c r="J4" s="4">
        <v>23356591</v>
      </c>
      <c r="K4" s="44">
        <v>236485756674.185</v>
      </c>
      <c r="L4" s="44">
        <f t="shared" ref="L4:L17" si="5">K4/J4</f>
        <v>10125.011679751768</v>
      </c>
      <c r="N4" s="5">
        <v>2020</v>
      </c>
      <c r="O4" s="62">
        <f>O3+(6*10^9)</f>
        <v>294226726953.48999</v>
      </c>
      <c r="P4" s="62">
        <f t="shared" ref="P4:P34" si="6">O4*$G$17</f>
        <v>31024804561.442493</v>
      </c>
      <c r="Q4" s="62">
        <f t="shared" ref="Q4:Q34" si="7">O4-P4</f>
        <v>263201922392.04749</v>
      </c>
      <c r="R4" s="40">
        <f>O4*('INPUT TABLE'!B$7/100)</f>
        <v>2942267269.5349002</v>
      </c>
      <c r="S4" s="40">
        <f>R4/(1+('INPUT TABLE'!B$2)/100)^(N4-'INPUT TABLE'!$B$1)</f>
        <v>2942267269.5349002</v>
      </c>
      <c r="V4" s="24" t="s">
        <v>747</v>
      </c>
      <c r="AC4" t="s">
        <v>763</v>
      </c>
    </row>
    <row r="5" spans="1:34" x14ac:dyDescent="0.5">
      <c r="A5" s="19">
        <v>2007</v>
      </c>
      <c r="B5" s="20">
        <v>662317977.62199998</v>
      </c>
      <c r="C5" s="20">
        <v>72465022.782000005</v>
      </c>
      <c r="D5" s="60">
        <f t="shared" si="0"/>
        <v>589852954.83999991</v>
      </c>
      <c r="E5" s="22">
        <f t="shared" si="1"/>
        <v>241746061832.03</v>
      </c>
      <c r="F5" s="22">
        <f t="shared" si="2"/>
        <v>26449733315.43</v>
      </c>
      <c r="G5" s="42">
        <f t="shared" si="3"/>
        <v>0.10941122728116169</v>
      </c>
      <c r="H5" s="60">
        <f t="shared" si="4"/>
        <v>215296328516.60001</v>
      </c>
      <c r="I5" s="34">
        <v>2007</v>
      </c>
      <c r="J5" s="4">
        <v>23824518</v>
      </c>
      <c r="K5" s="44">
        <v>241746061832.03</v>
      </c>
      <c r="L5" s="44">
        <f t="shared" si="5"/>
        <v>10146.944497766124</v>
      </c>
      <c r="N5" s="19">
        <v>2021</v>
      </c>
      <c r="O5" s="62">
        <f t="shared" ref="O5:O34" si="8">O4+(6*10^9)</f>
        <v>300226726953.48999</v>
      </c>
      <c r="P5" s="62">
        <f t="shared" si="6"/>
        <v>31657475934.624989</v>
      </c>
      <c r="Q5" s="62">
        <f t="shared" si="7"/>
        <v>268569251018.86499</v>
      </c>
      <c r="R5" s="40">
        <f>O5*('INPUT TABLE'!B$7/100)</f>
        <v>3002267269.5349002</v>
      </c>
      <c r="S5" s="40">
        <f>R5/(1+('INPUT TABLE'!B$2)/100)^(N5-'INPUT TABLE'!$B$1)</f>
        <v>2929041238.5706344</v>
      </c>
    </row>
    <row r="6" spans="1:34" x14ac:dyDescent="0.5">
      <c r="A6" s="19">
        <v>2008</v>
      </c>
      <c r="B6" s="20">
        <v>640965304.69599998</v>
      </c>
      <c r="C6" s="20">
        <v>68617392.165999994</v>
      </c>
      <c r="D6" s="60">
        <f t="shared" si="0"/>
        <v>572347912.52999997</v>
      </c>
      <c r="E6" s="22">
        <f t="shared" si="1"/>
        <v>233952336214.03998</v>
      </c>
      <c r="F6" s="22">
        <f t="shared" si="2"/>
        <v>25045348140.589996</v>
      </c>
      <c r="G6" s="42">
        <f t="shared" si="3"/>
        <v>0.10705320812730132</v>
      </c>
      <c r="H6" s="60">
        <f t="shared" si="4"/>
        <v>208906988073.44998</v>
      </c>
      <c r="I6" s="34">
        <v>2008</v>
      </c>
      <c r="J6" s="4">
        <v>24290611</v>
      </c>
      <c r="K6" s="44">
        <v>233952336214.03998</v>
      </c>
      <c r="L6" s="44">
        <f t="shared" si="5"/>
        <v>9631.3895197630063</v>
      </c>
      <c r="N6" s="5">
        <v>2022</v>
      </c>
      <c r="O6" s="62">
        <f t="shared" si="8"/>
        <v>306226726953.48999</v>
      </c>
      <c r="P6" s="62">
        <f t="shared" si="6"/>
        <v>32290147307.80748</v>
      </c>
      <c r="Q6" s="62">
        <f t="shared" si="7"/>
        <v>273936579645.6825</v>
      </c>
      <c r="R6" s="40">
        <f>O6*('INPUT TABLE'!B$7/100)</f>
        <v>3062267269.5349002</v>
      </c>
      <c r="S6" s="40">
        <f>R6/(1+('INPUT TABLE'!B$2)/100)^(N6-'INPUT TABLE'!$B$1)</f>
        <v>2914710072.1331592</v>
      </c>
    </row>
    <row r="7" spans="1:34" x14ac:dyDescent="0.5">
      <c r="A7" s="19">
        <v>2009</v>
      </c>
      <c r="B7" s="20">
        <v>635551004.66600001</v>
      </c>
      <c r="C7" s="20">
        <v>63738707.519374147</v>
      </c>
      <c r="D7" s="60">
        <f t="shared" si="0"/>
        <v>571812297.14662588</v>
      </c>
      <c r="E7" s="22">
        <f t="shared" si="1"/>
        <v>231976116703.09</v>
      </c>
      <c r="F7" s="22">
        <f t="shared" si="2"/>
        <v>23264628244.571564</v>
      </c>
      <c r="G7" s="42">
        <f t="shared" si="3"/>
        <v>0.10028889428452818</v>
      </c>
      <c r="H7" s="60">
        <f t="shared" si="4"/>
        <v>208711488458.51843</v>
      </c>
      <c r="I7" s="34">
        <v>2009</v>
      </c>
      <c r="J7" s="4">
        <v>24770651</v>
      </c>
      <c r="K7" s="44">
        <v>231976116703.09</v>
      </c>
      <c r="L7" s="44">
        <f t="shared" si="5"/>
        <v>9364.9584220895122</v>
      </c>
      <c r="N7" s="19">
        <v>2023</v>
      </c>
      <c r="O7" s="62">
        <f t="shared" si="8"/>
        <v>312226726953.48999</v>
      </c>
      <c r="P7" s="62">
        <f t="shared" si="6"/>
        <v>32922818680.989975</v>
      </c>
      <c r="Q7" s="62">
        <f t="shared" si="7"/>
        <v>279303908272.5</v>
      </c>
      <c r="R7" s="40">
        <f>O7*('INPUT TABLE'!B$7/100)</f>
        <v>3122267269.5349002</v>
      </c>
      <c r="S7" s="40">
        <f>R7/(1+('INPUT TABLE'!B$2)/100)^(N7-'INPUT TABLE'!$B$1)</f>
        <v>2899335547.2241211</v>
      </c>
    </row>
    <row r="8" spans="1:34" x14ac:dyDescent="0.5">
      <c r="A8" s="19">
        <v>2010</v>
      </c>
      <c r="B8" s="20">
        <v>641809936.63699996</v>
      </c>
      <c r="C8" s="20">
        <v>66611585.97982908</v>
      </c>
      <c r="D8" s="60">
        <f t="shared" si="0"/>
        <v>575198350.65717089</v>
      </c>
      <c r="E8" s="22">
        <f t="shared" si="1"/>
        <v>234260626872.50497</v>
      </c>
      <c r="F8" s="22">
        <f t="shared" si="2"/>
        <v>24313228882.637615</v>
      </c>
      <c r="G8" s="42">
        <f t="shared" si="3"/>
        <v>0.10378709050356102</v>
      </c>
      <c r="H8" s="60">
        <f t="shared" si="4"/>
        <v>209947397989.86737</v>
      </c>
      <c r="I8" s="34">
        <v>2010</v>
      </c>
      <c r="J8" s="4">
        <v>25213445</v>
      </c>
      <c r="K8" s="44">
        <v>234260626872.50497</v>
      </c>
      <c r="L8" s="44">
        <f t="shared" si="5"/>
        <v>9291.0995253724741</v>
      </c>
      <c r="N8" s="5">
        <v>2024</v>
      </c>
      <c r="O8" s="62">
        <f t="shared" si="8"/>
        <v>318226726953.48999</v>
      </c>
      <c r="P8" s="62">
        <f t="shared" si="6"/>
        <v>33555490054.172466</v>
      </c>
      <c r="Q8" s="62">
        <f t="shared" si="7"/>
        <v>284671236899.3175</v>
      </c>
      <c r="R8" s="40">
        <f>O8*('INPUT TABLE'!B$7/100)</f>
        <v>3182267269.5349002</v>
      </c>
      <c r="S8" s="40">
        <f>R8/(1+('INPUT TABLE'!B$2)/100)^(N8-'INPUT TABLE'!$B$1)</f>
        <v>2882977084.7602987</v>
      </c>
    </row>
    <row r="9" spans="1:34" x14ac:dyDescent="0.5">
      <c r="A9" s="19">
        <v>2011</v>
      </c>
      <c r="B9" s="20">
        <v>650528345.24399996</v>
      </c>
      <c r="C9" s="20">
        <v>66664926.256616957</v>
      </c>
      <c r="D9" s="60">
        <f t="shared" si="0"/>
        <v>583863418.98738301</v>
      </c>
      <c r="E9" s="22">
        <f t="shared" si="1"/>
        <v>237442846014.06</v>
      </c>
      <c r="F9" s="22">
        <f t="shared" si="2"/>
        <v>24332698083.665188</v>
      </c>
      <c r="G9" s="42">
        <f t="shared" si="3"/>
        <v>0.10247812680877463</v>
      </c>
      <c r="H9" s="60">
        <f t="shared" si="4"/>
        <v>213110147930.39481</v>
      </c>
      <c r="I9" s="34">
        <v>2011</v>
      </c>
      <c r="J9" s="4">
        <v>25645629</v>
      </c>
      <c r="K9" s="44">
        <v>237442846014.06</v>
      </c>
      <c r="L9" s="44">
        <f t="shared" si="5"/>
        <v>9258.6087872541557</v>
      </c>
      <c r="N9" s="19">
        <v>2025</v>
      </c>
      <c r="O9" s="62">
        <f t="shared" si="8"/>
        <v>324226726953.48999</v>
      </c>
      <c r="P9" s="62">
        <f t="shared" si="6"/>
        <v>34188161427.354961</v>
      </c>
      <c r="Q9" s="62">
        <f t="shared" si="7"/>
        <v>290038565526.13501</v>
      </c>
      <c r="R9" s="40">
        <f>O9*('INPUT TABLE'!B$7/100)</f>
        <v>3242267269.5349002</v>
      </c>
      <c r="S9" s="40">
        <f>R9/(1+('INPUT TABLE'!B$2)/100)^(N9-'INPUT TABLE'!$B$1)</f>
        <v>2865691827.7544236</v>
      </c>
    </row>
    <row r="10" spans="1:34" x14ac:dyDescent="0.5">
      <c r="A10" s="19">
        <v>2012</v>
      </c>
      <c r="B10" s="20">
        <v>649785363.66400003</v>
      </c>
      <c r="C10" s="20">
        <v>67175207.531255648</v>
      </c>
      <c r="D10" s="60">
        <f t="shared" si="0"/>
        <v>582610156.13274443</v>
      </c>
      <c r="E10" s="22">
        <f t="shared" si="1"/>
        <v>237171657737.36002</v>
      </c>
      <c r="F10" s="22">
        <f t="shared" si="2"/>
        <v>24518950748.90831</v>
      </c>
      <c r="G10" s="42">
        <f t="shared" si="3"/>
        <v>0.10338061041028854</v>
      </c>
      <c r="H10" s="60">
        <f t="shared" si="4"/>
        <v>212652706988.45172</v>
      </c>
      <c r="I10" s="34">
        <v>2012</v>
      </c>
      <c r="J10" s="4">
        <v>26084481</v>
      </c>
      <c r="K10" s="44">
        <v>237171657737.36002</v>
      </c>
      <c r="L10" s="44">
        <f t="shared" si="5"/>
        <v>9092.4430406478095</v>
      </c>
      <c r="N10" s="5">
        <v>2026</v>
      </c>
      <c r="O10" s="62">
        <f t="shared" si="8"/>
        <v>330226726953.48999</v>
      </c>
      <c r="P10" s="62">
        <f t="shared" si="6"/>
        <v>34820832800.537453</v>
      </c>
      <c r="Q10" s="62">
        <f t="shared" si="7"/>
        <v>295405894152.95251</v>
      </c>
      <c r="R10" s="40">
        <f>O10*('INPUT TABLE'!B$7/100)</f>
        <v>3302267269.5349002</v>
      </c>
      <c r="S10" s="40">
        <f>R10/(1+('INPUT TABLE'!B$2)/100)^(N10-'INPUT TABLE'!$B$1)</f>
        <v>2847534717.0838976</v>
      </c>
    </row>
    <row r="11" spans="1:34" x14ac:dyDescent="0.5">
      <c r="A11" s="19">
        <v>2013</v>
      </c>
      <c r="B11" s="20">
        <v>669961847.60300004</v>
      </c>
      <c r="C11" s="20">
        <v>70928115.027188048</v>
      </c>
      <c r="D11" s="60">
        <f t="shared" si="0"/>
        <v>599033732.57581198</v>
      </c>
      <c r="E11" s="22">
        <f t="shared" si="1"/>
        <v>244536074375.095</v>
      </c>
      <c r="F11" s="22">
        <f t="shared" si="2"/>
        <v>25888761984.923637</v>
      </c>
      <c r="G11" s="42">
        <f t="shared" si="3"/>
        <v>0.10586888683431118</v>
      </c>
      <c r="H11" s="60">
        <f t="shared" si="4"/>
        <v>218647312390.17136</v>
      </c>
      <c r="I11" s="34">
        <v>2013</v>
      </c>
      <c r="J11" s="4">
        <v>26480266</v>
      </c>
      <c r="K11" s="44">
        <v>244536074375.095</v>
      </c>
      <c r="L11" s="44">
        <f t="shared" si="5"/>
        <v>9234.6532461227926</v>
      </c>
      <c r="N11" s="19">
        <v>2027</v>
      </c>
      <c r="O11" s="62">
        <f t="shared" si="8"/>
        <v>336226726953.48999</v>
      </c>
      <c r="P11" s="62">
        <f t="shared" si="6"/>
        <v>35453504173.719948</v>
      </c>
      <c r="Q11" s="62">
        <f t="shared" si="7"/>
        <v>300773222779.77002</v>
      </c>
      <c r="R11" s="40">
        <f>O11*('INPUT TABLE'!B$7/100)</f>
        <v>3362267269.5349002</v>
      </c>
      <c r="S11" s="40">
        <f>R11/(1+('INPUT TABLE'!B$2)/100)^(N11-'INPUT TABLE'!$B$1)</f>
        <v>2828558564.9185634</v>
      </c>
    </row>
    <row r="12" spans="1:34" x14ac:dyDescent="0.5">
      <c r="A12" s="19">
        <v>2014</v>
      </c>
      <c r="B12" s="20">
        <v>665722240.39600003</v>
      </c>
      <c r="C12" s="20">
        <v>77237914.833391592</v>
      </c>
      <c r="D12" s="60">
        <f t="shared" si="0"/>
        <v>588484325.56260848</v>
      </c>
      <c r="E12" s="22">
        <f t="shared" si="1"/>
        <v>242988617744.54001</v>
      </c>
      <c r="F12" s="22">
        <f t="shared" si="2"/>
        <v>28191838914.187931</v>
      </c>
      <c r="G12" s="42">
        <f t="shared" si="3"/>
        <v>0.11602123249997955</v>
      </c>
      <c r="H12" s="60">
        <f t="shared" si="4"/>
        <v>214796778830.35208</v>
      </c>
      <c r="I12" s="34">
        <v>2014</v>
      </c>
      <c r="J12" s="4">
        <v>26964333</v>
      </c>
      <c r="K12" s="44">
        <v>242988617744.54001</v>
      </c>
      <c r="L12" s="44">
        <f t="shared" si="5"/>
        <v>9011.4826035021888</v>
      </c>
      <c r="N12" s="5">
        <v>2028</v>
      </c>
      <c r="O12" s="62">
        <f t="shared" si="8"/>
        <v>342226726953.48999</v>
      </c>
      <c r="P12" s="62">
        <f t="shared" si="6"/>
        <v>36086175546.902443</v>
      </c>
      <c r="Q12" s="62">
        <f t="shared" si="7"/>
        <v>306140551406.58752</v>
      </c>
      <c r="R12" s="40">
        <f>O12*('INPUT TABLE'!B$7/100)</f>
        <v>3422267269.5349002</v>
      </c>
      <c r="S12" s="40">
        <f>R12/(1+('INPUT TABLE'!B$2)/100)^(N12-'INPUT TABLE'!$B$1)</f>
        <v>2808814125.8766527</v>
      </c>
    </row>
    <row r="13" spans="1:34" x14ac:dyDescent="0.5">
      <c r="A13" s="19">
        <v>2015</v>
      </c>
      <c r="B13" s="20">
        <v>707184160.43499994</v>
      </c>
      <c r="C13" s="20">
        <v>75195081.510909691</v>
      </c>
      <c r="D13" s="60">
        <f t="shared" si="0"/>
        <v>631989078.92409027</v>
      </c>
      <c r="E13" s="22">
        <f t="shared" si="1"/>
        <v>258122218558.77499</v>
      </c>
      <c r="F13" s="22">
        <f t="shared" si="2"/>
        <v>27446204751.482037</v>
      </c>
      <c r="G13" s="42">
        <f t="shared" si="3"/>
        <v>0.10633026829200476</v>
      </c>
      <c r="H13" s="60">
        <f t="shared" si="4"/>
        <v>230676013807.29297</v>
      </c>
      <c r="I13" s="34">
        <v>2015</v>
      </c>
      <c r="J13" s="4">
        <v>27470056</v>
      </c>
      <c r="K13" s="44">
        <v>258122218558.77499</v>
      </c>
      <c r="L13" s="44">
        <f t="shared" si="5"/>
        <v>9396.4940791811641</v>
      </c>
      <c r="N13" s="19">
        <v>2029</v>
      </c>
      <c r="O13" s="62">
        <f t="shared" si="8"/>
        <v>348226726953.48999</v>
      </c>
      <c r="P13" s="62">
        <f t="shared" si="6"/>
        <v>36718846920.08493</v>
      </c>
      <c r="Q13" s="62">
        <f t="shared" si="7"/>
        <v>311507880033.40503</v>
      </c>
      <c r="R13" s="40">
        <f>O13*('INPUT TABLE'!B$7/100)</f>
        <v>3482267269.5349002</v>
      </c>
      <c r="S13" s="40">
        <f>R13/(1+('INPUT TABLE'!B$2)/100)^(N13-'INPUT TABLE'!$B$1)</f>
        <v>2788350165.9760375</v>
      </c>
    </row>
    <row r="14" spans="1:34" x14ac:dyDescent="0.5">
      <c r="A14" s="21">
        <v>2016</v>
      </c>
      <c r="B14" s="20">
        <v>741155382.67200005</v>
      </c>
      <c r="C14" s="20">
        <v>76529800.389307693</v>
      </c>
      <c r="D14" s="60">
        <f t="shared" si="0"/>
        <v>664625582.28269231</v>
      </c>
      <c r="E14" s="22">
        <f t="shared" si="1"/>
        <v>270521714675.28003</v>
      </c>
      <c r="F14" s="22">
        <f t="shared" si="2"/>
        <v>27933377142.097309</v>
      </c>
      <c r="G14" s="42">
        <f t="shared" si="3"/>
        <v>0.10325743046404633</v>
      </c>
      <c r="H14" s="60">
        <f t="shared" si="4"/>
        <v>242588337533.18271</v>
      </c>
      <c r="I14" s="34">
        <v>2016</v>
      </c>
      <c r="J14" s="4">
        <v>27914410</v>
      </c>
      <c r="K14" s="44">
        <v>270521714675.28003</v>
      </c>
      <c r="L14" s="44">
        <f t="shared" si="5"/>
        <v>9691.1134670329775</v>
      </c>
      <c r="N14" s="5">
        <v>2030</v>
      </c>
      <c r="O14" s="62">
        <f t="shared" si="8"/>
        <v>354226726953.48999</v>
      </c>
      <c r="P14" s="62">
        <f t="shared" si="6"/>
        <v>37351518293.267426</v>
      </c>
      <c r="Q14" s="62">
        <f t="shared" si="7"/>
        <v>316875208660.22253</v>
      </c>
      <c r="R14" s="40">
        <f>O14*('INPUT TABLE'!B$7/100)</f>
        <v>3542267269.5349002</v>
      </c>
      <c r="S14" s="40">
        <f>R14/(1+('INPUT TABLE'!B$2)/100)^(N14-'INPUT TABLE'!$B$1)</f>
        <v>2767213529.4460192</v>
      </c>
    </row>
    <row r="15" spans="1:34" x14ac:dyDescent="0.5">
      <c r="A15" s="21">
        <v>2017</v>
      </c>
      <c r="B15" s="20">
        <v>747891909.97800004</v>
      </c>
      <c r="C15" s="20">
        <v>77260758.684</v>
      </c>
      <c r="D15" s="60">
        <f t="shared" si="0"/>
        <v>670631151.29400003</v>
      </c>
      <c r="E15" s="22">
        <f t="shared" si="1"/>
        <v>272980547141.97</v>
      </c>
      <c r="F15" s="22">
        <f t="shared" si="2"/>
        <v>28200176919.66</v>
      </c>
      <c r="G15" s="42">
        <f t="shared" si="3"/>
        <v>0.10330471242331356</v>
      </c>
      <c r="H15" s="60">
        <f t="shared" si="4"/>
        <v>244780370222.31</v>
      </c>
      <c r="I15" s="34">
        <v>2017</v>
      </c>
      <c r="J15" s="4">
        <v>28295273</v>
      </c>
      <c r="K15" s="44">
        <v>272980547141.97</v>
      </c>
      <c r="L15" s="44">
        <f t="shared" si="5"/>
        <v>9647.5671799303727</v>
      </c>
      <c r="N15" s="19">
        <v>2031</v>
      </c>
      <c r="O15" s="62">
        <f t="shared" si="8"/>
        <v>360226726953.48999</v>
      </c>
      <c r="P15" s="62">
        <f t="shared" si="6"/>
        <v>37984189666.449921</v>
      </c>
      <c r="Q15" s="62">
        <f t="shared" si="7"/>
        <v>322242537287.04004</v>
      </c>
      <c r="R15" s="40">
        <f>O15*('INPUT TABLE'!B$7/100)</f>
        <v>3602267269.5349002</v>
      </c>
      <c r="S15" s="40">
        <f>R15/(1+('INPUT TABLE'!B$2)/100)^(N15-'INPUT TABLE'!$B$1)</f>
        <v>2745449203.4629884</v>
      </c>
    </row>
    <row r="16" spans="1:34" x14ac:dyDescent="0.5">
      <c r="A16" s="21">
        <v>2018</v>
      </c>
      <c r="B16" s="20">
        <v>772705427.48199999</v>
      </c>
      <c r="C16" s="20">
        <v>82330530.211999997</v>
      </c>
      <c r="D16" s="60">
        <f t="shared" si="0"/>
        <v>690374897.26999998</v>
      </c>
      <c r="E16" s="22">
        <f t="shared" si="1"/>
        <v>282037481030.92999</v>
      </c>
      <c r="F16" s="22">
        <f t="shared" si="2"/>
        <v>30050643527.379997</v>
      </c>
      <c r="G16" s="42">
        <f t="shared" si="3"/>
        <v>0.10654840419626516</v>
      </c>
      <c r="H16" s="60">
        <f t="shared" si="4"/>
        <v>251986837503.54999</v>
      </c>
      <c r="I16" s="34">
        <v>2018</v>
      </c>
      <c r="J16" s="4">
        <v>28628666</v>
      </c>
      <c r="K16" s="44">
        <v>282037481030.92999</v>
      </c>
      <c r="L16" s="44">
        <f t="shared" si="5"/>
        <v>9851.576075215311</v>
      </c>
      <c r="N16" s="5">
        <v>2032</v>
      </c>
      <c r="O16" s="62">
        <f t="shared" si="8"/>
        <v>366226726953.48999</v>
      </c>
      <c r="P16" s="62">
        <f t="shared" si="6"/>
        <v>38616861039.632416</v>
      </c>
      <c r="Q16" s="62">
        <f t="shared" si="7"/>
        <v>327609865913.85754</v>
      </c>
      <c r="R16" s="40">
        <f>O16*('INPUT TABLE'!B$7/100)</f>
        <v>3662267269.5349002</v>
      </c>
      <c r="S16" s="40">
        <f>R16/(1+('INPUT TABLE'!B$2)/100)^(N16-'INPUT TABLE'!$B$1)</f>
        <v>2723100380.8714876</v>
      </c>
    </row>
    <row r="17" spans="1:19" x14ac:dyDescent="0.5">
      <c r="A17" s="19">
        <v>2019</v>
      </c>
      <c r="B17" s="20">
        <v>789662265.62600005</v>
      </c>
      <c r="C17" s="20">
        <v>83266118.324000001</v>
      </c>
      <c r="D17" s="60">
        <f t="shared" si="0"/>
        <v>706396147.30200005</v>
      </c>
      <c r="E17" s="22">
        <f t="shared" si="1"/>
        <v>288226726953.48999</v>
      </c>
      <c r="F17" s="22">
        <f t="shared" si="2"/>
        <v>30392133188.260002</v>
      </c>
      <c r="G17" s="42">
        <f t="shared" si="3"/>
        <v>0.10544522886374885</v>
      </c>
      <c r="H17" s="60">
        <f t="shared" si="4"/>
        <v>257834593765.22998</v>
      </c>
      <c r="I17" s="34">
        <v>2019</v>
      </c>
      <c r="J17" s="4">
        <v>28995881</v>
      </c>
      <c r="K17" s="44">
        <v>288226726953.48999</v>
      </c>
      <c r="L17" s="44">
        <f t="shared" si="5"/>
        <v>9940.2645138973348</v>
      </c>
      <c r="N17" s="19">
        <v>2033</v>
      </c>
      <c r="O17" s="62">
        <f t="shared" si="8"/>
        <v>372226726953.48999</v>
      </c>
      <c r="P17" s="62">
        <f t="shared" si="6"/>
        <v>39249532412.814903</v>
      </c>
      <c r="Q17" s="62">
        <f t="shared" si="7"/>
        <v>332977194540.67511</v>
      </c>
      <c r="R17" s="40">
        <f>O17*('INPUT TABLE'!B$7/100)</f>
        <v>3722267269.5349002</v>
      </c>
      <c r="S17" s="40">
        <f>R17/(1+('INPUT TABLE'!B$2)/100)^(N17-'INPUT TABLE'!$B$1)</f>
        <v>2700208520.9504452</v>
      </c>
    </row>
    <row r="18" spans="1:19" x14ac:dyDescent="0.5">
      <c r="B18" s="58"/>
      <c r="N18" s="5">
        <v>2034</v>
      </c>
      <c r="O18" s="62">
        <f t="shared" si="8"/>
        <v>378226726953.48999</v>
      </c>
      <c r="P18" s="62">
        <f t="shared" si="6"/>
        <v>39882203785.997398</v>
      </c>
      <c r="Q18" s="62">
        <f t="shared" si="7"/>
        <v>338344523167.49261</v>
      </c>
      <c r="R18" s="40">
        <f>O18*('INPUT TABLE'!B$7/100)</f>
        <v>3782267269.5349002</v>
      </c>
      <c r="S18" s="40">
        <f>R18/(1+('INPUT TABLE'!B$2)/100)^(N18-'INPUT TABLE'!$B$1)</f>
        <v>2676813408.2826176</v>
      </c>
    </row>
    <row r="19" spans="1:19" x14ac:dyDescent="0.5">
      <c r="C19" s="58"/>
      <c r="N19" s="19">
        <v>2035</v>
      </c>
      <c r="O19" s="62">
        <f t="shared" si="8"/>
        <v>384226726953.48999</v>
      </c>
      <c r="P19" s="62">
        <f t="shared" si="6"/>
        <v>40514875159.179893</v>
      </c>
      <c r="Q19" s="62">
        <f t="shared" si="7"/>
        <v>343711851794.31012</v>
      </c>
      <c r="R19" s="40">
        <f>O19*('INPUT TABLE'!B$7/100)</f>
        <v>3842267269.5349002</v>
      </c>
      <c r="S19" s="40">
        <f>R19/(1+('INPUT TABLE'!B$2)/100)^(N19-'INPUT TABLE'!$B$1)</f>
        <v>2652953209.7836242</v>
      </c>
    </row>
    <row r="20" spans="1:19" x14ac:dyDescent="0.5">
      <c r="N20" s="5">
        <v>2036</v>
      </c>
      <c r="O20" s="62">
        <f t="shared" si="8"/>
        <v>390226726953.48999</v>
      </c>
      <c r="P20" s="62">
        <f t="shared" si="6"/>
        <v>41147546532.362389</v>
      </c>
      <c r="Q20" s="62">
        <f t="shared" si="7"/>
        <v>349079180421.12762</v>
      </c>
      <c r="R20" s="40">
        <f>O20*('INPUT TABLE'!B$7/100)</f>
        <v>3902267269.5349002</v>
      </c>
      <c r="S20" s="40">
        <f>R20/(1+('INPUT TABLE'!B$2)/100)^(N20-'INPUT TABLE'!$B$1)</f>
        <v>2628664529.9453306</v>
      </c>
    </row>
    <row r="21" spans="1:19" x14ac:dyDescent="0.5">
      <c r="N21" s="19">
        <v>2037</v>
      </c>
      <c r="O21" s="62">
        <f t="shared" si="8"/>
        <v>396226726953.48999</v>
      </c>
      <c r="P21" s="62">
        <f t="shared" si="6"/>
        <v>41780217905.544876</v>
      </c>
      <c r="Q21" s="62">
        <f t="shared" si="7"/>
        <v>354446509047.94513</v>
      </c>
      <c r="R21" s="40">
        <f>O21*('INPUT TABLE'!B$7/100)</f>
        <v>3962267269.5349002</v>
      </c>
      <c r="S21" s="40">
        <f>R21/(1+('INPUT TABLE'!B$2)/100)^(N21-'INPUT TABLE'!$B$1)</f>
        <v>2603982464.3467488</v>
      </c>
    </row>
    <row r="22" spans="1:19" x14ac:dyDescent="0.5">
      <c r="N22" s="5">
        <v>2038</v>
      </c>
      <c r="O22" s="62">
        <f t="shared" si="8"/>
        <v>402226726953.48999</v>
      </c>
      <c r="P22" s="62">
        <f t="shared" si="6"/>
        <v>42412889278.727371</v>
      </c>
      <c r="Q22" s="62">
        <f t="shared" si="7"/>
        <v>359813837674.76263</v>
      </c>
      <c r="R22" s="40">
        <f>O22*('INPUT TABLE'!B$7/100)</f>
        <v>4022267269.5349002</v>
      </c>
      <c r="S22" s="40">
        <f>R22/(1+('INPUT TABLE'!B$2)/100)^(N22-'INPUT TABLE'!$B$1)</f>
        <v>2578940651.4841208</v>
      </c>
    </row>
    <row r="23" spans="1:19" x14ac:dyDescent="0.5">
      <c r="N23" s="19">
        <v>2039</v>
      </c>
      <c r="O23" s="62">
        <f t="shared" si="8"/>
        <v>408226726953.48999</v>
      </c>
      <c r="P23" s="62">
        <f t="shared" si="6"/>
        <v>43045560651.909866</v>
      </c>
      <c r="Q23" s="62">
        <f t="shared" si="7"/>
        <v>365181166301.58014</v>
      </c>
      <c r="R23" s="40">
        <f>O23*('INPUT TABLE'!B$7/100)</f>
        <v>4082267269.5349002</v>
      </c>
      <c r="S23" s="40">
        <f>R23/(1+('INPUT TABLE'!B$2)/100)^(N23-'INPUT TABLE'!$B$1)</f>
        <v>2553571322.9703264</v>
      </c>
    </row>
    <row r="24" spans="1:19" x14ac:dyDescent="0.5">
      <c r="N24" s="5">
        <v>2040</v>
      </c>
      <c r="O24" s="62">
        <f t="shared" si="8"/>
        <v>414226726953.48999</v>
      </c>
      <c r="P24" s="62">
        <f t="shared" si="6"/>
        <v>43678232025.092354</v>
      </c>
      <c r="Q24" s="62">
        <f t="shared" si="7"/>
        <v>370548494928.39764</v>
      </c>
      <c r="R24" s="40">
        <f>O24*('INPUT TABLE'!B$7/100)</f>
        <v>4142267269.5349002</v>
      </c>
      <c r="S24" s="40">
        <f>R24/(1+('INPUT TABLE'!B$2)/100)^(N24-'INPUT TABLE'!$B$1)</f>
        <v>2527905352.1523361</v>
      </c>
    </row>
    <row r="25" spans="1:19" x14ac:dyDescent="0.5">
      <c r="N25" s="19">
        <v>2041</v>
      </c>
      <c r="O25" s="62">
        <f t="shared" si="8"/>
        <v>420226726953.48999</v>
      </c>
      <c r="P25" s="62">
        <f t="shared" si="6"/>
        <v>44310903398.274849</v>
      </c>
      <c r="Q25" s="62">
        <f t="shared" si="7"/>
        <v>375915823555.21515</v>
      </c>
      <c r="R25" s="40">
        <f>O25*('INPUT TABLE'!B$7/100)</f>
        <v>4202267269.5349002</v>
      </c>
      <c r="S25" s="40">
        <f>R25/(1+('INPUT TABLE'!B$2)/100)^(N25-'INPUT TABLE'!$B$1)</f>
        <v>2501972301.194016</v>
      </c>
    </row>
    <row r="26" spans="1:19" x14ac:dyDescent="0.5">
      <c r="N26" s="5">
        <v>2042</v>
      </c>
      <c r="O26" s="62">
        <f t="shared" si="8"/>
        <v>426226726953.48999</v>
      </c>
      <c r="P26" s="62">
        <f t="shared" si="6"/>
        <v>44943574771.457344</v>
      </c>
      <c r="Q26" s="62">
        <f t="shared" si="7"/>
        <v>381283152182.03265</v>
      </c>
      <c r="R26" s="40">
        <f>O26*('INPUT TABLE'!B$7/100)</f>
        <v>4262267269.5349002</v>
      </c>
      <c r="S26" s="40">
        <f>R26/(1+('INPUT TABLE'!B$2)/100)^(N26-'INPUT TABLE'!$B$1)</f>
        <v>2475800466.6702166</v>
      </c>
    </row>
    <row r="27" spans="1:19" x14ac:dyDescent="0.5">
      <c r="N27" s="19">
        <v>2043</v>
      </c>
      <c r="O27" s="62">
        <f t="shared" si="8"/>
        <v>432226726953.48999</v>
      </c>
      <c r="P27" s="62">
        <f t="shared" si="6"/>
        <v>45576246144.639839</v>
      </c>
      <c r="Q27" s="62">
        <f t="shared" si="7"/>
        <v>386650480808.85016</v>
      </c>
      <c r="R27" s="40">
        <f>O27*('INPUT TABLE'!B$7/100)</f>
        <v>4322267269.5348997</v>
      </c>
      <c r="S27" s="40">
        <f>R27/(1+('INPUT TABLE'!B$2)/100)^(N27-'INPUT TABLE'!$B$1)</f>
        <v>2449416923.7167664</v>
      </c>
    </row>
    <row r="28" spans="1:19" x14ac:dyDescent="0.5">
      <c r="N28" s="5">
        <v>2044</v>
      </c>
      <c r="O28" s="62">
        <f t="shared" si="8"/>
        <v>438226726953.48999</v>
      </c>
      <c r="P28" s="62">
        <f t="shared" si="6"/>
        <v>46208917517.822327</v>
      </c>
      <c r="Q28" s="62">
        <f t="shared" si="7"/>
        <v>392017809435.66766</v>
      </c>
      <c r="R28" s="40">
        <f>O28*('INPUT TABLE'!B$7/100)</f>
        <v>4382267269.5348997</v>
      </c>
      <c r="S28" s="40">
        <f>R28/(1+('INPUT TABLE'!B$2)/100)^(N28-'INPUT TABLE'!$B$1)</f>
        <v>2422847568.7796836</v>
      </c>
    </row>
    <row r="29" spans="1:19" x14ac:dyDescent="0.5">
      <c r="N29" s="19">
        <v>2045</v>
      </c>
      <c r="O29" s="62">
        <f t="shared" si="8"/>
        <v>444226726953.48999</v>
      </c>
      <c r="P29" s="62">
        <f t="shared" si="6"/>
        <v>46841588891.004822</v>
      </c>
      <c r="Q29" s="62">
        <f t="shared" si="7"/>
        <v>397385138062.48517</v>
      </c>
      <c r="R29" s="40">
        <f>O29*('INPUT TABLE'!B$7/100)</f>
        <v>4442267269.5348997</v>
      </c>
      <c r="S29" s="40">
        <f>R29/(1+('INPUT TABLE'!B$2)/100)^(N29-'INPUT TABLE'!$B$1)</f>
        <v>2396117161.0056725</v>
      </c>
    </row>
    <row r="30" spans="1:19" x14ac:dyDescent="0.5">
      <c r="N30" s="5">
        <v>2046</v>
      </c>
      <c r="O30" s="62">
        <f t="shared" si="8"/>
        <v>450226726953.48999</v>
      </c>
      <c r="P30" s="62">
        <f t="shared" si="6"/>
        <v>47474260264.187317</v>
      </c>
      <c r="Q30" s="62">
        <f t="shared" si="7"/>
        <v>402752466689.30267</v>
      </c>
      <c r="R30" s="40">
        <f>O30*('INPUT TABLE'!B$7/100)</f>
        <v>4502267269.5348997</v>
      </c>
      <c r="S30" s="40">
        <f>R30/(1+('INPUT TABLE'!B$2)/100)^(N30-'INPUT TABLE'!$B$1)</f>
        <v>2369249362.3147607</v>
      </c>
    </row>
    <row r="31" spans="1:19" x14ac:dyDescent="0.5">
      <c r="N31" s="19">
        <v>2047</v>
      </c>
      <c r="O31" s="62">
        <f t="shared" si="8"/>
        <v>456226726953.48999</v>
      </c>
      <c r="P31" s="62">
        <f t="shared" si="6"/>
        <v>48106931637.369812</v>
      </c>
      <c r="Q31" s="62">
        <f t="shared" si="7"/>
        <v>408119795316.12018</v>
      </c>
      <c r="R31" s="40">
        <f>O31*('INPUT TABLE'!B$7/100)</f>
        <v>4562267269.5348997</v>
      </c>
      <c r="S31" s="40">
        <f>R31/(1+('INPUT TABLE'!B$2)/100)^(N31-'INPUT TABLE'!$B$1)</f>
        <v>2342266776.1947284</v>
      </c>
    </row>
    <row r="32" spans="1:19" x14ac:dyDescent="0.5">
      <c r="N32" s="5">
        <v>2048</v>
      </c>
      <c r="O32" s="62">
        <f t="shared" si="8"/>
        <v>462226726953.48999</v>
      </c>
      <c r="P32" s="62">
        <f t="shared" si="6"/>
        <v>48739603010.552299</v>
      </c>
      <c r="Q32" s="62">
        <f t="shared" si="7"/>
        <v>413487123942.93768</v>
      </c>
      <c r="R32" s="40">
        <f>O32*('INPUT TABLE'!B$7/100)</f>
        <v>4622267269.5348997</v>
      </c>
      <c r="S32" s="40">
        <f>R32/(1+('INPUT TABLE'!B$2)/100)^(N32-'INPUT TABLE'!$B$1)</f>
        <v>2315190985.2558551</v>
      </c>
    </row>
    <row r="33" spans="14:35" x14ac:dyDescent="0.5">
      <c r="N33" s="19">
        <v>2049</v>
      </c>
      <c r="O33" s="62">
        <f t="shared" si="8"/>
        <v>468226726953.48999</v>
      </c>
      <c r="P33" s="62">
        <f t="shared" si="6"/>
        <v>49372274383.734795</v>
      </c>
      <c r="Q33" s="62">
        <f t="shared" si="7"/>
        <v>418854452569.75519</v>
      </c>
      <c r="R33" s="40">
        <f>O33*('INPUT TABLE'!B$7/100)</f>
        <v>4682267269.5348997</v>
      </c>
      <c r="S33" s="40">
        <f>R33/(1+('INPUT TABLE'!B$2)/100)^(N33-'INPUT TABLE'!$B$1)</f>
        <v>2288042587.5833659</v>
      </c>
    </row>
    <row r="34" spans="14:35" x14ac:dyDescent="0.5">
      <c r="N34" s="5">
        <v>2050</v>
      </c>
      <c r="O34" s="62">
        <f t="shared" si="8"/>
        <v>474226726953.48999</v>
      </c>
      <c r="P34" s="62">
        <f t="shared" si="6"/>
        <v>50004945756.91729</v>
      </c>
      <c r="Q34" s="62">
        <f t="shared" si="7"/>
        <v>424221781196.57269</v>
      </c>
      <c r="R34" s="40">
        <f>O34*('INPUT TABLE'!B$7/100)</f>
        <v>4742267269.5348997</v>
      </c>
      <c r="S34" s="40">
        <f>R34/(1+('INPUT TABLE'!B$2)/100)^(N34-'INPUT TABLE'!$B$1)</f>
        <v>2260841231.9238987</v>
      </c>
    </row>
    <row r="38" spans="14:35" x14ac:dyDescent="0.5">
      <c r="AH38" s="93"/>
      <c r="AI38" s="69"/>
    </row>
    <row r="39" spans="14:35" x14ac:dyDescent="0.5">
      <c r="AH39" s="92"/>
    </row>
    <row r="40" spans="14:35" x14ac:dyDescent="0.5">
      <c r="AH40" s="92"/>
    </row>
    <row r="41" spans="14:35" x14ac:dyDescent="0.5">
      <c r="AH41" s="92"/>
    </row>
    <row r="42" spans="14:35" x14ac:dyDescent="0.5">
      <c r="AH42" s="92"/>
    </row>
    <row r="43" spans="14:35" x14ac:dyDescent="0.5">
      <c r="AH43" s="92"/>
    </row>
    <row r="44" spans="14:35" x14ac:dyDescent="0.5">
      <c r="AH44" s="92"/>
    </row>
    <row r="45" spans="14:35" x14ac:dyDescent="0.5">
      <c r="AH45" s="92"/>
    </row>
    <row r="46" spans="14:35" x14ac:dyDescent="0.5">
      <c r="AH46" s="92"/>
    </row>
    <row r="47" spans="14:35" x14ac:dyDescent="0.5">
      <c r="AH47" s="92"/>
    </row>
    <row r="48" spans="14:35" x14ac:dyDescent="0.5">
      <c r="AH48" s="92"/>
    </row>
    <row r="49" spans="34:34" x14ac:dyDescent="0.5">
      <c r="AH49" s="92"/>
    </row>
    <row r="50" spans="34:34" x14ac:dyDescent="0.5">
      <c r="AH50" s="92"/>
    </row>
    <row r="51" spans="34:34" x14ac:dyDescent="0.5">
      <c r="AH51" s="92"/>
    </row>
    <row r="52" spans="34:34" x14ac:dyDescent="0.5">
      <c r="AH52" s="92"/>
    </row>
    <row r="53" spans="34:34" x14ac:dyDescent="0.5">
      <c r="AH53" s="92"/>
    </row>
    <row r="54" spans="34:34" x14ac:dyDescent="0.5">
      <c r="AH54" s="92"/>
    </row>
    <row r="55" spans="34:34" x14ac:dyDescent="0.5">
      <c r="AH55" s="92"/>
    </row>
    <row r="56" spans="34:34" x14ac:dyDescent="0.5">
      <c r="AH56" s="92"/>
    </row>
    <row r="57" spans="34:34" x14ac:dyDescent="0.5">
      <c r="AH57" s="92"/>
    </row>
    <row r="58" spans="34:34" x14ac:dyDescent="0.5">
      <c r="AH58" s="92"/>
    </row>
    <row r="59" spans="34:34" x14ac:dyDescent="0.5">
      <c r="AH59" s="92"/>
    </row>
    <row r="60" spans="34:34" x14ac:dyDescent="0.5">
      <c r="AH60" s="92"/>
    </row>
    <row r="61" spans="34:34" x14ac:dyDescent="0.5">
      <c r="AH61" s="92"/>
    </row>
    <row r="62" spans="34:34" x14ac:dyDescent="0.5">
      <c r="AH62" s="92"/>
    </row>
    <row r="63" spans="34:34" x14ac:dyDescent="0.5">
      <c r="AH63" s="92"/>
    </row>
    <row r="64" spans="34:34" x14ac:dyDescent="0.5">
      <c r="AH64" s="92"/>
    </row>
    <row r="65" spans="34:34" x14ac:dyDescent="0.5">
      <c r="AH65" s="92"/>
    </row>
    <row r="66" spans="34:34" x14ac:dyDescent="0.5">
      <c r="AH66" s="92"/>
    </row>
    <row r="67" spans="34:34" x14ac:dyDescent="0.5">
      <c r="AH67" s="92"/>
    </row>
    <row r="68" spans="34:34" x14ac:dyDescent="0.5">
      <c r="AH68" s="92"/>
    </row>
    <row r="69" spans="34:34" x14ac:dyDescent="0.5">
      <c r="AH69" s="92"/>
    </row>
    <row r="70" spans="34:34" x14ac:dyDescent="0.5">
      <c r="AH70" s="92"/>
    </row>
  </sheetData>
  <sortState ref="S24:T38">
    <sortCondition ref="S24"/>
  </sortState>
  <mergeCells count="1">
    <mergeCell ref="I1:J1"/>
  </mergeCells>
  <hyperlinks>
    <hyperlink ref="V1" r:id="rId1" xr:uid="{88B4E2EE-D3BB-44D9-84CA-FB304C45652A}"/>
    <hyperlink ref="V2" r:id="rId2" xr:uid="{E99CBCEF-7CE6-4165-844A-B7F97B9477EB}"/>
    <hyperlink ref="V3" r:id="rId3" xr:uid="{7EF88BB0-C129-472E-A55A-773945F11D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INPUT TABLE</vt:lpstr>
      <vt:lpstr>Population</vt:lpstr>
      <vt:lpstr>Employment</vt:lpstr>
      <vt:lpstr>Drivers</vt:lpstr>
      <vt:lpstr>Revenues - Graph</vt:lpstr>
      <vt:lpstr>Revenues - Table</vt:lpstr>
      <vt:lpstr>Non-Revenue - Pop. Graph</vt:lpstr>
      <vt:lpstr>Non-Revenue - Veh. Graph</vt:lpstr>
      <vt:lpstr>Non-Revenue - Sales Graph</vt:lpstr>
      <vt:lpstr>Non-Revenues - Table</vt:lpstr>
      <vt:lpstr>EV</vt:lpstr>
      <vt:lpstr>Registered Vehicles</vt:lpstr>
      <vt:lpstr>Hybrid Vehicle Projection</vt:lpstr>
      <vt:lpstr>Gas Tax</vt:lpstr>
      <vt:lpstr>GasTax Calcs</vt:lpstr>
      <vt:lpstr>Carbon Tax</vt:lpstr>
      <vt:lpstr>Emissions</vt:lpstr>
      <vt:lpstr>Vehicle Miles Trav.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haddad</dc:creator>
  <cp:keywords/>
  <dc:description/>
  <cp:lastModifiedBy>Perrine, Kenneth A</cp:lastModifiedBy>
  <cp:revision/>
  <dcterms:created xsi:type="dcterms:W3CDTF">2021-03-04T16:35:52Z</dcterms:created>
  <dcterms:modified xsi:type="dcterms:W3CDTF">2021-08-18T20:45:14Z</dcterms:modified>
  <cp:category/>
  <cp:contentStatus/>
</cp:coreProperties>
</file>