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13_ncr:1_{A80AFA4F-CD5B-42C5-A952-45CB7597BBD9}" xr6:coauthVersionLast="47" xr6:coauthVersionMax="47" xr10:uidLastSave="{00000000-0000-0000-0000-000000000000}"/>
  <bookViews>
    <workbookView xWindow="0" yWindow="0" windowWidth="14400" windowHeight="15600" activeTab="2" xr2:uid="{54449181-DBEC-415B-9D38-DA42EECC2BCF}"/>
  </bookViews>
  <sheets>
    <sheet name="Intro" sheetId="7" r:id="rId1"/>
    <sheet name="Boost Calculations" sheetId="1" r:id="rId2"/>
    <sheet name="Small Signal" sheetId="4" r:id="rId3"/>
    <sheet name="EVM Matching" sheetId="9" state="hidden" r:id="rId4"/>
    <sheet name="Std. R and C Values" sheetId="6" state="hidden" r:id="rId5"/>
    <sheet name="partdata" sheetId="8" state="hidden" r:id="rId6"/>
  </sheets>
  <definedNames>
    <definedName name="Acs">'Small Signal'!$C$56</definedName>
    <definedName name="aol">'Small Signal'!$C$58</definedName>
    <definedName name="C_f1">'Std. R and C Values'!$K$18</definedName>
    <definedName name="C_f2">'Std. R and C Values'!$K$25</definedName>
    <definedName name="c_s1">'Std. R and C Values'!$J$7</definedName>
    <definedName name="C_s2">'Std. R and C Values'!$J$20</definedName>
    <definedName name="Cbulkss">'Small Signal'!$F$17</definedName>
    <definedName name="Ccerss">'Small Signal'!$C$54</definedName>
    <definedName name="Ccomp">'Boost Calculations'!$D$174</definedName>
    <definedName name="Ccompss">'Small Signal'!$F$11</definedName>
    <definedName name="Cffss">'Small Signal'!$C$50</definedName>
    <definedName name="Chf">'Boost Calculations'!$D$177</definedName>
    <definedName name="Chfss">'Small Signal'!$F$12</definedName>
    <definedName name="Cin_chosen">'Boost Calculations'!$D$129</definedName>
    <definedName name="Co">'Boost Calculations'!$D$83</definedName>
    <definedName name="Co_esr">'Boost Calculations'!$D$84</definedName>
    <definedName name="Cochosen">'Boost Calculations'!$D$83</definedName>
    <definedName name="Coss">'Boost Calculations'!$D$94</definedName>
    <definedName name="CVcc">'Boost Calculations'!$D$117</definedName>
    <definedName name="DCR">'Boost Calculations'!$D$59</definedName>
    <definedName name="DCRss">'Small Signal'!$F$15</definedName>
    <definedName name="devfreqmax">'Boost Calculations'!$F$186</definedName>
    <definedName name="devfreqmin">'Boost Calculations'!$D$186</definedName>
    <definedName name="dItran">'Boost Calculations'!$D$15</definedName>
    <definedName name="Dmax">'Boost Calculations'!$D$45</definedName>
    <definedName name="Dmin">'Boost Calculations'!$D$46</definedName>
    <definedName name="Dnom">'Boost Calculations'!$D$44</definedName>
    <definedName name="Dss">'Small Signal'!$F$27</definedName>
    <definedName name="dVtran">'Boost Calculations'!$D$16</definedName>
    <definedName name="E12_f">'Std. R and C Values'!$F$22</definedName>
    <definedName name="E12_s">'Std. R and C Values'!$E$11</definedName>
    <definedName name="E24_f">'Std. R and C Values'!$F$47</definedName>
    <definedName name="E24_s">'Std. R and C Values'!$E$24</definedName>
    <definedName name="E48_f">'Std. R and C Values'!$F$96</definedName>
    <definedName name="E48_s">'Std. R and C Values'!$E$49</definedName>
    <definedName name="E6_f">'Std. R and C Values'!$F$9</definedName>
    <definedName name="E6_s">'Std. R and C Values'!$E$4</definedName>
    <definedName name="E96_f">'Std. R and C Values'!$H$99</definedName>
    <definedName name="E96_s">'Std. R and C Values'!$G$4</definedName>
    <definedName name="ESRss">'Small Signal'!$F$18</definedName>
    <definedName name="Fco_target">'Boost Calculations'!$D$167</definedName>
    <definedName name="Fm">'Small Signal'!$F$30</definedName>
    <definedName name="frhpz">'Boost Calculations'!$D$161</definedName>
    <definedName name="fsw">'Boost Calculations'!$D$14*1000</definedName>
    <definedName name="fswss">'Small Signal'!$F$13</definedName>
    <definedName name="gbw">'Small Signal'!$F$36</definedName>
    <definedName name="gea">'Boost Calculations'!$E$187</definedName>
    <definedName name="gea_typ">'Boost Calculations'!$E$187</definedName>
    <definedName name="Icrit">'Boost Calculations'!$F$61</definedName>
    <definedName name="Idrive_hs">'Boost Calculations'!$D$105</definedName>
    <definedName name="Idrive_ls">'Boost Calculations'!$D$90</definedName>
    <definedName name="Ien_hys">'Boost Calculations'!$E$204</definedName>
    <definedName name="Ien_pup">'Boost Calculations'!$E$203</definedName>
    <definedName name="Iin_max">'Boost Calculations'!$D$52</definedName>
    <definedName name="Ilpeak">'Boost Calculations'!$D$64</definedName>
    <definedName name="Ilrms">'Boost Calculations'!$D$63</definedName>
    <definedName name="Iout">'Boost Calculations'!$D$13</definedName>
    <definedName name="Ioutss">'Small Signal'!$F$7</definedName>
    <definedName name="Iq">'Boost Calculations'!$E$205</definedName>
    <definedName name="Iripple">'Boost Calculations'!$D$60</definedName>
    <definedName name="Irms_cin">'Boost Calculations'!$D$130</definedName>
    <definedName name="Irms_cout">'Boost Calculations'!$D$85</definedName>
    <definedName name="Isat">'Boost Calculations'!$E$64</definedName>
    <definedName name="Iss">'Boost Calculations'!$E$206</definedName>
    <definedName name="k_3">'Small Signal'!$C$49</definedName>
    <definedName name="Kind">'Boost Calculations'!$D$53</definedName>
    <definedName name="L">'Boost Calculations'!$D$58</definedName>
    <definedName name="Lss">'Small Signal'!$F$14</definedName>
    <definedName name="M">'Small Signal'!$F$28</definedName>
    <definedName name="mc">'Small Signal'!$F$35</definedName>
    <definedName name="Pind">'Boost Calculations'!$D$65</definedName>
    <definedName name="Pls_sw">'Boost Calculations'!$D$97</definedName>
    <definedName name="_xlnm.Print_Area" localSheetId="4">'Std. R and C Values'!$A$2:$I$46</definedName>
    <definedName name="PSgain_fco">'Boost Calculations'!$D$169</definedName>
    <definedName name="Psw_cond">'Boost Calculations'!$D$92</definedName>
    <definedName name="q0">'Small Signal'!$F$33</definedName>
    <definedName name="Qg_hs">'Boost Calculations'!$D$104</definedName>
    <definedName name="Qg_ls">'Boost Calculations'!$D$89</definedName>
    <definedName name="Qgd">'Boost Calculations'!$D$95</definedName>
    <definedName name="Rcerss">'Small Signal'!$C$55</definedName>
    <definedName name="Rcomp">'Boost Calculations'!$D$172</definedName>
    <definedName name="Rcompss">'Small Signal'!$F$10</definedName>
    <definedName name="Rdson_hs">'Boost Calculations'!$D$108</definedName>
    <definedName name="Rdson_ls">'Boost Calculations'!$D$91</definedName>
    <definedName name="Rdsonss">'Small Signal'!$C$16</definedName>
    <definedName name="Rea">'Boost Calculations'!$E$188</definedName>
    <definedName name="Rffss">'Small Signal'!$C$51</definedName>
    <definedName name="Rfreq">'Boost Calculations'!$D$49</definedName>
    <definedName name="Rg_hs">'Boost Calculations'!$D$110</definedName>
    <definedName name="Rg_ls">'Boost Calculations'!$D$96</definedName>
    <definedName name="Rgd_hs">'Boost Calculations'!$D$122</definedName>
    <definedName name="Rgd_ls">'Boost Calculations'!$D$121</definedName>
    <definedName name="Rhdrv_pd">'Boost Calculations'!$E$200</definedName>
    <definedName name="Rhdrv_pu">'Boost Calculations'!$E$199</definedName>
    <definedName name="Risense">'Small Signal'!$F$19</definedName>
    <definedName name="Rldrv_pd">'Boost Calculations'!$E$198</definedName>
    <definedName name="Rldrv_pu">'Boost Calculations'!$E$197</definedName>
    <definedName name="Ro">'Boost Calculations'!$D$158</definedName>
    <definedName name="Ross">'Small Signal'!$F$29</definedName>
    <definedName name="Rsense">'Boost Calculations'!$D$71</definedName>
    <definedName name="Rsh">'Boost Calculations'!$D$137</definedName>
    <definedName name="Rshss">'Small Signal'!$F$8</definedName>
    <definedName name="Rsl">'Boost Calculations'!$D$135</definedName>
    <definedName name="Rslss">'Small Signal'!$F$9</definedName>
    <definedName name="Ruvloh">'Boost Calculations'!$D$146</definedName>
    <definedName name="Ruvlol">'Boost Calculations'!$D$148</definedName>
    <definedName name="sess">'Small Signal'!$F$32</definedName>
    <definedName name="snss">'Small Signal'!$F$31</definedName>
    <definedName name="tnonoverlap">'Boost Calculations'!$E$196</definedName>
    <definedName name="toffmin">'Boost Calculations'!$E$191</definedName>
    <definedName name="tonmin">'Boost Calculations'!$E$190</definedName>
    <definedName name="tss">'Boost Calculations'!$D$140</definedName>
    <definedName name="Vcc_typ">'Boost Calculations'!$E$194</definedName>
    <definedName name="Vcs">'Boost Calculations'!$D$69</definedName>
    <definedName name="Vcs0duty_max">'Boost Calculations'!$F$192</definedName>
    <definedName name="Vcs0duty_min">'Boost Calculations'!$D$192</definedName>
    <definedName name="vdevmax">'Boost Calculations'!$F$184</definedName>
    <definedName name="Ven_dis">'Boost Calculations'!$E$202</definedName>
    <definedName name="Ven_on">'Boost Calculations'!$E$201</definedName>
    <definedName name="vf_body">'Boost Calculations'!$D$111</definedName>
    <definedName name="Vfboot">'Boost Calculations'!$D$119</definedName>
    <definedName name="Vfboot_int">'Boost Calculations'!$E$195</definedName>
    <definedName name="Vin_Max">'Boost Calculations'!$D$9</definedName>
    <definedName name="Vin_Min">'Boost Calculations'!$D$8</definedName>
    <definedName name="Vin_Nom">'Boost Calculations'!$D$7</definedName>
    <definedName name="Vinss">'Small Signal'!$F$3</definedName>
    <definedName name="Viripple">'Boost Calculations'!$D$10</definedName>
    <definedName name="Vout">'Boost Calculations'!$D$11</definedName>
    <definedName name="Vout_ripple">'Boost Calculations'!$D$12</definedName>
    <definedName name="Voutss">'Small Signal'!$F$6</definedName>
    <definedName name="Vref">'Boost Calculations'!$E$189</definedName>
    <definedName name="Vsl">'Small Signal'!$C$57</definedName>
    <definedName name="Vstart">'Boost Calculations'!$D$17</definedName>
    <definedName name="Vstop">'Boost Calculations'!$D$18</definedName>
    <definedName name="Vth">'Boost Calculations'!$D$93</definedName>
    <definedName name="wn">'Small Signal'!$F$34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0" i="1"/>
  <c r="D108" i="1"/>
  <c r="D104" i="1"/>
  <c r="F13" i="4"/>
  <c r="F6" i="4"/>
  <c r="D10" i="1"/>
  <c r="D39" i="1"/>
  <c r="E27" i="1"/>
  <c r="E28" i="1"/>
  <c r="D31" i="1"/>
  <c r="D30" i="1"/>
  <c r="D26" i="1"/>
  <c r="D25" i="1"/>
  <c r="D106" i="1"/>
  <c r="E106" i="1" s="1"/>
  <c r="D166" i="1"/>
  <c r="C7" i="4"/>
  <c r="F7" i="4" s="1"/>
  <c r="F29" i="4" s="1"/>
  <c r="D3" i="6"/>
  <c r="K4" i="6"/>
  <c r="C5" i="6"/>
  <c r="C6" i="6"/>
  <c r="C7" i="6"/>
  <c r="L7" i="6"/>
  <c r="C8" i="6"/>
  <c r="L20" i="6"/>
  <c r="C3" i="4"/>
  <c r="F3" i="4" s="1"/>
  <c r="C4" i="4"/>
  <c r="J4" i="4"/>
  <c r="K4" i="4"/>
  <c r="L4" i="4"/>
  <c r="C5" i="4"/>
  <c r="J5" i="4"/>
  <c r="K5" i="4"/>
  <c r="L5" i="4"/>
  <c r="C6" i="4"/>
  <c r="J6" i="4"/>
  <c r="K6" i="4"/>
  <c r="J7" i="4"/>
  <c r="K7" i="4"/>
  <c r="J8" i="4"/>
  <c r="K8" i="4"/>
  <c r="C9" i="4"/>
  <c r="F9" i="4"/>
  <c r="J9" i="4"/>
  <c r="K9" i="4"/>
  <c r="J10" i="4"/>
  <c r="K10" i="4"/>
  <c r="J11" i="4"/>
  <c r="K11" i="4"/>
  <c r="Q11" i="4"/>
  <c r="J12" i="4"/>
  <c r="K12" i="4"/>
  <c r="C13" i="4"/>
  <c r="J13" i="4"/>
  <c r="K13" i="4"/>
  <c r="L13" i="4"/>
  <c r="J14" i="4"/>
  <c r="K14" i="4"/>
  <c r="C15" i="4"/>
  <c r="F15" i="4"/>
  <c r="J15" i="4"/>
  <c r="K15" i="4"/>
  <c r="L15" i="4"/>
  <c r="C16" i="4"/>
  <c r="F16" i="4"/>
  <c r="J16" i="4"/>
  <c r="K16" i="4"/>
  <c r="Q16" i="4"/>
  <c r="J17" i="4"/>
  <c r="K17" i="4"/>
  <c r="J18" i="4"/>
  <c r="K18" i="4"/>
  <c r="J19" i="4"/>
  <c r="K19" i="4"/>
  <c r="J20" i="4"/>
  <c r="K20" i="4"/>
  <c r="Q20" i="4"/>
  <c r="J21" i="4"/>
  <c r="K21" i="4"/>
  <c r="J22" i="4"/>
  <c r="K22" i="4"/>
  <c r="J23" i="4"/>
  <c r="K23" i="4"/>
  <c r="J24" i="4"/>
  <c r="K24" i="4"/>
  <c r="L24" i="4"/>
  <c r="J25" i="4"/>
  <c r="K25" i="4"/>
  <c r="J26" i="4"/>
  <c r="K26" i="4"/>
  <c r="J27" i="4"/>
  <c r="K27" i="4"/>
  <c r="J28" i="4"/>
  <c r="K28" i="4"/>
  <c r="J29" i="4"/>
  <c r="K29" i="4"/>
  <c r="L29" i="4"/>
  <c r="J30" i="4"/>
  <c r="K30" i="4"/>
  <c r="J31" i="4"/>
  <c r="K31" i="4"/>
  <c r="L31" i="4"/>
  <c r="J32" i="4"/>
  <c r="K32" i="4"/>
  <c r="J33" i="4"/>
  <c r="K33" i="4"/>
  <c r="J34" i="4"/>
  <c r="K34" i="4"/>
  <c r="J35" i="4"/>
  <c r="K35" i="4"/>
  <c r="J36" i="4"/>
  <c r="K36" i="4"/>
  <c r="Q36" i="4"/>
  <c r="J37" i="4"/>
  <c r="K37" i="4"/>
  <c r="Q37" i="4"/>
  <c r="J38" i="4"/>
  <c r="K38" i="4"/>
  <c r="J39" i="4"/>
  <c r="K39" i="4"/>
  <c r="J40" i="4"/>
  <c r="K40" i="4"/>
  <c r="Q40" i="4"/>
  <c r="J41" i="4"/>
  <c r="K41" i="4"/>
  <c r="L41" i="4"/>
  <c r="J42" i="4"/>
  <c r="K42" i="4"/>
  <c r="L42" i="4"/>
  <c r="J43" i="4"/>
  <c r="K43" i="4"/>
  <c r="J44" i="4"/>
  <c r="K44" i="4"/>
  <c r="L44" i="4"/>
  <c r="J45" i="4"/>
  <c r="K45" i="4"/>
  <c r="L45" i="4"/>
  <c r="J46" i="4"/>
  <c r="K46" i="4"/>
  <c r="J47" i="4"/>
  <c r="K47" i="4"/>
  <c r="J48" i="4"/>
  <c r="K48" i="4"/>
  <c r="Q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L57" i="4"/>
  <c r="C58" i="4"/>
  <c r="J58" i="4"/>
  <c r="K58" i="4"/>
  <c r="L58" i="4"/>
  <c r="J59" i="4"/>
  <c r="K59" i="4"/>
  <c r="J60" i="4"/>
  <c r="K60" i="4"/>
  <c r="L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L69" i="4"/>
  <c r="J70" i="4"/>
  <c r="K70" i="4"/>
  <c r="J71" i="4"/>
  <c r="K71" i="4"/>
  <c r="J72" i="4"/>
  <c r="K72" i="4"/>
  <c r="J73" i="4"/>
  <c r="K73" i="4"/>
  <c r="J74" i="4"/>
  <c r="K74" i="4"/>
  <c r="J75" i="4"/>
  <c r="K75" i="4"/>
  <c r="L75" i="4"/>
  <c r="J76" i="4"/>
  <c r="K76" i="4"/>
  <c r="J77" i="4"/>
  <c r="K77" i="4"/>
  <c r="J78" i="4"/>
  <c r="K78" i="4"/>
  <c r="Q78" i="4"/>
  <c r="J79" i="4"/>
  <c r="K79" i="4"/>
  <c r="J80" i="4"/>
  <c r="K80" i="4"/>
  <c r="J81" i="4"/>
  <c r="K81" i="4"/>
  <c r="L81" i="4"/>
  <c r="J82" i="4"/>
  <c r="K82" i="4"/>
  <c r="L82" i="4"/>
  <c r="J83" i="4"/>
  <c r="K83" i="4"/>
  <c r="J84" i="4"/>
  <c r="K84" i="4"/>
  <c r="J85" i="4"/>
  <c r="K85" i="4"/>
  <c r="J86" i="4"/>
  <c r="K86" i="4"/>
  <c r="J87" i="4"/>
  <c r="K87" i="4"/>
  <c r="J88" i="4"/>
  <c r="K88" i="4"/>
  <c r="Q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Q93" i="4"/>
  <c r="J94" i="4"/>
  <c r="K94" i="4"/>
  <c r="Q94" i="4"/>
  <c r="J95" i="4"/>
  <c r="K95" i="4"/>
  <c r="J96" i="4"/>
  <c r="K96" i="4"/>
  <c r="J97" i="4"/>
  <c r="K97" i="4"/>
  <c r="J98" i="4"/>
  <c r="K98" i="4"/>
  <c r="Q98" i="4"/>
  <c r="J99" i="4"/>
  <c r="K99" i="4"/>
  <c r="J100" i="4"/>
  <c r="K100" i="4"/>
  <c r="Q100" i="4"/>
  <c r="J101" i="4"/>
  <c r="K101" i="4"/>
  <c r="J102" i="4"/>
  <c r="K102" i="4"/>
  <c r="J103" i="4"/>
  <c r="K103" i="4"/>
  <c r="Q103" i="4"/>
  <c r="J104" i="4"/>
  <c r="K104" i="4"/>
  <c r="J105" i="4"/>
  <c r="K105" i="4"/>
  <c r="J106" i="4"/>
  <c r="K106" i="4"/>
  <c r="Q106" i="4"/>
  <c r="J107" i="4"/>
  <c r="K107" i="4"/>
  <c r="L107" i="4"/>
  <c r="J108" i="4"/>
  <c r="K108" i="4"/>
  <c r="J109" i="4"/>
  <c r="K109" i="4"/>
  <c r="J110" i="4"/>
  <c r="K110" i="4"/>
  <c r="J111" i="4"/>
  <c r="K111" i="4"/>
  <c r="Q111" i="4"/>
  <c r="J112" i="4"/>
  <c r="K112" i="4"/>
  <c r="Q112" i="4"/>
  <c r="J113" i="4"/>
  <c r="K113" i="4"/>
  <c r="J114" i="4"/>
  <c r="K114" i="4"/>
  <c r="Q114" i="4"/>
  <c r="J115" i="4"/>
  <c r="K115" i="4"/>
  <c r="J116" i="4"/>
  <c r="K116" i="4"/>
  <c r="Q116" i="4"/>
  <c r="J117" i="4"/>
  <c r="K117" i="4"/>
  <c r="J118" i="4"/>
  <c r="K118" i="4"/>
  <c r="J119" i="4"/>
  <c r="K119" i="4"/>
  <c r="Q119" i="4"/>
  <c r="J120" i="4"/>
  <c r="K120" i="4"/>
  <c r="Q120" i="4"/>
  <c r="J121" i="4"/>
  <c r="K121" i="4"/>
  <c r="J122" i="4"/>
  <c r="K122" i="4"/>
  <c r="J123" i="4"/>
  <c r="K123" i="4"/>
  <c r="Q123" i="4"/>
  <c r="J124" i="4"/>
  <c r="K124" i="4"/>
  <c r="J125" i="4"/>
  <c r="K125" i="4"/>
  <c r="J126" i="4"/>
  <c r="K126" i="4"/>
  <c r="L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Q132" i="4"/>
  <c r="J133" i="4"/>
  <c r="K133" i="4"/>
  <c r="J134" i="4"/>
  <c r="K134" i="4"/>
  <c r="J135" i="4"/>
  <c r="K135" i="4"/>
  <c r="J136" i="4"/>
  <c r="K136" i="4"/>
  <c r="J137" i="4"/>
  <c r="K137" i="4"/>
  <c r="L137" i="4"/>
  <c r="J138" i="4"/>
  <c r="K138" i="4"/>
  <c r="J139" i="4"/>
  <c r="K139" i="4"/>
  <c r="J140" i="4"/>
  <c r="K140" i="4"/>
  <c r="J141" i="4"/>
  <c r="K141" i="4"/>
  <c r="Q141" i="4"/>
  <c r="J142" i="4"/>
  <c r="K142" i="4"/>
  <c r="J143" i="4"/>
  <c r="K143" i="4"/>
  <c r="L143" i="4"/>
  <c r="J144" i="4"/>
  <c r="K144" i="4"/>
  <c r="L144" i="4"/>
  <c r="J145" i="4"/>
  <c r="K145" i="4"/>
  <c r="J146" i="4"/>
  <c r="K146" i="4"/>
  <c r="J147" i="4"/>
  <c r="K147" i="4"/>
  <c r="Q147" i="4"/>
  <c r="J148" i="4"/>
  <c r="K148" i="4"/>
  <c r="Q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L159" i="4"/>
  <c r="J160" i="4"/>
  <c r="K160" i="4"/>
  <c r="J161" i="4"/>
  <c r="K161" i="4"/>
  <c r="J162" i="4"/>
  <c r="K162" i="4"/>
  <c r="J163" i="4"/>
  <c r="K163" i="4"/>
  <c r="Q163" i="4"/>
  <c r="J164" i="4"/>
  <c r="K164" i="4"/>
  <c r="J165" i="4"/>
  <c r="K165" i="4"/>
  <c r="Q165" i="4"/>
  <c r="J166" i="4"/>
  <c r="K166" i="4"/>
  <c r="Q166" i="4"/>
  <c r="J167" i="4"/>
  <c r="K167" i="4"/>
  <c r="Q167" i="4"/>
  <c r="J168" i="4"/>
  <c r="K168" i="4"/>
  <c r="J169" i="4"/>
  <c r="K169" i="4"/>
  <c r="J170" i="4"/>
  <c r="K170" i="4"/>
  <c r="L170" i="4"/>
  <c r="J171" i="4"/>
  <c r="K171" i="4"/>
  <c r="J172" i="4"/>
  <c r="K172" i="4"/>
  <c r="J173" i="4"/>
  <c r="K173" i="4"/>
  <c r="J174" i="4"/>
  <c r="K174" i="4"/>
  <c r="L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Q185" i="4"/>
  <c r="J186" i="4"/>
  <c r="K186" i="4"/>
  <c r="J187" i="4"/>
  <c r="K187" i="4"/>
  <c r="L187" i="4"/>
  <c r="J188" i="4"/>
  <c r="K188" i="4"/>
  <c r="J189" i="4"/>
  <c r="K189" i="4"/>
  <c r="J190" i="4"/>
  <c r="K190" i="4"/>
  <c r="J191" i="4"/>
  <c r="K191" i="4"/>
  <c r="Q191" i="4"/>
  <c r="J192" i="4"/>
  <c r="K192" i="4"/>
  <c r="J193" i="4"/>
  <c r="K193" i="4"/>
  <c r="Q193" i="4"/>
  <c r="J194" i="4"/>
  <c r="K194" i="4"/>
  <c r="L194" i="4"/>
  <c r="J195" i="4"/>
  <c r="K195" i="4"/>
  <c r="J196" i="4"/>
  <c r="K196" i="4"/>
  <c r="L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Q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Q214" i="4"/>
  <c r="J215" i="4"/>
  <c r="K215" i="4"/>
  <c r="J216" i="4"/>
  <c r="K216" i="4"/>
  <c r="Q216" i="4"/>
  <c r="J217" i="4"/>
  <c r="K217" i="4"/>
  <c r="J218" i="4"/>
  <c r="K218" i="4"/>
  <c r="L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Q240" i="4"/>
  <c r="J241" i="4"/>
  <c r="K241" i="4"/>
  <c r="L241" i="4"/>
  <c r="J242" i="4"/>
  <c r="K242" i="4"/>
  <c r="J243" i="4"/>
  <c r="K243" i="4"/>
  <c r="J244" i="4"/>
  <c r="K244" i="4"/>
  <c r="L244" i="4"/>
  <c r="J245" i="4"/>
  <c r="K245" i="4"/>
  <c r="J246" i="4"/>
  <c r="K246" i="4"/>
  <c r="J247" i="4"/>
  <c r="K247" i="4"/>
  <c r="Q247" i="4"/>
  <c r="J248" i="4"/>
  <c r="K248" i="4"/>
  <c r="J249" i="4"/>
  <c r="K249" i="4"/>
  <c r="J250" i="4"/>
  <c r="K250" i="4"/>
  <c r="L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L257" i="4"/>
  <c r="J258" i="4"/>
  <c r="K258" i="4"/>
  <c r="J259" i="4"/>
  <c r="K259" i="4"/>
  <c r="J260" i="4"/>
  <c r="K260" i="4"/>
  <c r="Q260" i="4"/>
  <c r="J261" i="4"/>
  <c r="K261" i="4"/>
  <c r="Q261" i="4"/>
  <c r="J262" i="4"/>
  <c r="K262" i="4"/>
  <c r="J263" i="4"/>
  <c r="K263" i="4"/>
  <c r="J264" i="4"/>
  <c r="K264" i="4"/>
  <c r="L264" i="4"/>
  <c r="J265" i="4"/>
  <c r="K265" i="4"/>
  <c r="J266" i="4"/>
  <c r="K266" i="4"/>
  <c r="J267" i="4"/>
  <c r="K267" i="4"/>
  <c r="L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L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L287" i="4"/>
  <c r="J288" i="4"/>
  <c r="K288" i="4"/>
  <c r="J289" i="4"/>
  <c r="K289" i="4"/>
  <c r="J290" i="4"/>
  <c r="K290" i="4"/>
  <c r="L290" i="4"/>
  <c r="J291" i="4"/>
  <c r="K291" i="4"/>
  <c r="Q291" i="4"/>
  <c r="J292" i="4"/>
  <c r="K292" i="4"/>
  <c r="Q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Q298" i="4"/>
  <c r="J299" i="4"/>
  <c r="K299" i="4"/>
  <c r="L299" i="4"/>
  <c r="J300" i="4"/>
  <c r="K300" i="4"/>
  <c r="Q300" i="4"/>
  <c r="J301" i="4"/>
  <c r="K301" i="4"/>
  <c r="Q301" i="4"/>
  <c r="J302" i="4"/>
  <c r="K302" i="4"/>
  <c r="Q302" i="4"/>
  <c r="J303" i="4"/>
  <c r="K303" i="4"/>
  <c r="J304" i="4"/>
  <c r="K304" i="4"/>
  <c r="J305" i="4"/>
  <c r="K305" i="4"/>
  <c r="J306" i="4"/>
  <c r="K306" i="4"/>
  <c r="Q306" i="4"/>
  <c r="J307" i="4"/>
  <c r="K307" i="4"/>
  <c r="J308" i="4"/>
  <c r="K308" i="4"/>
  <c r="Q308" i="4"/>
  <c r="J309" i="4"/>
  <c r="K309" i="4"/>
  <c r="J310" i="4"/>
  <c r="K310" i="4"/>
  <c r="L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L323" i="4"/>
  <c r="J324" i="4"/>
  <c r="K324" i="4"/>
  <c r="L324" i="4"/>
  <c r="J325" i="4"/>
  <c r="K325" i="4"/>
  <c r="J326" i="4"/>
  <c r="K326" i="4"/>
  <c r="L326" i="4"/>
  <c r="J327" i="4"/>
  <c r="K327" i="4"/>
  <c r="J328" i="4"/>
  <c r="K328" i="4"/>
  <c r="J329" i="4"/>
  <c r="K329" i="4"/>
  <c r="J330" i="4"/>
  <c r="K330" i="4"/>
  <c r="L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L342" i="4"/>
  <c r="J343" i="4"/>
  <c r="K343" i="4"/>
  <c r="Q343" i="4"/>
  <c r="J344" i="4"/>
  <c r="K344" i="4"/>
  <c r="L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L353" i="4"/>
  <c r="J354" i="4"/>
  <c r="K354" i="4"/>
  <c r="J355" i="4"/>
  <c r="K355" i="4"/>
  <c r="J356" i="4"/>
  <c r="K356" i="4"/>
  <c r="Q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Q364" i="4"/>
  <c r="L364" i="4"/>
  <c r="J365" i="4"/>
  <c r="K365" i="4"/>
  <c r="J366" i="4"/>
  <c r="K366" i="4"/>
  <c r="J367" i="4"/>
  <c r="K367" i="4"/>
  <c r="L367" i="4"/>
  <c r="J368" i="4"/>
  <c r="K368" i="4"/>
  <c r="J369" i="4"/>
  <c r="K369" i="4"/>
  <c r="J370" i="4"/>
  <c r="K370" i="4"/>
  <c r="J371" i="4"/>
  <c r="K371" i="4"/>
  <c r="J372" i="4"/>
  <c r="K372" i="4"/>
  <c r="Q372" i="4"/>
  <c r="J373" i="4"/>
  <c r="K373" i="4"/>
  <c r="J374" i="4"/>
  <c r="K374" i="4"/>
  <c r="J375" i="4"/>
  <c r="K375" i="4"/>
  <c r="L375" i="4"/>
  <c r="J376" i="4"/>
  <c r="K376" i="4"/>
  <c r="J377" i="4"/>
  <c r="K377" i="4"/>
  <c r="Q377" i="4"/>
  <c r="J378" i="4"/>
  <c r="K378" i="4"/>
  <c r="J379" i="4"/>
  <c r="K379" i="4"/>
  <c r="J380" i="4"/>
  <c r="K380" i="4"/>
  <c r="J381" i="4"/>
  <c r="K381" i="4"/>
  <c r="L381" i="4"/>
  <c r="J382" i="4"/>
  <c r="K382" i="4"/>
  <c r="J383" i="4"/>
  <c r="K383" i="4"/>
  <c r="L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Q390" i="4"/>
  <c r="J391" i="4"/>
  <c r="K391" i="4"/>
  <c r="J392" i="4"/>
  <c r="K392" i="4"/>
  <c r="J393" i="4"/>
  <c r="K393" i="4"/>
  <c r="Q393" i="4"/>
  <c r="J394" i="4"/>
  <c r="K394" i="4"/>
  <c r="J395" i="4"/>
  <c r="K395" i="4"/>
  <c r="J396" i="4"/>
  <c r="K396" i="4"/>
  <c r="L396" i="4"/>
  <c r="J397" i="4"/>
  <c r="K397" i="4"/>
  <c r="J398" i="4"/>
  <c r="K398" i="4"/>
  <c r="J399" i="4"/>
  <c r="K399" i="4"/>
  <c r="J400" i="4"/>
  <c r="K400" i="4"/>
  <c r="L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Q406" i="4"/>
  <c r="J407" i="4"/>
  <c r="K407" i="4"/>
  <c r="J408" i="4"/>
  <c r="K408" i="4"/>
  <c r="L408" i="4"/>
  <c r="J409" i="4"/>
  <c r="K409" i="4"/>
  <c r="J410" i="4"/>
  <c r="K410" i="4"/>
  <c r="J411" i="4"/>
  <c r="K411" i="4"/>
  <c r="Q411" i="4"/>
  <c r="J412" i="4"/>
  <c r="K412" i="4"/>
  <c r="Q412" i="4"/>
  <c r="J413" i="4"/>
  <c r="K413" i="4"/>
  <c r="J414" i="4"/>
  <c r="K414" i="4"/>
  <c r="Q414" i="4"/>
  <c r="J415" i="4"/>
  <c r="K415" i="4"/>
  <c r="J416" i="4"/>
  <c r="K416" i="4"/>
  <c r="Q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Q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Q429" i="4"/>
  <c r="J430" i="4"/>
  <c r="K430" i="4"/>
  <c r="J431" i="4"/>
  <c r="K431" i="4"/>
  <c r="Q431" i="4"/>
  <c r="J432" i="4"/>
  <c r="K432" i="4"/>
  <c r="J433" i="4"/>
  <c r="K433" i="4"/>
  <c r="J434" i="4"/>
  <c r="K434" i="4"/>
  <c r="Q434" i="4"/>
  <c r="J435" i="4"/>
  <c r="K435" i="4"/>
  <c r="Q435" i="4"/>
  <c r="J436" i="4"/>
  <c r="K436" i="4"/>
  <c r="J437" i="4"/>
  <c r="K437" i="4"/>
  <c r="L437" i="4"/>
  <c r="J438" i="4"/>
  <c r="K438" i="4"/>
  <c r="J439" i="4"/>
  <c r="K439" i="4"/>
  <c r="J440" i="4"/>
  <c r="K440" i="4"/>
  <c r="Q440" i="4"/>
  <c r="J441" i="4"/>
  <c r="K441" i="4"/>
  <c r="J442" i="4"/>
  <c r="K442" i="4"/>
  <c r="J443" i="4"/>
  <c r="K443" i="4"/>
  <c r="Q443" i="4"/>
  <c r="L443" i="4"/>
  <c r="J444" i="4"/>
  <c r="K444" i="4"/>
  <c r="J445" i="4"/>
  <c r="K445" i="4"/>
  <c r="J446" i="4"/>
  <c r="K446" i="4"/>
  <c r="L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L465" i="4"/>
  <c r="Q465" i="4"/>
  <c r="J466" i="4"/>
  <c r="K466" i="4"/>
  <c r="J467" i="4"/>
  <c r="K467" i="4"/>
  <c r="J468" i="4"/>
  <c r="K468" i="4"/>
  <c r="J469" i="4"/>
  <c r="K469" i="4"/>
  <c r="L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Q477" i="4"/>
  <c r="J478" i="4"/>
  <c r="K478" i="4"/>
  <c r="Q478" i="4"/>
  <c r="J479" i="4"/>
  <c r="K479" i="4"/>
  <c r="J480" i="4"/>
  <c r="K480" i="4"/>
  <c r="Q480" i="4"/>
  <c r="J481" i="4"/>
  <c r="K481" i="4"/>
  <c r="Q481" i="4"/>
  <c r="J482" i="4"/>
  <c r="K482" i="4"/>
  <c r="L482" i="4"/>
  <c r="J483" i="4"/>
  <c r="K483" i="4"/>
  <c r="L483" i="4"/>
  <c r="Q483" i="4"/>
  <c r="J484" i="4"/>
  <c r="K484" i="4"/>
  <c r="J485" i="4"/>
  <c r="K485" i="4"/>
  <c r="L485" i="4"/>
  <c r="J486" i="4"/>
  <c r="K486" i="4"/>
  <c r="J487" i="4"/>
  <c r="K487" i="4"/>
  <c r="Q487" i="4"/>
  <c r="J488" i="4"/>
  <c r="K488" i="4"/>
  <c r="J489" i="4"/>
  <c r="K489" i="4"/>
  <c r="Q489" i="4"/>
  <c r="L489" i="4"/>
  <c r="J490" i="4"/>
  <c r="K490" i="4"/>
  <c r="Q490" i="4"/>
  <c r="J491" i="4"/>
  <c r="K491" i="4"/>
  <c r="L491" i="4"/>
  <c r="J492" i="4"/>
  <c r="K492" i="4"/>
  <c r="J493" i="4"/>
  <c r="K493" i="4"/>
  <c r="Q493" i="4"/>
  <c r="J494" i="4"/>
  <c r="K494" i="4"/>
  <c r="J495" i="4"/>
  <c r="K495" i="4"/>
  <c r="Q495" i="4"/>
  <c r="L495" i="4"/>
  <c r="J496" i="4"/>
  <c r="K496" i="4"/>
  <c r="J497" i="4"/>
  <c r="K497" i="4"/>
  <c r="J498" i="4"/>
  <c r="K498" i="4"/>
  <c r="L498" i="4"/>
  <c r="J499" i="4"/>
  <c r="K499" i="4"/>
  <c r="J500" i="4"/>
  <c r="K500" i="4"/>
  <c r="L500" i="4"/>
  <c r="J501" i="4"/>
  <c r="K501" i="4"/>
  <c r="J502" i="4"/>
  <c r="K502" i="4"/>
  <c r="Q502" i="4"/>
  <c r="J503" i="4"/>
  <c r="K503" i="4"/>
  <c r="J504" i="4"/>
  <c r="K504" i="4"/>
  <c r="E187" i="1"/>
  <c r="E188" i="1"/>
  <c r="E194" i="1"/>
  <c r="E25" i="1"/>
  <c r="E195" i="1"/>
  <c r="D119" i="1"/>
  <c r="D118" i="1"/>
  <c r="D28" i="1"/>
  <c r="E197" i="1"/>
  <c r="E198" i="1"/>
  <c r="E199" i="1"/>
  <c r="D123" i="1"/>
  <c r="E200" i="1"/>
  <c r="D16" i="1"/>
  <c r="E21" i="1"/>
  <c r="D37" i="1"/>
  <c r="D43" i="1"/>
  <c r="E43" i="1"/>
  <c r="D44" i="1"/>
  <c r="E68" i="1" s="1"/>
  <c r="E74" i="1" s="1"/>
  <c r="D45" i="1"/>
  <c r="E47" i="1" s="1"/>
  <c r="D46" i="1"/>
  <c r="F69" i="1" s="1"/>
  <c r="F73" i="1" s="1"/>
  <c r="D90" i="1"/>
  <c r="D116" i="1" s="1"/>
  <c r="D105" i="1"/>
  <c r="D125" i="1"/>
  <c r="D145" i="1"/>
  <c r="E145" i="1"/>
  <c r="D146" i="1" s="1"/>
  <c r="D136" i="1"/>
  <c r="E136" i="1"/>
  <c r="D137" i="1" s="1"/>
  <c r="D48" i="1"/>
  <c r="E48" i="1"/>
  <c r="D49" i="1" s="1"/>
  <c r="D36" i="1" s="1"/>
  <c r="D141" i="1"/>
  <c r="E141" i="1"/>
  <c r="D142" i="1" s="1"/>
  <c r="D23" i="1" s="1"/>
  <c r="D158" i="1"/>
  <c r="D161" i="1" s="1"/>
  <c r="D165" i="1" s="1"/>
  <c r="D167" i="1" s="1"/>
  <c r="D15" i="1"/>
  <c r="Q326" i="4"/>
  <c r="Q44" i="4"/>
  <c r="L40" i="4"/>
  <c r="L147" i="4"/>
  <c r="L343" i="4"/>
  <c r="L103" i="4"/>
  <c r="L37" i="4"/>
  <c r="L141" i="4"/>
  <c r="Q81" i="4"/>
  <c r="Q196" i="4"/>
  <c r="L216" i="4"/>
  <c r="L377" i="4"/>
  <c r="L112" i="4"/>
  <c r="L185" i="4"/>
  <c r="L20" i="4"/>
  <c r="Q287" i="4"/>
  <c r="Q45" i="4"/>
  <c r="L261" i="4"/>
  <c r="Q241" i="4"/>
  <c r="Q24" i="4"/>
  <c r="L301" i="4"/>
  <c r="Q290" i="4"/>
  <c r="L66" i="4"/>
  <c r="Q66" i="4"/>
  <c r="L390" i="4"/>
  <c r="L248" i="4"/>
  <c r="Q248" i="4"/>
  <c r="Q29" i="4"/>
  <c r="Q15" i="4"/>
  <c r="Q264" i="4"/>
  <c r="L39" i="4"/>
  <c r="Q39" i="4"/>
  <c r="Q381" i="4"/>
  <c r="L243" i="4"/>
  <c r="Q243" i="4"/>
  <c r="L179" i="4"/>
  <c r="Q179" i="4"/>
  <c r="Q72" i="4"/>
  <c r="L72" i="4"/>
  <c r="L302" i="4"/>
  <c r="Q187" i="4"/>
  <c r="Q57" i="4"/>
  <c r="L193" i="4"/>
  <c r="L111" i="4"/>
  <c r="Q375" i="4"/>
  <c r="L114" i="4"/>
  <c r="L406" i="4"/>
  <c r="L306" i="4"/>
  <c r="Q133" i="4"/>
  <c r="L133" i="4"/>
  <c r="Q408" i="4"/>
  <c r="Q299" i="4"/>
  <c r="L260" i="4"/>
  <c r="L163" i="4"/>
  <c r="Q107" i="4"/>
  <c r="Q90" i="4"/>
  <c r="Q92" i="4"/>
  <c r="Q304" i="4"/>
  <c r="L304" i="4"/>
  <c r="Q437" i="4"/>
  <c r="L481" i="4"/>
  <c r="Q367" i="4"/>
  <c r="Q324" i="4"/>
  <c r="Q143" i="4"/>
  <c r="L88" i="4"/>
  <c r="Q69" i="4"/>
  <c r="Q5" i="4"/>
  <c r="L167" i="4"/>
  <c r="L106" i="4"/>
  <c r="L120" i="4"/>
  <c r="Q383" i="4"/>
  <c r="L36" i="4"/>
  <c r="Q75" i="4"/>
  <c r="Q485" i="4"/>
  <c r="L365" i="4"/>
  <c r="Q365" i="4"/>
  <c r="L289" i="4"/>
  <c r="Q289" i="4"/>
  <c r="L411" i="4"/>
  <c r="L308" i="4"/>
  <c r="L203" i="4"/>
  <c r="Q203" i="4"/>
  <c r="L173" i="4"/>
  <c r="Q173" i="4"/>
  <c r="Q374" i="4"/>
  <c r="L374" i="4"/>
  <c r="Q204" i="4"/>
  <c r="L204" i="4"/>
  <c r="Q194" i="4"/>
  <c r="Q124" i="4"/>
  <c r="L124" i="4"/>
  <c r="Q101" i="4"/>
  <c r="L101" i="4"/>
  <c r="Q33" i="4"/>
  <c r="L33" i="4"/>
  <c r="Q137" i="4"/>
  <c r="Q330" i="4"/>
  <c r="L393" i="4"/>
  <c r="Q170" i="4"/>
  <c r="Q344" i="4"/>
  <c r="Q274" i="4"/>
  <c r="Q310" i="4"/>
  <c r="Q244" i="4"/>
  <c r="Q323" i="4"/>
  <c r="L292" i="4"/>
  <c r="L98" i="4"/>
  <c r="L422" i="4"/>
  <c r="L414" i="4"/>
  <c r="L412" i="4"/>
  <c r="L284" i="4"/>
  <c r="Q284" i="4"/>
  <c r="Q252" i="4"/>
  <c r="L252" i="4"/>
  <c r="Q250" i="4"/>
  <c r="Q142" i="4"/>
  <c r="L142" i="4"/>
  <c r="L48" i="4"/>
  <c r="Q41" i="4"/>
  <c r="Q18" i="4"/>
  <c r="L18" i="4"/>
  <c r="L10" i="4"/>
  <c r="Q10" i="4"/>
  <c r="Q21" i="4"/>
  <c r="L21" i="4"/>
  <c r="L11" i="4"/>
  <c r="Q58" i="4"/>
  <c r="L298" i="4"/>
  <c r="L296" i="4"/>
  <c r="Q296" i="4"/>
  <c r="L259" i="4"/>
  <c r="Q259" i="4"/>
  <c r="Q144" i="4"/>
  <c r="L132" i="4"/>
  <c r="Q91" i="4"/>
  <c r="Q85" i="4"/>
  <c r="L85" i="4"/>
  <c r="Q245" i="4"/>
  <c r="L245" i="4"/>
  <c r="L207" i="4"/>
  <c r="Q174" i="4"/>
  <c r="L166" i="4"/>
  <c r="L151" i="4"/>
  <c r="Q151" i="4"/>
  <c r="L140" i="4"/>
  <c r="Q140" i="4"/>
  <c r="L78" i="4"/>
  <c r="Q469" i="4"/>
  <c r="L434" i="4"/>
  <c r="L431" i="4"/>
  <c r="L211" i="4"/>
  <c r="Q211" i="4"/>
  <c r="L178" i="4"/>
  <c r="Q178" i="4"/>
  <c r="Q146" i="4"/>
  <c r="L146" i="4"/>
  <c r="L97" i="4"/>
  <c r="Q97" i="4"/>
  <c r="L93" i="4"/>
  <c r="Q89" i="4"/>
  <c r="L73" i="4"/>
  <c r="Q73" i="4"/>
  <c r="Q71" i="4"/>
  <c r="L71" i="4"/>
  <c r="Q65" i="4"/>
  <c r="L65" i="4"/>
  <c r="Q60" i="4"/>
  <c r="Q52" i="4"/>
  <c r="L52" i="4"/>
  <c r="Q31" i="4"/>
  <c r="Q207" i="4"/>
  <c r="Q491" i="4"/>
  <c r="Q455" i="4"/>
  <c r="L455" i="4"/>
  <c r="L435" i="4"/>
  <c r="Q353" i="4"/>
  <c r="L300" i="4"/>
  <c r="L291" i="4"/>
  <c r="Q267" i="4"/>
  <c r="L263" i="4"/>
  <c r="Q263" i="4"/>
  <c r="Q218" i="4"/>
  <c r="L214" i="4"/>
  <c r="Q126" i="4"/>
  <c r="L117" i="4"/>
  <c r="Q117" i="4"/>
  <c r="L109" i="4"/>
  <c r="Q109" i="4"/>
  <c r="L17" i="4"/>
  <c r="Q17" i="4"/>
  <c r="Q13" i="4"/>
  <c r="Q4" i="4"/>
  <c r="L490" i="4"/>
  <c r="Q446" i="4"/>
  <c r="L429" i="4"/>
  <c r="Q400" i="4"/>
  <c r="L325" i="4"/>
  <c r="Q325" i="4"/>
  <c r="Q271" i="4"/>
  <c r="L271" i="4"/>
  <c r="Q262" i="4"/>
  <c r="L262" i="4"/>
  <c r="L255" i="4"/>
  <c r="Q255" i="4"/>
  <c r="L247" i="4"/>
  <c r="L199" i="4"/>
  <c r="Q199" i="4"/>
  <c r="Q128" i="4"/>
  <c r="L128" i="4"/>
  <c r="L123" i="4"/>
  <c r="L119" i="4"/>
  <c r="L100" i="4"/>
  <c r="Q82" i="4"/>
  <c r="Q46" i="4"/>
  <c r="L46" i="4"/>
  <c r="Q19" i="4"/>
  <c r="L19" i="4"/>
  <c r="L16" i="4"/>
  <c r="L206" i="4"/>
  <c r="L70" i="4"/>
  <c r="Q70" i="4"/>
  <c r="L487" i="4"/>
  <c r="L502" i="4"/>
  <c r="Q266" i="4"/>
  <c r="L266" i="4"/>
  <c r="Q168" i="4"/>
  <c r="L168" i="4"/>
  <c r="L165" i="4"/>
  <c r="L145" i="4"/>
  <c r="Q145" i="4"/>
  <c r="Q131" i="4"/>
  <c r="L131" i="4"/>
  <c r="L104" i="4"/>
  <c r="Q104" i="4"/>
  <c r="Q51" i="4"/>
  <c r="L51" i="4"/>
  <c r="L94" i="4"/>
  <c r="D32" i="1"/>
  <c r="C19" i="4"/>
  <c r="F19" i="4" s="1"/>
  <c r="D159" i="1"/>
  <c r="D72" i="1"/>
  <c r="E32" i="1" s="1"/>
  <c r="E159" i="1"/>
  <c r="Q504" i="4"/>
  <c r="L504" i="4"/>
  <c r="Q500" i="4"/>
  <c r="Q498" i="4"/>
  <c r="L480" i="4"/>
  <c r="Q442" i="4"/>
  <c r="L442" i="4"/>
  <c r="L440" i="4"/>
  <c r="L372" i="4"/>
  <c r="Q360" i="4"/>
  <c r="L360" i="4"/>
  <c r="Q358" i="4"/>
  <c r="L358" i="4"/>
  <c r="L356" i="4"/>
  <c r="Q354" i="4"/>
  <c r="L354" i="4"/>
  <c r="L352" i="4"/>
  <c r="Q352" i="4"/>
  <c r="Q342" i="4"/>
  <c r="Q337" i="4"/>
  <c r="L337" i="4"/>
  <c r="Q321" i="4"/>
  <c r="L321" i="4"/>
  <c r="Q276" i="4"/>
  <c r="L276" i="4"/>
  <c r="L240" i="4"/>
  <c r="L238" i="4"/>
  <c r="Q238" i="4"/>
  <c r="Q236" i="4"/>
  <c r="L236" i="4"/>
  <c r="Q230" i="4"/>
  <c r="L230" i="4"/>
  <c r="Q228" i="4"/>
  <c r="L228" i="4"/>
  <c r="L190" i="4"/>
  <c r="Q190" i="4"/>
  <c r="Q183" i="4"/>
  <c r="L183" i="4"/>
  <c r="L181" i="4"/>
  <c r="Q181" i="4"/>
  <c r="Q176" i="4"/>
  <c r="L176" i="4"/>
  <c r="L171" i="4"/>
  <c r="Q171" i="4"/>
  <c r="Q164" i="4"/>
  <c r="L164" i="4"/>
  <c r="Q161" i="4"/>
  <c r="L161" i="4"/>
  <c r="Q158" i="4"/>
  <c r="L158" i="4"/>
  <c r="L155" i="4"/>
  <c r="Q155" i="4"/>
  <c r="Q152" i="4"/>
  <c r="L152" i="4"/>
  <c r="L149" i="4"/>
  <c r="Q149" i="4"/>
  <c r="L135" i="4"/>
  <c r="Q135" i="4"/>
  <c r="L127" i="4"/>
  <c r="Q127" i="4"/>
  <c r="Q122" i="4"/>
  <c r="L122" i="4"/>
  <c r="Q110" i="4"/>
  <c r="L110" i="4"/>
  <c r="Q102" i="4"/>
  <c r="L102" i="4"/>
  <c r="Q87" i="4"/>
  <c r="L87" i="4"/>
  <c r="L76" i="4"/>
  <c r="Q76" i="4"/>
  <c r="L62" i="4"/>
  <c r="Q62" i="4"/>
  <c r="Q59" i="4"/>
  <c r="L59" i="4"/>
  <c r="Q56" i="4"/>
  <c r="L56" i="4"/>
  <c r="Q54" i="4"/>
  <c r="L54" i="4"/>
  <c r="Q34" i="4"/>
  <c r="L34" i="4"/>
  <c r="Q28" i="4"/>
  <c r="L28" i="4"/>
  <c r="L25" i="4"/>
  <c r="Q25" i="4"/>
  <c r="L22" i="4"/>
  <c r="Q22" i="4"/>
  <c r="L12" i="4"/>
  <c r="Q12" i="4"/>
  <c r="Q9" i="4"/>
  <c r="L9" i="4"/>
  <c r="Q6" i="4"/>
  <c r="L6" i="4"/>
  <c r="Q503" i="4"/>
  <c r="L503" i="4"/>
  <c r="Q501" i="4"/>
  <c r="L501" i="4"/>
  <c r="Q482" i="4"/>
  <c r="L479" i="4"/>
  <c r="Q479" i="4"/>
  <c r="L477" i="4"/>
  <c r="Q463" i="4"/>
  <c r="L463" i="4"/>
  <c r="Q453" i="4"/>
  <c r="L453" i="4"/>
  <c r="L417" i="4"/>
  <c r="Q417" i="4"/>
  <c r="L373" i="4"/>
  <c r="Q373" i="4"/>
  <c r="L371" i="4"/>
  <c r="Q371" i="4"/>
  <c r="L369" i="4"/>
  <c r="Q369" i="4"/>
  <c r="Q366" i="4"/>
  <c r="L366" i="4"/>
  <c r="L362" i="4"/>
  <c r="Q362" i="4"/>
  <c r="Q359" i="4"/>
  <c r="L359" i="4"/>
  <c r="Q357" i="4"/>
  <c r="L357" i="4"/>
  <c r="L355" i="4"/>
  <c r="Q355" i="4"/>
  <c r="Q349" i="4"/>
  <c r="L349" i="4"/>
  <c r="Q347" i="4"/>
  <c r="L347" i="4"/>
  <c r="Q341" i="4"/>
  <c r="L341" i="4"/>
  <c r="L339" i="4"/>
  <c r="Q339" i="4"/>
  <c r="Q335" i="4"/>
  <c r="L335" i="4"/>
  <c r="Q327" i="4"/>
  <c r="L327" i="4"/>
  <c r="Q319" i="4"/>
  <c r="L319" i="4"/>
  <c r="L282" i="4"/>
  <c r="Q282" i="4"/>
  <c r="Q278" i="4"/>
  <c r="L278" i="4"/>
  <c r="Q234" i="4"/>
  <c r="L234" i="4"/>
  <c r="Q231" i="4"/>
  <c r="L231" i="4"/>
  <c r="L229" i="4"/>
  <c r="Q229" i="4"/>
  <c r="L201" i="4"/>
  <c r="Q201" i="4"/>
  <c r="L191" i="4"/>
  <c r="L184" i="4"/>
  <c r="Q184" i="4"/>
  <c r="Q180" i="4"/>
  <c r="L180" i="4"/>
  <c r="L177" i="4"/>
  <c r="Q177" i="4"/>
  <c r="Q175" i="4"/>
  <c r="L175" i="4"/>
  <c r="L172" i="4"/>
  <c r="Q172" i="4"/>
  <c r="Q160" i="4"/>
  <c r="L160" i="4"/>
  <c r="L156" i="4"/>
  <c r="Q156" i="4"/>
  <c r="Q154" i="4"/>
  <c r="L154" i="4"/>
  <c r="L150" i="4"/>
  <c r="Q150" i="4"/>
  <c r="L139" i="4"/>
  <c r="Q139" i="4"/>
  <c r="Q136" i="4"/>
  <c r="L136" i="4"/>
  <c r="Q118" i="4"/>
  <c r="L118" i="4"/>
  <c r="Q96" i="4"/>
  <c r="L96" i="4"/>
  <c r="L86" i="4"/>
  <c r="Q86" i="4"/>
  <c r="L83" i="4"/>
  <c r="Q83" i="4"/>
  <c r="L80" i="4"/>
  <c r="Q80" i="4"/>
  <c r="Q77" i="4"/>
  <c r="L77" i="4"/>
  <c r="Q64" i="4"/>
  <c r="L64" i="4"/>
  <c r="Q61" i="4"/>
  <c r="L61" i="4"/>
  <c r="L55" i="4"/>
  <c r="Q55" i="4"/>
  <c r="Q49" i="4"/>
  <c r="L49" i="4"/>
  <c r="L38" i="4"/>
  <c r="Q38" i="4"/>
  <c r="L35" i="4"/>
  <c r="Q35" i="4"/>
  <c r="L27" i="4"/>
  <c r="Q27" i="4"/>
  <c r="Q23" i="4"/>
  <c r="L23" i="4"/>
  <c r="F32" i="4"/>
  <c r="F34" i="4"/>
  <c r="Q7" i="4"/>
  <c r="L7" i="4"/>
  <c r="Q472" i="4"/>
  <c r="L472" i="4"/>
  <c r="Q427" i="4"/>
  <c r="L427" i="4"/>
  <c r="L415" i="4"/>
  <c r="Q415" i="4"/>
  <c r="L388" i="4"/>
  <c r="Q388" i="4"/>
  <c r="Q474" i="4"/>
  <c r="L474" i="4"/>
  <c r="Q396" i="4"/>
  <c r="D54" i="1"/>
  <c r="D56" i="1"/>
  <c r="D52" i="1"/>
  <c r="D97" i="1"/>
  <c r="D69" i="1"/>
  <c r="D73" i="1" s="1"/>
  <c r="Q419" i="4"/>
  <c r="L419" i="4"/>
  <c r="D47" i="1"/>
  <c r="D55" i="1"/>
  <c r="D57" i="1"/>
  <c r="Q497" i="4"/>
  <c r="L497" i="4"/>
  <c r="L488" i="4"/>
  <c r="Q488" i="4"/>
  <c r="L473" i="4"/>
  <c r="Q473" i="4"/>
  <c r="L470" i="4"/>
  <c r="Q470" i="4"/>
  <c r="L468" i="4"/>
  <c r="Q468" i="4"/>
  <c r="L462" i="4"/>
  <c r="Q462" i="4"/>
  <c r="L460" i="4"/>
  <c r="Q460" i="4"/>
  <c r="Q458" i="4"/>
  <c r="L458" i="4"/>
  <c r="L456" i="4"/>
  <c r="Q456" i="4"/>
  <c r="L452" i="4"/>
  <c r="Q452" i="4"/>
  <c r="Q450" i="4"/>
  <c r="L450" i="4"/>
  <c r="L444" i="4"/>
  <c r="Q444" i="4"/>
  <c r="Q430" i="4"/>
  <c r="L430" i="4"/>
  <c r="Q407" i="4"/>
  <c r="L407" i="4"/>
  <c r="L405" i="4"/>
  <c r="Q405" i="4"/>
  <c r="L403" i="4"/>
  <c r="Q403" i="4"/>
  <c r="Q401" i="4"/>
  <c r="L401" i="4"/>
  <c r="L399" i="4"/>
  <c r="Q399" i="4"/>
  <c r="Q397" i="4"/>
  <c r="L397" i="4"/>
  <c r="Q394" i="4"/>
  <c r="L394" i="4"/>
  <c r="L392" i="4"/>
  <c r="Q392" i="4"/>
  <c r="L387" i="4"/>
  <c r="Q387" i="4"/>
  <c r="L385" i="4"/>
  <c r="Q385" i="4"/>
  <c r="L380" i="4"/>
  <c r="Q380" i="4"/>
  <c r="L378" i="4"/>
  <c r="Q378" i="4"/>
  <c r="L376" i="4"/>
  <c r="Q376" i="4"/>
  <c r="Q350" i="4"/>
  <c r="L350" i="4"/>
  <c r="L346" i="4"/>
  <c r="Q346" i="4"/>
  <c r="Q338" i="4"/>
  <c r="L338" i="4"/>
  <c r="Q334" i="4"/>
  <c r="L334" i="4"/>
  <c r="L332" i="4"/>
  <c r="Q332" i="4"/>
  <c r="Q322" i="4"/>
  <c r="L322" i="4"/>
  <c r="Q318" i="4"/>
  <c r="L318" i="4"/>
  <c r="L316" i="4"/>
  <c r="Q316" i="4"/>
  <c r="Q314" i="4"/>
  <c r="L314" i="4"/>
  <c r="L312" i="4"/>
  <c r="Q312" i="4"/>
  <c r="Q307" i="4"/>
  <c r="L307" i="4"/>
  <c r="L303" i="4"/>
  <c r="Q303" i="4"/>
  <c r="L295" i="4"/>
  <c r="Q295" i="4"/>
  <c r="Q285" i="4"/>
  <c r="L285" i="4"/>
  <c r="Q281" i="4"/>
  <c r="L281" i="4"/>
  <c r="L277" i="4"/>
  <c r="Q277" i="4"/>
  <c r="Q251" i="4"/>
  <c r="L251" i="4"/>
  <c r="Q246" i="4"/>
  <c r="L246" i="4"/>
  <c r="L235" i="4"/>
  <c r="Q235" i="4"/>
  <c r="L232" i="4"/>
  <c r="Q232" i="4"/>
  <c r="L226" i="4"/>
  <c r="Q226" i="4"/>
  <c r="L224" i="4"/>
  <c r="Q224" i="4"/>
  <c r="L222" i="4"/>
  <c r="Q222" i="4"/>
  <c r="L220" i="4"/>
  <c r="Q220" i="4"/>
  <c r="L215" i="4"/>
  <c r="Q215" i="4"/>
  <c r="L210" i="4"/>
  <c r="Q210" i="4"/>
  <c r="Q205" i="4"/>
  <c r="L205" i="4"/>
  <c r="Q202" i="4"/>
  <c r="L202" i="4"/>
  <c r="Q195" i="4"/>
  <c r="L195" i="4"/>
  <c r="L189" i="4"/>
  <c r="Q189" i="4"/>
  <c r="Q499" i="4"/>
  <c r="L499" i="4"/>
  <c r="L496" i="4"/>
  <c r="Q496" i="4"/>
  <c r="L494" i="4"/>
  <c r="Q494" i="4"/>
  <c r="Q475" i="4"/>
  <c r="L475" i="4"/>
  <c r="Q471" i="4"/>
  <c r="L471" i="4"/>
  <c r="L466" i="4"/>
  <c r="Q466" i="4"/>
  <c r="Q464" i="4"/>
  <c r="L464" i="4"/>
  <c r="L461" i="4"/>
  <c r="Q461" i="4"/>
  <c r="Q459" i="4"/>
  <c r="L459" i="4"/>
  <c r="L454" i="4"/>
  <c r="Q454" i="4"/>
  <c r="L451" i="4"/>
  <c r="Q451" i="4"/>
  <c r="L449" i="4"/>
  <c r="Q449" i="4"/>
  <c r="Q447" i="4"/>
  <c r="L447" i="4"/>
  <c r="Q445" i="4"/>
  <c r="L445" i="4"/>
  <c r="Q421" i="4"/>
  <c r="L421" i="4"/>
  <c r="Q409" i="4"/>
  <c r="L409" i="4"/>
  <c r="L404" i="4"/>
  <c r="Q404" i="4"/>
  <c r="L402" i="4"/>
  <c r="Q402" i="4"/>
  <c r="Q391" i="4"/>
  <c r="L391" i="4"/>
  <c r="L389" i="4"/>
  <c r="Q389" i="4"/>
  <c r="L386" i="4"/>
  <c r="Q386" i="4"/>
  <c r="L384" i="4"/>
  <c r="Q384" i="4"/>
  <c r="Q382" i="4"/>
  <c r="L382" i="4"/>
  <c r="Q348" i="4"/>
  <c r="L348" i="4"/>
  <c r="Q340" i="4"/>
  <c r="L340" i="4"/>
  <c r="Q333" i="4"/>
  <c r="L333" i="4"/>
  <c r="Q331" i="4"/>
  <c r="L331" i="4"/>
  <c r="Q329" i="4"/>
  <c r="L329" i="4"/>
  <c r="L320" i="4"/>
  <c r="Q320" i="4"/>
  <c r="Q317" i="4"/>
  <c r="L317" i="4"/>
  <c r="L315" i="4"/>
  <c r="Q315" i="4"/>
  <c r="L313" i="4"/>
  <c r="Q313" i="4"/>
  <c r="Q311" i="4"/>
  <c r="L311" i="4"/>
  <c r="Q309" i="4"/>
  <c r="L309" i="4"/>
  <c r="L305" i="4"/>
  <c r="Q305" i="4"/>
  <c r="Q297" i="4"/>
  <c r="L297" i="4"/>
  <c r="L293" i="4"/>
  <c r="Q293" i="4"/>
  <c r="L283" i="4"/>
  <c r="Q283" i="4"/>
  <c r="L279" i="4"/>
  <c r="Q279" i="4"/>
  <c r="L275" i="4"/>
  <c r="Q275" i="4"/>
  <c r="Q239" i="4"/>
  <c r="L239" i="4"/>
  <c r="L233" i="4"/>
  <c r="Q233" i="4"/>
  <c r="L227" i="4"/>
  <c r="Q227" i="4"/>
  <c r="Q223" i="4"/>
  <c r="L223" i="4"/>
  <c r="Q221" i="4"/>
  <c r="L221" i="4"/>
  <c r="L219" i="4"/>
  <c r="Q219" i="4"/>
  <c r="Q217" i="4"/>
  <c r="L217" i="4"/>
  <c r="L188" i="4"/>
  <c r="Q188" i="4"/>
  <c r="Q484" i="4"/>
  <c r="L484" i="4"/>
  <c r="Q438" i="4"/>
  <c r="L438" i="4"/>
  <c r="Q426" i="4"/>
  <c r="L426" i="4"/>
  <c r="L424" i="4"/>
  <c r="Q424" i="4"/>
  <c r="Q486" i="4"/>
  <c r="L486" i="4"/>
  <c r="Q441" i="4"/>
  <c r="L441" i="4"/>
  <c r="Q433" i="4"/>
  <c r="L433" i="4"/>
  <c r="Q428" i="4"/>
  <c r="L428" i="4"/>
  <c r="L416" i="4"/>
  <c r="L186" i="4"/>
  <c r="Q186" i="4"/>
  <c r="Q115" i="4"/>
  <c r="L115" i="4"/>
  <c r="L30" i="4"/>
  <c r="Q30" i="4"/>
  <c r="L476" i="4"/>
  <c r="Q476" i="4"/>
  <c r="L418" i="4"/>
  <c r="Q418" i="4"/>
  <c r="Q270" i="4"/>
  <c r="L270" i="4"/>
  <c r="Q182" i="4"/>
  <c r="L182" i="4"/>
  <c r="Q47" i="4"/>
  <c r="L47" i="4"/>
  <c r="Q32" i="4"/>
  <c r="L32" i="4"/>
  <c r="D62" i="1"/>
  <c r="D99" i="1"/>
  <c r="D82" i="1"/>
  <c r="C18" i="4"/>
  <c r="E61" i="1"/>
  <c r="E69" i="1"/>
  <c r="E73" i="1" s="1"/>
  <c r="E76" i="1" s="1"/>
  <c r="L395" i="4"/>
  <c r="Q395" i="4"/>
  <c r="Q351" i="4"/>
  <c r="L351" i="4"/>
  <c r="L336" i="4"/>
  <c r="Q336" i="4"/>
  <c r="Q288" i="4"/>
  <c r="L288" i="4"/>
  <c r="L280" i="4"/>
  <c r="Q280" i="4"/>
  <c r="Q273" i="4"/>
  <c r="L273" i="4"/>
  <c r="L258" i="4"/>
  <c r="Q258" i="4"/>
  <c r="Q249" i="4"/>
  <c r="L249" i="4"/>
  <c r="L242" i="4"/>
  <c r="Q242" i="4"/>
  <c r="Q225" i="4"/>
  <c r="L225" i="4"/>
  <c r="L209" i="4"/>
  <c r="Q209" i="4"/>
  <c r="L200" i="4"/>
  <c r="Q200" i="4"/>
  <c r="L192" i="4"/>
  <c r="Q192" i="4"/>
  <c r="L169" i="4"/>
  <c r="Q169" i="4"/>
  <c r="Q162" i="4"/>
  <c r="L162" i="4"/>
  <c r="Q153" i="4"/>
  <c r="L153" i="4"/>
  <c r="Q138" i="4"/>
  <c r="L138" i="4"/>
  <c r="Q121" i="4"/>
  <c r="L121" i="4"/>
  <c r="L113" i="4"/>
  <c r="Q113" i="4"/>
  <c r="Q84" i="4"/>
  <c r="L84" i="4"/>
  <c r="Q68" i="4"/>
  <c r="L68" i="4"/>
  <c r="L53" i="4"/>
  <c r="Q53" i="4"/>
  <c r="Q26" i="4"/>
  <c r="L26" i="4"/>
  <c r="Q410" i="4"/>
  <c r="L410" i="4"/>
  <c r="L436" i="4"/>
  <c r="Q436" i="4"/>
  <c r="Q423" i="4"/>
  <c r="L423" i="4"/>
  <c r="Q457" i="4"/>
  <c r="L457" i="4"/>
  <c r="L448" i="4"/>
  <c r="Q448" i="4"/>
  <c r="F62" i="1"/>
  <c r="D60" i="1"/>
  <c r="D63" i="1" s="1"/>
  <c r="D65" i="1" s="1"/>
  <c r="E60" i="1"/>
  <c r="F61" i="1"/>
  <c r="D61" i="1"/>
  <c r="E62" i="1"/>
  <c r="D29" i="1"/>
  <c r="F14" i="4"/>
  <c r="F60" i="1"/>
  <c r="C14" i="4"/>
  <c r="L439" i="4"/>
  <c r="Q439" i="4"/>
  <c r="L328" i="4"/>
  <c r="Q328" i="4"/>
  <c r="Q265" i="4"/>
  <c r="L265" i="4"/>
  <c r="L208" i="4"/>
  <c r="Q208" i="4"/>
  <c r="Q130" i="4"/>
  <c r="L130" i="4"/>
  <c r="Q105" i="4"/>
  <c r="L105" i="4"/>
  <c r="Q67" i="4"/>
  <c r="L67" i="4"/>
  <c r="Q379" i="4"/>
  <c r="L379" i="4"/>
  <c r="Q272" i="4"/>
  <c r="L272" i="4"/>
  <c r="Q129" i="4"/>
  <c r="L129" i="4"/>
  <c r="Q14" i="4"/>
  <c r="L14" i="4"/>
  <c r="L8" i="4"/>
  <c r="Q8" i="4"/>
  <c r="L294" i="4"/>
  <c r="Q294" i="4"/>
  <c r="Q286" i="4"/>
  <c r="L286" i="4"/>
  <c r="L198" i="4"/>
  <c r="Q198" i="4"/>
  <c r="L95" i="4"/>
  <c r="Q95" i="4"/>
  <c r="Q74" i="4"/>
  <c r="L74" i="4"/>
  <c r="D85" i="1"/>
  <c r="F27" i="1" s="1"/>
  <c r="D68" i="1"/>
  <c r="D74" i="1" s="1"/>
  <c r="L493" i="4"/>
  <c r="L467" i="4"/>
  <c r="Q467" i="4"/>
  <c r="L256" i="4"/>
  <c r="Q256" i="4"/>
  <c r="L197" i="4"/>
  <c r="Q197" i="4"/>
  <c r="Q50" i="4"/>
  <c r="L50" i="4"/>
  <c r="Q420" i="4"/>
  <c r="L420" i="4"/>
  <c r="Q370" i="4"/>
  <c r="L370" i="4"/>
  <c r="L363" i="4"/>
  <c r="Q363" i="4"/>
  <c r="L43" i="4"/>
  <c r="Q43" i="4"/>
  <c r="L413" i="4"/>
  <c r="Q413" i="4"/>
  <c r="L269" i="4"/>
  <c r="Q269" i="4"/>
  <c r="Q254" i="4"/>
  <c r="L254" i="4"/>
  <c r="L237" i="4"/>
  <c r="Q237" i="4"/>
  <c r="Q213" i="4"/>
  <c r="L213" i="4"/>
  <c r="L134" i="4"/>
  <c r="Q134" i="4"/>
  <c r="E26" i="1"/>
  <c r="L492" i="4"/>
  <c r="Q492" i="4"/>
  <c r="L398" i="4"/>
  <c r="Q398" i="4"/>
  <c r="L253" i="4"/>
  <c r="Q253" i="4"/>
  <c r="L212" i="4"/>
  <c r="Q212" i="4"/>
  <c r="L157" i="4"/>
  <c r="Q157" i="4"/>
  <c r="L125" i="4"/>
  <c r="Q125" i="4"/>
  <c r="L63" i="4"/>
  <c r="Q63" i="4"/>
  <c r="L432" i="4"/>
  <c r="Q432" i="4"/>
  <c r="Q425" i="4"/>
  <c r="L425" i="4"/>
  <c r="L368" i="4"/>
  <c r="Q368" i="4"/>
  <c r="L361" i="4"/>
  <c r="Q361" i="4"/>
  <c r="L268" i="4"/>
  <c r="Q268" i="4"/>
  <c r="L108" i="4"/>
  <c r="Q108" i="4"/>
  <c r="L79" i="4"/>
  <c r="Q79" i="4"/>
  <c r="D80" i="1"/>
  <c r="L345" i="4"/>
  <c r="Q345" i="4"/>
  <c r="Q99" i="4"/>
  <c r="L99" i="4"/>
  <c r="L478" i="4"/>
  <c r="L116" i="4"/>
  <c r="Q257" i="4"/>
  <c r="Q159" i="4"/>
  <c r="F68" i="1"/>
  <c r="F74" i="1" s="1"/>
  <c r="F77" i="1" s="1"/>
  <c r="Q42" i="4"/>
  <c r="L148" i="4"/>
  <c r="F18" i="4"/>
  <c r="F63" i="1"/>
  <c r="F65" i="1" s="1"/>
  <c r="R319" i="4"/>
  <c r="R398" i="4"/>
  <c r="R57" i="4"/>
  <c r="R135" i="4"/>
  <c r="R502" i="4"/>
  <c r="R279" i="4"/>
  <c r="R146" i="4"/>
  <c r="R284" i="4"/>
  <c r="R123" i="4"/>
  <c r="R190" i="4"/>
  <c r="R222" i="4"/>
  <c r="R462" i="4"/>
  <c r="R103" i="4"/>
  <c r="R257" i="4"/>
  <c r="R469" i="4"/>
  <c r="R433" i="4"/>
  <c r="R9" i="4"/>
  <c r="R296" i="4"/>
  <c r="R416" i="4"/>
  <c r="R67" i="4"/>
  <c r="R20" i="4"/>
  <c r="R467" i="4"/>
  <c r="R214" i="4"/>
  <c r="R99" i="4"/>
  <c r="R31" i="4"/>
  <c r="R276" i="4"/>
  <c r="R406" i="4"/>
  <c r="R14" i="4"/>
  <c r="R186" i="4"/>
  <c r="R79" i="4"/>
  <c r="R312" i="4"/>
  <c r="R484" i="4"/>
  <c r="R442" i="4"/>
  <c r="R465" i="4"/>
  <c r="R130" i="4"/>
  <c r="R178" i="4"/>
  <c r="E63" i="1"/>
  <c r="E65" i="1" s="1"/>
  <c r="D21" i="1"/>
  <c r="D124" i="1" l="1"/>
  <c r="D120" i="1"/>
  <c r="M163" i="4"/>
  <c r="M96" i="4"/>
  <c r="M281" i="4"/>
  <c r="M213" i="4"/>
  <c r="M206" i="4"/>
  <c r="M193" i="4"/>
  <c r="M492" i="4"/>
  <c r="D76" i="1"/>
  <c r="M118" i="4"/>
  <c r="M443" i="4"/>
  <c r="M365" i="4"/>
  <c r="M490" i="4"/>
  <c r="M90" i="4"/>
  <c r="M7" i="4"/>
  <c r="M479" i="4"/>
  <c r="M293" i="4"/>
  <c r="M405" i="4"/>
  <c r="M195" i="4"/>
  <c r="M398" i="4"/>
  <c r="M175" i="4"/>
  <c r="E77" i="1"/>
  <c r="D64" i="1"/>
  <c r="D128" i="1"/>
  <c r="M112" i="4"/>
  <c r="M360" i="4"/>
  <c r="M435" i="4"/>
  <c r="D77" i="1"/>
  <c r="M454" i="4"/>
  <c r="M400" i="4"/>
  <c r="M48" i="4"/>
  <c r="D130" i="1"/>
  <c r="F21" i="1" s="1"/>
  <c r="F76" i="1"/>
  <c r="M375" i="4"/>
  <c r="M234" i="4"/>
  <c r="M62" i="4"/>
  <c r="M312" i="4"/>
  <c r="M491" i="4"/>
  <c r="M432" i="4"/>
  <c r="M10" i="4"/>
  <c r="M176" i="4"/>
  <c r="M179" i="4"/>
  <c r="M252" i="4"/>
  <c r="M335" i="4"/>
  <c r="D92" i="1"/>
  <c r="D100" i="1" s="1"/>
  <c r="D109" i="1"/>
  <c r="D112" i="1"/>
  <c r="F29" i="1"/>
  <c r="M40" i="4"/>
  <c r="M177" i="4"/>
  <c r="M473" i="4"/>
  <c r="M153" i="4"/>
  <c r="M54" i="4"/>
  <c r="M353" i="4"/>
  <c r="M242" i="4"/>
  <c r="M337" i="4"/>
  <c r="M249" i="4"/>
  <c r="M239" i="4"/>
  <c r="M134" i="4"/>
  <c r="M183" i="4"/>
  <c r="M39" i="4"/>
  <c r="M265" i="4"/>
  <c r="M111" i="4"/>
  <c r="M99" i="4"/>
  <c r="M369" i="4"/>
  <c r="M370" i="4"/>
  <c r="M205" i="4"/>
  <c r="M387" i="4"/>
  <c r="M384" i="4"/>
  <c r="M330" i="4"/>
  <c r="M100" i="4"/>
  <c r="M338" i="4"/>
  <c r="M137" i="4"/>
  <c r="M463" i="4"/>
  <c r="M296" i="4"/>
  <c r="M257" i="4"/>
  <c r="F27" i="4"/>
  <c r="F28" i="4"/>
  <c r="M77" i="4"/>
  <c r="M444" i="4"/>
  <c r="M354" i="4"/>
  <c r="M327" i="4"/>
  <c r="M147" i="4"/>
  <c r="M376" i="4"/>
  <c r="M452" i="4"/>
  <c r="M504" i="4"/>
  <c r="M185" i="4"/>
  <c r="M85" i="4"/>
  <c r="M426" i="4"/>
  <c r="M494" i="4"/>
  <c r="M59" i="4"/>
  <c r="M66" i="4"/>
  <c r="M470" i="4"/>
  <c r="M498" i="4"/>
  <c r="M186" i="4"/>
  <c r="M379" i="4"/>
  <c r="M268" i="4"/>
  <c r="M73" i="4"/>
  <c r="M17" i="4"/>
  <c r="M427" i="4"/>
  <c r="M350" i="4"/>
  <c r="M503" i="4"/>
  <c r="M291" i="4"/>
  <c r="M132" i="4"/>
  <c r="M262" i="4"/>
  <c r="M104" i="4"/>
  <c r="M64" i="4"/>
  <c r="M390" i="4"/>
  <c r="M456" i="4"/>
  <c r="M395" i="4"/>
  <c r="M81" i="4"/>
  <c r="M33" i="4"/>
  <c r="M58" i="4"/>
  <c r="M47" i="4"/>
  <c r="M229" i="4"/>
  <c r="M74" i="4"/>
  <c r="M29" i="4"/>
  <c r="M276" i="4"/>
  <c r="M194" i="4"/>
  <c r="M148" i="4"/>
  <c r="M41" i="4"/>
  <c r="M409" i="4"/>
  <c r="M143" i="4"/>
  <c r="M280" i="4"/>
  <c r="M355" i="4"/>
  <c r="M502" i="4"/>
  <c r="M367" i="4"/>
  <c r="M422" i="4"/>
  <c r="M144" i="4"/>
  <c r="M297" i="4"/>
  <c r="M286" i="4"/>
  <c r="M352" i="4"/>
  <c r="M217" i="4"/>
  <c r="M200" i="4"/>
  <c r="M106" i="4"/>
  <c r="M138" i="4"/>
  <c r="M495" i="4"/>
  <c r="M271" i="4"/>
  <c r="M188" i="4"/>
  <c r="M122" i="4"/>
  <c r="M394" i="4"/>
  <c r="M299" i="4"/>
  <c r="M241" i="4"/>
  <c r="M396" i="4"/>
  <c r="M319" i="4"/>
  <c r="M49" i="4"/>
  <c r="M288" i="4"/>
  <c r="M440" i="4"/>
  <c r="M468" i="4"/>
  <c r="M216" i="4"/>
  <c r="M71" i="4"/>
  <c r="M75" i="4"/>
  <c r="M289" i="4"/>
  <c r="M86" i="4"/>
  <c r="M142" i="4"/>
  <c r="M20" i="4"/>
  <c r="M453" i="4"/>
  <c r="M88" i="4"/>
  <c r="M347" i="4"/>
  <c r="M65" i="4"/>
  <c r="M56" i="4"/>
  <c r="M282" i="4"/>
  <c r="M223" i="4"/>
  <c r="M404" i="4"/>
  <c r="M156" i="4"/>
  <c r="M212" i="4"/>
  <c r="M389" i="4"/>
  <c r="M309" i="4"/>
  <c r="M410" i="4"/>
  <c r="M259" i="4"/>
  <c r="M70" i="4"/>
  <c r="M4" i="4"/>
  <c r="M256" i="4"/>
  <c r="M382" i="4"/>
  <c r="M52" i="4"/>
  <c r="M320" i="4"/>
  <c r="M474" i="4"/>
  <c r="M162" i="4"/>
  <c r="M383" i="4"/>
  <c r="M130" i="4"/>
  <c r="M151" i="4"/>
  <c r="M55" i="4"/>
  <c r="M388" i="4"/>
  <c r="M125" i="4"/>
  <c r="M274" i="4"/>
  <c r="M251" i="4"/>
  <c r="M279" i="4"/>
  <c r="M214" i="4"/>
  <c r="M341" i="4"/>
  <c r="M328" i="4"/>
  <c r="M181" i="4"/>
  <c r="M407" i="4"/>
  <c r="M43" i="4"/>
  <c r="M225" i="4"/>
  <c r="M283" i="4"/>
  <c r="M496" i="4"/>
  <c r="M129" i="4"/>
  <c r="M329" i="4"/>
  <c r="M161" i="4"/>
  <c r="M374" i="4"/>
  <c r="M377" i="4"/>
  <c r="M311" i="4"/>
  <c r="M15" i="4"/>
  <c r="M169" i="4"/>
  <c r="M306" i="4"/>
  <c r="M380" i="4"/>
  <c r="M437" i="4"/>
  <c r="M431" i="4"/>
  <c r="M362" i="4"/>
  <c r="M349" i="4"/>
  <c r="M94" i="4"/>
  <c r="M191" i="4"/>
  <c r="M433" i="4"/>
  <c r="M19" i="4"/>
  <c r="M102" i="4"/>
  <c r="M105" i="4"/>
  <c r="M476" i="4"/>
  <c r="M485" i="4"/>
  <c r="M89" i="4"/>
  <c r="M103" i="4"/>
  <c r="M378" i="4"/>
  <c r="M160" i="4"/>
  <c r="M209" i="4"/>
  <c r="M123" i="4"/>
  <c r="M451" i="4"/>
  <c r="M246" i="4"/>
  <c r="M133" i="4"/>
  <c r="M6" i="4"/>
  <c r="M203" i="4"/>
  <c r="M457" i="4"/>
  <c r="M471" i="4"/>
  <c r="M207" i="4"/>
  <c r="M423" i="4"/>
  <c r="M42" i="4"/>
  <c r="M68" i="4"/>
  <c r="M344" i="4"/>
  <c r="M208" i="4"/>
  <c r="M182" i="4"/>
  <c r="M124" i="4"/>
  <c r="M401" i="4"/>
  <c r="M201" i="4"/>
  <c r="M418" i="4"/>
  <c r="M232" i="4"/>
  <c r="M342" i="4"/>
  <c r="M318" i="4"/>
  <c r="M16" i="4"/>
  <c r="M270" i="4"/>
  <c r="M91" i="4"/>
  <c r="M326" i="4"/>
  <c r="M434" i="4"/>
  <c r="M190" i="4"/>
  <c r="M23" i="4"/>
  <c r="M292" i="4"/>
  <c r="M430" i="4"/>
  <c r="M261" i="4"/>
  <c r="M321" i="4"/>
  <c r="M412" i="4"/>
  <c r="M439" i="4"/>
  <c r="M255" i="4"/>
  <c r="M198" i="4"/>
  <c r="M178" i="4"/>
  <c r="M340" i="4"/>
  <c r="M219" i="4"/>
  <c r="M126" i="4"/>
  <c r="M51" i="4"/>
  <c r="M184" i="4"/>
  <c r="M34" i="4"/>
  <c r="M449" i="4"/>
  <c r="M83" i="4"/>
  <c r="M167" i="4"/>
  <c r="M272" i="4"/>
  <c r="M235" i="4"/>
  <c r="M475" i="4"/>
  <c r="M275" i="4"/>
  <c r="M290" i="4"/>
  <c r="M465" i="4"/>
  <c r="M211" i="4"/>
  <c r="M325" i="4"/>
  <c r="M373" i="4"/>
  <c r="M215" i="4"/>
  <c r="M27" i="4"/>
  <c r="M381" i="4"/>
  <c r="M117" i="4"/>
  <c r="M135" i="4"/>
  <c r="M428" i="4"/>
  <c r="M128" i="4"/>
  <c r="M230" i="4"/>
  <c r="M264" i="4"/>
  <c r="M98" i="4"/>
  <c r="M233" i="4"/>
  <c r="M244" i="4"/>
  <c r="M416" i="4"/>
  <c r="M14" i="4"/>
  <c r="M222" i="4"/>
  <c r="M481" i="4"/>
  <c r="M189" i="4"/>
  <c r="M314" i="4"/>
  <c r="M145" i="4"/>
  <c r="M110" i="4"/>
  <c r="M278" i="4"/>
  <c r="M322" i="4"/>
  <c r="M450" i="4"/>
  <c r="M406" i="4"/>
  <c r="M298" i="4"/>
  <c r="M159" i="4"/>
  <c r="M30" i="4"/>
  <c r="M323" i="4"/>
  <c r="M78" i="4"/>
  <c r="M317" i="4"/>
  <c r="M155" i="4"/>
  <c r="M420" i="4"/>
  <c r="M11" i="4"/>
  <c r="M417" i="4"/>
  <c r="M154" i="4"/>
  <c r="M483" i="4"/>
  <c r="M346" i="4"/>
  <c r="M45" i="4"/>
  <c r="M121" i="4"/>
  <c r="M196" i="4"/>
  <c r="M455" i="4"/>
  <c r="M21" i="4"/>
  <c r="M44" i="4"/>
  <c r="D81" i="1"/>
  <c r="D83" i="1" s="1"/>
  <c r="D170" i="1" s="1"/>
  <c r="E170" i="1" s="1"/>
  <c r="M467" i="4"/>
  <c r="M273" i="4"/>
  <c r="M67" i="4"/>
  <c r="M480" i="4"/>
  <c r="M359" i="4"/>
  <c r="M204" i="4"/>
  <c r="M87" i="4"/>
  <c r="M386" i="4"/>
  <c r="M226" i="4"/>
  <c r="M53" i="4"/>
  <c r="M187" i="4"/>
  <c r="M36" i="4"/>
  <c r="M487" i="4"/>
  <c r="M461" i="4"/>
  <c r="M192" i="4"/>
  <c r="M331" i="4"/>
  <c r="M250" i="4"/>
  <c r="M397" i="4"/>
  <c r="M489" i="4"/>
  <c r="M462" i="4"/>
  <c r="M224" i="4"/>
  <c r="M477" i="4"/>
  <c r="M263" i="4"/>
  <c r="M97" i="4"/>
  <c r="M258" i="4"/>
  <c r="M82" i="4"/>
  <c r="M158" i="4"/>
  <c r="M466" i="4"/>
  <c r="M472" i="4"/>
  <c r="M13" i="4"/>
  <c r="M339" i="4"/>
  <c r="M385" i="4"/>
  <c r="M18" i="4"/>
  <c r="M260" i="4"/>
  <c r="M141" i="4"/>
  <c r="M120" i="4"/>
  <c r="M50" i="4"/>
  <c r="M46" i="4"/>
  <c r="M35" i="4"/>
  <c r="M364" i="4"/>
  <c r="M228" i="4"/>
  <c r="M303" i="4"/>
  <c r="M199" i="4"/>
  <c r="M438" i="4"/>
  <c r="M501" i="4"/>
  <c r="M305" i="4"/>
  <c r="M240" i="4"/>
  <c r="M197" i="4"/>
  <c r="M295" i="4"/>
  <c r="M116" i="4"/>
  <c r="M446" i="4"/>
  <c r="M469" i="4"/>
  <c r="M95" i="4"/>
  <c r="M399" i="4"/>
  <c r="M333" i="4"/>
  <c r="M5" i="4"/>
  <c r="M448" i="4"/>
  <c r="M84" i="4"/>
  <c r="M345" i="4"/>
  <c r="M493" i="4"/>
  <c r="M164" i="4"/>
  <c r="M31" i="4"/>
  <c r="M371" i="4"/>
  <c r="M316" i="4"/>
  <c r="M445" i="4"/>
  <c r="M403" i="4"/>
  <c r="M80" i="4"/>
  <c r="M269" i="4"/>
  <c r="M139" i="4"/>
  <c r="M284" i="4"/>
  <c r="M180" i="4"/>
  <c r="M210" i="4"/>
  <c r="M146" i="4"/>
  <c r="M166" i="4"/>
  <c r="M248" i="4"/>
  <c r="M413" i="4"/>
  <c r="M172" i="4"/>
  <c r="M238" i="4"/>
  <c r="M237" i="4"/>
  <c r="M294" i="4"/>
  <c r="M285" i="4"/>
  <c r="M245" i="4"/>
  <c r="M221" i="4"/>
  <c r="M302" i="4"/>
  <c r="M150" i="4"/>
  <c r="M361" i="4"/>
  <c r="M157" i="4"/>
  <c r="M26" i="4"/>
  <c r="M254" i="4"/>
  <c r="M168" i="4"/>
  <c r="M220" i="4"/>
  <c r="M300" i="4"/>
  <c r="M243" i="4"/>
  <c r="M113" i="4"/>
  <c r="M72" i="4"/>
  <c r="M12" i="4"/>
  <c r="M436" i="4"/>
  <c r="M313" i="4"/>
  <c r="M37" i="4"/>
  <c r="M363" i="4"/>
  <c r="M165" i="4"/>
  <c r="M115" i="4"/>
  <c r="M24" i="4"/>
  <c r="M127" i="4"/>
  <c r="M458" i="4"/>
  <c r="M76" i="4"/>
  <c r="M218" i="4"/>
  <c r="M478" i="4"/>
  <c r="M32" i="4"/>
  <c r="M108" i="4"/>
  <c r="M315" i="4"/>
  <c r="M484" i="4"/>
  <c r="M307" i="4"/>
  <c r="M236" i="4"/>
  <c r="M442" i="4"/>
  <c r="M421" i="4"/>
  <c r="M366" i="4"/>
  <c r="M348" i="4"/>
  <c r="M202" i="4"/>
  <c r="M63" i="4"/>
  <c r="M425" i="4"/>
  <c r="M419" i="4"/>
  <c r="M356" i="4"/>
  <c r="M247" i="4"/>
  <c r="M136" i="4"/>
  <c r="M500" i="4"/>
  <c r="M266" i="4"/>
  <c r="M392" i="4"/>
  <c r="M336" i="4"/>
  <c r="M499" i="4"/>
  <c r="M334" i="4"/>
  <c r="M267" i="4"/>
  <c r="M9" i="4"/>
  <c r="M93" i="4"/>
  <c r="M92" i="4"/>
  <c r="M57" i="4"/>
  <c r="M79" i="4"/>
  <c r="M107" i="4"/>
  <c r="M38" i="4"/>
  <c r="M488" i="4"/>
  <c r="M460" i="4"/>
  <c r="M411" i="4"/>
  <c r="M357" i="4"/>
  <c r="M101" i="4"/>
  <c r="M60" i="4"/>
  <c r="M171" i="4"/>
  <c r="M301" i="4"/>
  <c r="M486" i="4"/>
  <c r="M28" i="4"/>
  <c r="M69" i="4"/>
  <c r="M358" i="4"/>
  <c r="M277" i="4"/>
  <c r="M441" i="4"/>
  <c r="M25" i="4"/>
  <c r="M22" i="4"/>
  <c r="M414" i="4"/>
  <c r="M140" i="4"/>
  <c r="M119" i="4"/>
  <c r="M459" i="4"/>
  <c r="M227" i="4"/>
  <c r="M332" i="4"/>
  <c r="M114" i="4"/>
  <c r="M308" i="4"/>
  <c r="M149" i="4"/>
  <c r="M231" i="4"/>
  <c r="M482" i="4"/>
  <c r="M497" i="4"/>
  <c r="M170" i="4"/>
  <c r="M324" i="4"/>
  <c r="M408" i="4"/>
  <c r="M393" i="4"/>
  <c r="M402" i="4"/>
  <c r="M415" i="4"/>
  <c r="M61" i="4"/>
  <c r="M351" i="4"/>
  <c r="M253" i="4"/>
  <c r="M109" i="4"/>
  <c r="M8" i="4"/>
  <c r="M429" i="4"/>
  <c r="M152" i="4"/>
  <c r="M464" i="4"/>
  <c r="M174" i="4"/>
  <c r="M131" i="4"/>
  <c r="M304" i="4"/>
  <c r="M343" i="4"/>
  <c r="M391" i="4"/>
  <c r="M447" i="4"/>
  <c r="M287" i="4"/>
  <c r="M173" i="4"/>
  <c r="M310" i="4"/>
  <c r="M368" i="4"/>
  <c r="M424" i="4"/>
  <c r="M372" i="4"/>
  <c r="R172" i="4"/>
  <c r="R236" i="4"/>
  <c r="R15" i="4"/>
  <c r="R94" i="4"/>
  <c r="R138" i="4"/>
  <c r="R50" i="4"/>
  <c r="R227" i="4"/>
  <c r="R176" i="4"/>
  <c r="R306" i="4"/>
  <c r="R307" i="4"/>
  <c r="R479" i="4"/>
  <c r="R239" i="4"/>
  <c r="R368" i="4"/>
  <c r="R86" i="4"/>
  <c r="R151" i="4"/>
  <c r="R393" i="4"/>
  <c r="R238" i="4"/>
  <c r="R235" i="4"/>
  <c r="R125" i="4"/>
  <c r="R411" i="4"/>
  <c r="R231" i="4"/>
  <c r="R256" i="4"/>
  <c r="R221" i="4"/>
  <c r="R386" i="4"/>
  <c r="R60" i="4"/>
  <c r="R80" i="4"/>
  <c r="R494" i="4"/>
  <c r="R277" i="4"/>
  <c r="R258" i="4"/>
  <c r="R51" i="4"/>
  <c r="R89" i="4"/>
  <c r="R233" i="4"/>
  <c r="R347" i="4"/>
  <c r="R253" i="4"/>
  <c r="R309" i="4"/>
  <c r="R311" i="4"/>
  <c r="R223" i="4"/>
  <c r="R145" i="4"/>
  <c r="R420" i="4"/>
  <c r="R108" i="4"/>
  <c r="R384" i="4"/>
  <c r="R446" i="4"/>
  <c r="R129" i="4"/>
  <c r="R127" i="4"/>
  <c r="R308" i="4"/>
  <c r="R177" i="4"/>
  <c r="R182" i="4"/>
  <c r="R260" i="4"/>
  <c r="R489" i="4"/>
  <c r="R346" i="4"/>
  <c r="R19" i="4"/>
  <c r="R207" i="4"/>
  <c r="R113" i="4"/>
  <c r="R301" i="4"/>
  <c r="R441" i="4"/>
  <c r="R30" i="4"/>
  <c r="R141" i="4"/>
  <c r="R337" i="4"/>
  <c r="R272" i="4"/>
  <c r="R374" i="4"/>
  <c r="R289" i="4"/>
  <c r="R310" i="4"/>
  <c r="R237" i="4"/>
  <c r="R456" i="4"/>
  <c r="R84" i="4"/>
  <c r="R112" i="4"/>
  <c r="R77" i="4"/>
  <c r="R328" i="4"/>
  <c r="R181" i="4"/>
  <c r="R189" i="4"/>
  <c r="R367" i="4"/>
  <c r="R444" i="4"/>
  <c r="R300" i="4"/>
  <c r="R37" i="4"/>
  <c r="R332" i="4"/>
  <c r="R211" i="4"/>
  <c r="R199" i="4"/>
  <c r="R259" i="4"/>
  <c r="R387" i="4"/>
  <c r="R448" i="4"/>
  <c r="R64" i="4"/>
  <c r="R385" i="4"/>
  <c r="R143" i="4"/>
  <c r="R109" i="4"/>
  <c r="R490" i="4"/>
  <c r="R115" i="4"/>
  <c r="R476" i="4"/>
  <c r="R76" i="4"/>
  <c r="R355" i="4"/>
  <c r="R134" i="4"/>
  <c r="R395" i="4"/>
  <c r="R271" i="4"/>
  <c r="R74" i="4"/>
  <c r="R34" i="4"/>
  <c r="R91" i="4"/>
  <c r="R443" i="4"/>
  <c r="R477" i="4"/>
  <c r="R499" i="4"/>
  <c r="R21" i="4"/>
  <c r="R97" i="4"/>
  <c r="R350" i="4"/>
  <c r="R503" i="4"/>
  <c r="R366" i="4"/>
  <c r="R370" i="4"/>
  <c r="F31" i="4"/>
  <c r="R156" i="4"/>
  <c r="R154" i="4"/>
  <c r="R52" i="4"/>
  <c r="R144" i="4"/>
  <c r="R93" i="4"/>
  <c r="R478" i="4"/>
  <c r="R379" i="4"/>
  <c r="R359" i="4"/>
  <c r="R458" i="4"/>
  <c r="R438" i="4"/>
  <c r="R269" i="4"/>
  <c r="R460" i="4"/>
  <c r="R240" i="4"/>
  <c r="R48" i="4"/>
  <c r="R191" i="4"/>
  <c r="R251" i="4"/>
  <c r="R266" i="4"/>
  <c r="R304" i="4"/>
  <c r="R409" i="4"/>
  <c r="R407" i="4"/>
  <c r="R81" i="4"/>
  <c r="R62" i="4"/>
  <c r="R282" i="4"/>
  <c r="R475" i="4"/>
  <c r="R397" i="4"/>
  <c r="R55" i="4"/>
  <c r="R352" i="4"/>
  <c r="R247" i="4"/>
  <c r="R450" i="4"/>
  <c r="R17" i="4"/>
  <c r="R302" i="4"/>
  <c r="R116" i="4"/>
  <c r="R316" i="4"/>
  <c r="R201" i="4"/>
  <c r="R330" i="4"/>
  <c r="R392" i="4"/>
  <c r="R356" i="4"/>
  <c r="R139" i="4"/>
  <c r="R363" i="4"/>
  <c r="R200" i="4"/>
  <c r="R318" i="4"/>
  <c r="R375" i="4"/>
  <c r="R380" i="4"/>
  <c r="R262" i="4"/>
  <c r="R313" i="4"/>
  <c r="R452" i="4"/>
  <c r="R294" i="4"/>
  <c r="R252" i="4"/>
  <c r="R168" i="4"/>
  <c r="R13" i="4"/>
  <c r="R209" i="4"/>
  <c r="R429" i="4"/>
  <c r="R447" i="4"/>
  <c r="R504" i="4"/>
  <c r="R381" i="4"/>
  <c r="R261" i="4"/>
  <c r="R273" i="4"/>
  <c r="R229" i="4"/>
  <c r="R396" i="4"/>
  <c r="R405" i="4"/>
  <c r="R339" i="4"/>
  <c r="R210" i="4"/>
  <c r="R12" i="4"/>
  <c r="R428" i="4"/>
  <c r="R474" i="4"/>
  <c r="R43" i="4"/>
  <c r="R344" i="4"/>
  <c r="R104" i="4"/>
  <c r="R404" i="4"/>
  <c r="R29" i="4"/>
  <c r="R82" i="4"/>
  <c r="R180" i="4"/>
  <c r="R487" i="4"/>
  <c r="R179" i="4"/>
  <c r="R383" i="4"/>
  <c r="R25" i="4"/>
  <c r="R183" i="4"/>
  <c r="R354" i="4"/>
  <c r="R120" i="4"/>
  <c r="R249" i="4"/>
  <c r="R388" i="4"/>
  <c r="R353" i="4"/>
  <c r="R333" i="4"/>
  <c r="R345" i="4"/>
  <c r="R132" i="4"/>
  <c r="R198" i="4"/>
  <c r="R391" i="4"/>
  <c r="R49" i="4"/>
  <c r="R27" i="4"/>
  <c r="R216" i="4"/>
  <c r="R297" i="4"/>
  <c r="R334" i="4"/>
  <c r="R268" i="4"/>
  <c r="R7" i="4"/>
  <c r="R137" i="4"/>
  <c r="R215" i="4"/>
  <c r="R83" i="4"/>
  <c r="R263" i="4"/>
  <c r="R372" i="4"/>
  <c r="R35" i="4"/>
  <c r="R248" i="4"/>
  <c r="R98" i="4"/>
  <c r="R483" i="4"/>
  <c r="R343" i="4"/>
  <c r="R206" i="4"/>
  <c r="R5" i="4"/>
  <c r="R149" i="4"/>
  <c r="R205" i="4"/>
  <c r="R340" i="4"/>
  <c r="R219" i="4"/>
  <c r="R196" i="4"/>
  <c r="R166" i="4"/>
  <c r="R220" i="4"/>
  <c r="R66" i="4"/>
  <c r="R185" i="4"/>
  <c r="R338" i="4"/>
  <c r="R142" i="4"/>
  <c r="R361" i="4"/>
  <c r="R26" i="4"/>
  <c r="R324" i="4"/>
  <c r="R449" i="4"/>
  <c r="R472" i="4"/>
  <c r="R382" i="4"/>
  <c r="R298" i="4"/>
  <c r="R286" i="4"/>
  <c r="R430" i="4"/>
  <c r="R422" i="4"/>
  <c r="R427" i="4"/>
  <c r="R133" i="4"/>
  <c r="R87" i="4"/>
  <c r="R39" i="4"/>
  <c r="R401" i="4"/>
  <c r="R72" i="4"/>
  <c r="R371" i="4"/>
  <c r="R290" i="4"/>
  <c r="R217" i="4"/>
  <c r="R292" i="4"/>
  <c r="R212" i="4"/>
  <c r="R202" i="4"/>
  <c r="R38" i="4"/>
  <c r="R163" i="4"/>
  <c r="R8" i="4"/>
  <c r="R33" i="4"/>
  <c r="R488" i="4"/>
  <c r="R329" i="4"/>
  <c r="R305" i="4"/>
  <c r="R4" i="4"/>
  <c r="R63" i="4"/>
  <c r="R161" i="4"/>
  <c r="R197" i="4"/>
  <c r="R22" i="4"/>
  <c r="R250" i="4"/>
  <c r="R455" i="4"/>
  <c r="R36" i="4"/>
  <c r="R170" i="4"/>
  <c r="R417" i="4"/>
  <c r="R140" i="4"/>
  <c r="R110" i="4"/>
  <c r="R495" i="4"/>
  <c r="R451" i="4"/>
  <c r="R357" i="4"/>
  <c r="R44" i="4"/>
  <c r="R377" i="4"/>
  <c r="R410" i="4"/>
  <c r="R121" i="4"/>
  <c r="R188" i="4"/>
  <c r="R117" i="4"/>
  <c r="R241" i="4"/>
  <c r="R470" i="4"/>
  <c r="R293" i="4"/>
  <c r="R390" i="4"/>
  <c r="R501" i="4"/>
  <c r="R323" i="4"/>
  <c r="R128" i="4"/>
  <c r="R418" i="4"/>
  <c r="R480" i="4"/>
  <c r="R184" i="4"/>
  <c r="R394" i="4"/>
  <c r="R153" i="4"/>
  <c r="R402" i="4"/>
  <c r="R10" i="4"/>
  <c r="R468" i="4"/>
  <c r="R400" i="4"/>
  <c r="R152" i="4"/>
  <c r="R439" i="4"/>
  <c r="R157" i="4"/>
  <c r="R459" i="4"/>
  <c r="R351" i="4"/>
  <c r="R369" i="4"/>
  <c r="R47" i="4"/>
  <c r="R192" i="4"/>
  <c r="R245" i="4"/>
  <c r="R226" i="4"/>
  <c r="R436" i="4"/>
  <c r="R28" i="4"/>
  <c r="R270" i="4"/>
  <c r="R150" i="4"/>
  <c r="R147" i="4"/>
  <c r="R303" i="4"/>
  <c r="R164" i="4"/>
  <c r="R102" i="4"/>
  <c r="R16" i="4"/>
  <c r="R69" i="4"/>
  <c r="R336" i="4"/>
  <c r="R264" i="4"/>
  <c r="R208" i="4"/>
  <c r="R325" i="4"/>
  <c r="R59" i="4"/>
  <c r="R85" i="4"/>
  <c r="R244" i="4"/>
  <c r="R42" i="4"/>
  <c r="R78" i="4"/>
  <c r="R486" i="4"/>
  <c r="R349" i="4"/>
  <c r="R314" i="4"/>
  <c r="R278" i="4"/>
  <c r="R287" i="4"/>
  <c r="R246" i="4"/>
  <c r="R412" i="4"/>
  <c r="R360" i="4"/>
  <c r="R493" i="4"/>
  <c r="R11" i="4"/>
  <c r="R162" i="4"/>
  <c r="R159" i="4"/>
  <c r="R187" i="4"/>
  <c r="R106" i="4"/>
  <c r="R453" i="4"/>
  <c r="R111" i="4"/>
  <c r="R267" i="4"/>
  <c r="R92" i="4"/>
  <c r="R482" i="4"/>
  <c r="R148" i="4"/>
  <c r="R90" i="4"/>
  <c r="R195" i="4"/>
  <c r="R243" i="4"/>
  <c r="R45" i="4"/>
  <c r="R175" i="4"/>
  <c r="R321" i="4"/>
  <c r="R230" i="4"/>
  <c r="R299" i="4"/>
  <c r="R169" i="4"/>
  <c r="R365" i="4"/>
  <c r="R61" i="4"/>
  <c r="R194" i="4"/>
  <c r="R118" i="4"/>
  <c r="R320" i="4"/>
  <c r="R389" i="4"/>
  <c r="R124" i="4"/>
  <c r="R75" i="4"/>
  <c r="R171" i="4"/>
  <c r="R46" i="4"/>
  <c r="R426" i="4"/>
  <c r="R327" i="4"/>
  <c r="R70" i="4"/>
  <c r="R95" i="4"/>
  <c r="R73" i="4"/>
  <c r="R228" i="4"/>
  <c r="R331" i="4"/>
  <c r="R285" i="4"/>
  <c r="R358" i="4"/>
  <c r="R68" i="4"/>
  <c r="R423" i="4"/>
  <c r="R454" i="4"/>
  <c r="R473" i="4"/>
  <c r="R461" i="4"/>
  <c r="R348" i="4"/>
  <c r="R421" i="4"/>
  <c r="R275" i="4"/>
  <c r="R280" i="4"/>
  <c r="R234" i="4"/>
  <c r="R174" i="4"/>
  <c r="R414" i="4"/>
  <c r="R463" i="4"/>
  <c r="R432" i="4"/>
  <c r="R203" i="4"/>
  <c r="R274" i="4"/>
  <c r="R326" i="4"/>
  <c r="R213" i="4"/>
  <c r="R24" i="4"/>
  <c r="R342" i="4"/>
  <c r="R126" i="4"/>
  <c r="R155" i="4"/>
  <c r="R173" i="4"/>
  <c r="R315" i="4"/>
  <c r="R399" i="4"/>
  <c r="R291" i="4"/>
  <c r="R492" i="4"/>
  <c r="R96" i="4"/>
  <c r="R335" i="4"/>
  <c r="R424" i="4"/>
  <c r="R408" i="4"/>
  <c r="R445" i="4"/>
  <c r="R317" i="4"/>
  <c r="R464" i="4"/>
  <c r="R498" i="4"/>
  <c r="R413" i="4"/>
  <c r="R434" i="4"/>
  <c r="R122" i="4"/>
  <c r="R131" i="4"/>
  <c r="R364" i="4"/>
  <c r="R165" i="4"/>
  <c r="R224" i="4"/>
  <c r="R265" i="4"/>
  <c r="R40" i="4"/>
  <c r="R281" i="4"/>
  <c r="R288" i="4"/>
  <c r="R204" i="4"/>
  <c r="R88" i="4"/>
  <c r="R373" i="4"/>
  <c r="R419" i="4"/>
  <c r="R58" i="4"/>
  <c r="R53" i="4"/>
  <c r="R378" i="4"/>
  <c r="R114" i="4"/>
  <c r="R160" i="4"/>
  <c r="R255" i="4"/>
  <c r="R362" i="4"/>
  <c r="R437" i="4"/>
  <c r="R481" i="4"/>
  <c r="R107" i="4"/>
  <c r="R71" i="4"/>
  <c r="R403" i="4"/>
  <c r="R497" i="4"/>
  <c r="R119" i="4"/>
  <c r="R100" i="4"/>
  <c r="R225" i="4"/>
  <c r="R376" i="4"/>
  <c r="R232" i="4"/>
  <c r="R485" i="4"/>
  <c r="R500" i="4"/>
  <c r="R23" i="4"/>
  <c r="R41" i="4"/>
  <c r="R136" i="4"/>
  <c r="R101" i="4"/>
  <c r="R283" i="4"/>
  <c r="R218" i="4"/>
  <c r="R54" i="4"/>
  <c r="R471" i="4"/>
  <c r="R56" i="4"/>
  <c r="R341" i="4"/>
  <c r="R431" i="4"/>
  <c r="R254" i="4"/>
  <c r="R65" i="4"/>
  <c r="R32" i="4"/>
  <c r="R295" i="4"/>
  <c r="R457" i="4"/>
  <c r="R435" i="4"/>
  <c r="R425" i="4"/>
  <c r="R415" i="4"/>
  <c r="R193" i="4"/>
  <c r="R466" i="4"/>
  <c r="R6" i="4"/>
  <c r="R105" i="4"/>
  <c r="R440" i="4"/>
  <c r="R242" i="4"/>
  <c r="R167" i="4"/>
  <c r="R491" i="4"/>
  <c r="R18" i="4"/>
  <c r="R496" i="4"/>
  <c r="R158" i="4"/>
  <c r="R322" i="4"/>
  <c r="D38" i="1"/>
  <c r="C8" i="4"/>
  <c r="F8" i="4"/>
  <c r="D147" i="1"/>
  <c r="E147" i="1" s="1"/>
  <c r="D148" i="1" s="1"/>
  <c r="D34" i="1" s="1"/>
  <c r="D33" i="1"/>
  <c r="E64" i="1" l="1"/>
  <c r="E29" i="1" s="1"/>
  <c r="D70" i="1"/>
  <c r="D160" i="1"/>
  <c r="D27" i="1"/>
  <c r="D162" i="1"/>
  <c r="F17" i="4"/>
  <c r="C17" i="4"/>
  <c r="D113" i="1"/>
  <c r="F30" i="4"/>
  <c r="F35" i="4"/>
  <c r="F33" i="4"/>
  <c r="D149" i="1"/>
  <c r="D150" i="1"/>
  <c r="S455" i="4" l="1"/>
  <c r="S482" i="4"/>
  <c r="S402" i="4"/>
  <c r="S367" i="4"/>
  <c r="S136" i="4"/>
  <c r="S277" i="4"/>
  <c r="S66" i="4"/>
  <c r="S55" i="4"/>
  <c r="S360" i="4"/>
  <c r="S45" i="4"/>
  <c r="S151" i="4"/>
  <c r="S244" i="4"/>
  <c r="S15" i="4"/>
  <c r="S502" i="4"/>
  <c r="S233" i="4"/>
  <c r="S342" i="4"/>
  <c r="S250" i="4"/>
  <c r="S44" i="4"/>
  <c r="S215" i="4"/>
  <c r="S211" i="4"/>
  <c r="S408" i="4"/>
  <c r="S47" i="4"/>
  <c r="S464" i="4"/>
  <c r="S480" i="4"/>
  <c r="S117" i="4"/>
  <c r="S81" i="4"/>
  <c r="S126" i="4"/>
  <c r="S252" i="4"/>
  <c r="S494" i="4"/>
  <c r="S239" i="4"/>
  <c r="S224" i="4"/>
  <c r="S307" i="4"/>
  <c r="S401" i="4"/>
  <c r="S90" i="4"/>
  <c r="S202" i="4"/>
  <c r="S116" i="4"/>
  <c r="S265" i="4"/>
  <c r="S410" i="4"/>
  <c r="S280" i="4"/>
  <c r="S436" i="4"/>
  <c r="S213" i="4"/>
  <c r="S343" i="4"/>
  <c r="S20" i="4"/>
  <c r="S452" i="4"/>
  <c r="S167" i="4"/>
  <c r="S65" i="4"/>
  <c r="S305" i="4"/>
  <c r="S111" i="4"/>
  <c r="S36" i="4"/>
  <c r="S322" i="4"/>
  <c r="S248" i="4"/>
  <c r="S170" i="4"/>
  <c r="S139" i="4"/>
  <c r="S17" i="4"/>
  <c r="S156" i="4"/>
  <c r="S235" i="4"/>
  <c r="S259" i="4"/>
  <c r="S327" i="4"/>
  <c r="S86" i="4"/>
  <c r="S329" i="4"/>
  <c r="S264" i="4"/>
  <c r="S356" i="4"/>
  <c r="S261" i="4"/>
  <c r="S303" i="4"/>
  <c r="S285" i="4"/>
  <c r="S119" i="4"/>
  <c r="S352" i="4"/>
  <c r="S190" i="4"/>
  <c r="S163" i="4"/>
  <c r="S338" i="4"/>
  <c r="S475" i="4"/>
  <c r="S435" i="4"/>
  <c r="S295" i="4"/>
  <c r="S422" i="4"/>
  <c r="S102" i="4"/>
  <c r="S476" i="4"/>
  <c r="S431" i="4"/>
  <c r="S75" i="4"/>
  <c r="S470" i="4"/>
  <c r="S103" i="4"/>
  <c r="S417" i="4"/>
  <c r="S466" i="4"/>
  <c r="S19" i="4"/>
  <c r="S204" i="4"/>
  <c r="S489" i="4"/>
  <c r="S183" i="4"/>
  <c r="S481" i="4"/>
  <c r="S461" i="4"/>
  <c r="S196" i="4"/>
  <c r="S176" i="4"/>
  <c r="S359" i="4"/>
  <c r="S312" i="4"/>
  <c r="S429" i="4"/>
  <c r="S64" i="4"/>
  <c r="S326" i="4"/>
  <c r="S293" i="4"/>
  <c r="S340" i="4"/>
  <c r="S219" i="4"/>
  <c r="S61" i="4"/>
  <c r="S38" i="4"/>
  <c r="S101" i="4"/>
  <c r="S59" i="4"/>
  <c r="S24" i="4"/>
  <c r="S115" i="4"/>
  <c r="S412" i="4"/>
  <c r="S82" i="4"/>
  <c r="S275" i="4"/>
  <c r="S147" i="4"/>
  <c r="S120" i="4"/>
  <c r="S486" i="4"/>
  <c r="S337" i="4"/>
  <c r="S234" i="4"/>
  <c r="S175" i="4"/>
  <c r="S266" i="4"/>
  <c r="S500" i="4"/>
  <c r="S301" i="4"/>
  <c r="S180" i="4"/>
  <c r="S71" i="4"/>
  <c r="S165" i="4"/>
  <c r="S205" i="4"/>
  <c r="S181" i="4"/>
  <c r="S34" i="4"/>
  <c r="S240" i="4"/>
  <c r="S168" i="4"/>
  <c r="S283" i="4"/>
  <c r="S391" i="4"/>
  <c r="S331" i="4"/>
  <c r="S42" i="4"/>
  <c r="S62" i="4"/>
  <c r="S107" i="4"/>
  <c r="S371" i="4"/>
  <c r="S154" i="4"/>
  <c r="S357" i="4"/>
  <c r="S93" i="4"/>
  <c r="S424" i="4"/>
  <c r="S257" i="4"/>
  <c r="S467" i="4"/>
  <c r="S432" i="4"/>
  <c r="S209" i="4"/>
  <c r="S169" i="4"/>
  <c r="S110" i="4"/>
  <c r="S477" i="4"/>
  <c r="S456" i="4"/>
  <c r="S177" i="4"/>
  <c r="S58" i="4"/>
  <c r="S428" i="4"/>
  <c r="S179" i="4"/>
  <c r="S479" i="4"/>
  <c r="S418" i="4"/>
  <c r="S231" i="4"/>
  <c r="S321" i="4"/>
  <c r="S287" i="4"/>
  <c r="S302" i="4"/>
  <c r="S56" i="4"/>
  <c r="S394" i="4"/>
  <c r="S427" i="4"/>
  <c r="S118" i="4"/>
  <c r="S227" i="4"/>
  <c r="S187" i="4"/>
  <c r="S296" i="4"/>
  <c r="S313" i="4"/>
  <c r="S483" i="4"/>
  <c r="S4" i="4"/>
  <c r="S72" i="4"/>
  <c r="S135" i="4"/>
  <c r="T135" i="4" s="1"/>
  <c r="S218" i="4"/>
  <c r="S73" i="4"/>
  <c r="S104" i="4"/>
  <c r="S80" i="4"/>
  <c r="S271" i="4"/>
  <c r="S488" i="4"/>
  <c r="S18" i="4"/>
  <c r="S217" i="4"/>
  <c r="S364" i="4"/>
  <c r="S12" i="4"/>
  <c r="S159" i="4"/>
  <c r="S6" i="4"/>
  <c r="S144" i="4"/>
  <c r="S496" i="4"/>
  <c r="S100" i="4"/>
  <c r="S290" i="4"/>
  <c r="S458" i="4"/>
  <c r="S324" i="4"/>
  <c r="S369" i="4"/>
  <c r="S438" i="4"/>
  <c r="S358" i="4"/>
  <c r="S96" i="4"/>
  <c r="S85" i="4"/>
  <c r="S354" i="4"/>
  <c r="S450" i="4"/>
  <c r="S46" i="4"/>
  <c r="S437" i="4"/>
  <c r="S171" i="4"/>
  <c r="S406" i="4"/>
  <c r="T406" i="4" s="1"/>
  <c r="S416" i="4"/>
  <c r="S193" i="4"/>
  <c r="S399" i="4"/>
  <c r="S319" i="4"/>
  <c r="S155" i="4"/>
  <c r="S145" i="4"/>
  <c r="S445" i="4"/>
  <c r="S30" i="4"/>
  <c r="S409" i="4"/>
  <c r="S149" i="4"/>
  <c r="S393" i="4"/>
  <c r="S127" i="4"/>
  <c r="S503" i="4"/>
  <c r="S323" i="4"/>
  <c r="S236" i="4"/>
  <c r="S310" i="4"/>
  <c r="S471" i="4"/>
  <c r="S365" i="4"/>
  <c r="AI4" i="4"/>
  <c r="S251" i="4"/>
  <c r="S131" i="4"/>
  <c r="S453" i="4"/>
  <c r="S311" i="4"/>
  <c r="S13" i="4"/>
  <c r="S347" i="4"/>
  <c r="S37" i="4"/>
  <c r="S52" i="4"/>
  <c r="S232" i="4"/>
  <c r="S243" i="4"/>
  <c r="S109" i="4"/>
  <c r="S299" i="4"/>
  <c r="S419" i="4"/>
  <c r="S140" i="4"/>
  <c r="S83" i="4"/>
  <c r="S385" i="4"/>
  <c r="S355" i="4"/>
  <c r="S490" i="4"/>
  <c r="S396" i="4"/>
  <c r="S300" i="4"/>
  <c r="S421" i="4"/>
  <c r="S348" i="4"/>
  <c r="S495" i="4"/>
  <c r="S414" i="4"/>
  <c r="S122" i="4"/>
  <c r="S446" i="4"/>
  <c r="S166" i="4"/>
  <c r="S372" i="4"/>
  <c r="S247" i="4"/>
  <c r="S188" i="4"/>
  <c r="S137" i="4"/>
  <c r="S463" i="4"/>
  <c r="S32" i="4"/>
  <c r="S377" i="4"/>
  <c r="S21" i="4"/>
  <c r="S10" i="4"/>
  <c r="S40" i="4"/>
  <c r="S447" i="4"/>
  <c r="S267" i="4"/>
  <c r="S411" i="4"/>
  <c r="S97" i="4"/>
  <c r="S186" i="4"/>
  <c r="S465" i="4"/>
  <c r="S229" i="4"/>
  <c r="S451" i="4"/>
  <c r="S274" i="4"/>
  <c r="S184" i="4"/>
  <c r="S124" i="4"/>
  <c r="S173" i="4"/>
  <c r="S77" i="4"/>
  <c r="S210" i="4"/>
  <c r="S373" i="4"/>
  <c r="S87" i="4"/>
  <c r="S316" i="4"/>
  <c r="S172" i="4"/>
  <c r="S174" i="4"/>
  <c r="S123" i="4"/>
  <c r="S25" i="4"/>
  <c r="S442" i="4"/>
  <c r="S497" i="4"/>
  <c r="S378" i="4"/>
  <c r="S328" i="4"/>
  <c r="S99" i="4"/>
  <c r="S457" i="4"/>
  <c r="S294" i="4"/>
  <c r="S26" i="4"/>
  <c r="S95" i="4"/>
  <c r="S434" i="4"/>
  <c r="S35" i="4"/>
  <c r="S76" i="4"/>
  <c r="S405" i="4"/>
  <c r="S245" i="4"/>
  <c r="S191" i="4"/>
  <c r="S397" i="4"/>
  <c r="S214" i="4"/>
  <c r="S203" i="4"/>
  <c r="S314" i="4"/>
  <c r="S112" i="4"/>
  <c r="S28" i="4"/>
  <c r="S346" i="4"/>
  <c r="S292" i="4"/>
  <c r="S370" i="4"/>
  <c r="S493" i="4"/>
  <c r="S153" i="4"/>
  <c r="S420" i="4"/>
  <c r="S129" i="4"/>
  <c r="S288" i="4"/>
  <c r="S381" i="4"/>
  <c r="S160" i="4"/>
  <c r="S443" i="4"/>
  <c r="S308" i="4"/>
  <c r="S260" i="4"/>
  <c r="S69" i="4"/>
  <c r="S94" i="4"/>
  <c r="S33" i="4"/>
  <c r="S444" i="4"/>
  <c r="S335" i="4"/>
  <c r="S281" i="4"/>
  <c r="S491" i="4"/>
  <c r="S469" i="4"/>
  <c r="S141" i="4"/>
  <c r="S384" i="4"/>
  <c r="S63" i="4"/>
  <c r="S273" i="4"/>
  <c r="S269" i="4"/>
  <c r="S254" i="4"/>
  <c r="S192" i="4"/>
  <c r="S105" i="4"/>
  <c r="S48" i="4"/>
  <c r="S366" i="4"/>
  <c r="S501" i="4"/>
  <c r="S375" i="4"/>
  <c r="S362" i="4"/>
  <c r="S380" i="4"/>
  <c r="S468" i="4"/>
  <c r="S304" i="4"/>
  <c r="S499" i="4"/>
  <c r="S16" i="4"/>
  <c r="S387" i="4"/>
  <c r="S353" i="4"/>
  <c r="S426" i="4"/>
  <c r="S376" i="4"/>
  <c r="S185" i="4"/>
  <c r="S336" i="4"/>
  <c r="S208" i="4"/>
  <c r="S413" i="4"/>
  <c r="S108" i="4"/>
  <c r="S162" i="4"/>
  <c r="S258" i="4"/>
  <c r="S207" i="4"/>
  <c r="S415" i="4"/>
  <c r="S320" i="4"/>
  <c r="S132" i="4"/>
  <c r="S498" i="4"/>
  <c r="S386" i="4"/>
  <c r="S318" i="4"/>
  <c r="S164" i="4"/>
  <c r="S246" i="4"/>
  <c r="S220" i="4"/>
  <c r="S298" i="4"/>
  <c r="S400" i="4"/>
  <c r="S222" i="4"/>
  <c r="S374" i="4"/>
  <c r="S263" i="4"/>
  <c r="S130" i="4"/>
  <c r="S79" i="4"/>
  <c r="S68" i="4"/>
  <c r="S157" i="4"/>
  <c r="S242" i="4"/>
  <c r="S142" i="4"/>
  <c r="S230" i="4"/>
  <c r="S39" i="4"/>
  <c r="S349" i="4"/>
  <c r="S278" i="4"/>
  <c r="S332" i="4"/>
  <c r="S485" i="4"/>
  <c r="S341" i="4"/>
  <c r="S29" i="4"/>
  <c r="S333" i="4"/>
  <c r="S440" i="4"/>
  <c r="S182" i="4"/>
  <c r="S221" i="4"/>
  <c r="S339" i="4"/>
  <c r="S255" i="4"/>
  <c r="S268" i="4"/>
  <c r="S249" i="4"/>
  <c r="S134" i="4"/>
  <c r="S363" i="4"/>
  <c r="S113" i="4"/>
  <c r="S150" i="4"/>
  <c r="S454" i="4"/>
  <c r="S51" i="4"/>
  <c r="S344" i="4"/>
  <c r="S487" i="4"/>
  <c r="S315" i="4"/>
  <c r="S241" i="4"/>
  <c r="S474" i="4"/>
  <c r="S276" i="4"/>
  <c r="S449" i="4"/>
  <c r="S504" i="4"/>
  <c r="S392" i="4"/>
  <c r="S317" i="4"/>
  <c r="S5" i="4"/>
  <c r="S60" i="4"/>
  <c r="S448" i="4"/>
  <c r="S256" i="4"/>
  <c r="S351" i="4"/>
  <c r="S425" i="4"/>
  <c r="S423" i="4"/>
  <c r="S143" i="4"/>
  <c r="S441" i="4"/>
  <c r="S206" i="4"/>
  <c r="S201" i="4"/>
  <c r="S106" i="4"/>
  <c r="S194" i="4"/>
  <c r="S270" i="4"/>
  <c r="S350" i="4"/>
  <c r="S146" i="4"/>
  <c r="S88" i="4"/>
  <c r="S407" i="4"/>
  <c r="S462" i="4"/>
  <c r="S128" i="4"/>
  <c r="S54" i="4"/>
  <c r="S8" i="4"/>
  <c r="S125" i="4"/>
  <c r="S67" i="4"/>
  <c r="S138" i="4"/>
  <c r="S439" i="4"/>
  <c r="S225" i="4"/>
  <c r="S226" i="4"/>
  <c r="S57" i="4"/>
  <c r="S89" i="4"/>
  <c r="S238" i="4"/>
  <c r="S91" i="4"/>
  <c r="S78" i="4"/>
  <c r="S309" i="4"/>
  <c r="S430" i="4"/>
  <c r="S195" i="4"/>
  <c r="S23" i="4"/>
  <c r="S189" i="4"/>
  <c r="S70" i="4"/>
  <c r="S460" i="4"/>
  <c r="S383" i="4"/>
  <c r="S272" i="4"/>
  <c r="S198" i="4"/>
  <c r="S395" i="4"/>
  <c r="S361" i="4"/>
  <c r="S237" i="4"/>
  <c r="S398" i="4"/>
  <c r="S98" i="4"/>
  <c r="S22" i="4"/>
  <c r="S158" i="4"/>
  <c r="S404" i="4"/>
  <c r="S7" i="4"/>
  <c r="S27" i="4"/>
  <c r="S199" i="4"/>
  <c r="S178" i="4"/>
  <c r="S473" i="4"/>
  <c r="S388" i="4"/>
  <c r="S133" i="4"/>
  <c r="S291" i="4"/>
  <c r="S325" i="4"/>
  <c r="S282" i="4"/>
  <c r="S43" i="4"/>
  <c r="S492" i="4"/>
  <c r="S148" i="4"/>
  <c r="S345" i="4"/>
  <c r="S286" i="4"/>
  <c r="S53" i="4"/>
  <c r="S223" i="4"/>
  <c r="S114" i="4"/>
  <c r="S433" i="4"/>
  <c r="S74" i="4"/>
  <c r="S216" i="4"/>
  <c r="S478" i="4"/>
  <c r="S382" i="4"/>
  <c r="S11" i="4"/>
  <c r="S389" i="4"/>
  <c r="S484" i="4"/>
  <c r="S200" i="4"/>
  <c r="S262" i="4"/>
  <c r="S306" i="4"/>
  <c r="S161" i="4"/>
  <c r="S121" i="4"/>
  <c r="S92" i="4"/>
  <c r="S297" i="4"/>
  <c r="S84" i="4"/>
  <c r="S289" i="4"/>
  <c r="S459" i="4"/>
  <c r="S50" i="4"/>
  <c r="S390" i="4"/>
  <c r="S9" i="4"/>
  <c r="S228" i="4"/>
  <c r="S368" i="4"/>
  <c r="S403" i="4"/>
  <c r="S279" i="4"/>
  <c r="S330" i="4"/>
  <c r="S472" i="4"/>
  <c r="S253" i="4"/>
  <c r="S41" i="4"/>
  <c r="S334" i="4"/>
  <c r="S14" i="4"/>
  <c r="S284" i="4"/>
  <c r="S152" i="4"/>
  <c r="S379" i="4"/>
  <c r="S49" i="4"/>
  <c r="S31" i="4"/>
  <c r="S212" i="4"/>
  <c r="S197" i="4"/>
  <c r="X352" i="4"/>
  <c r="X487" i="4"/>
  <c r="X414" i="4"/>
  <c r="X316" i="4"/>
  <c r="X159" i="4"/>
  <c r="X310" i="4"/>
  <c r="X163" i="4"/>
  <c r="X72" i="4"/>
  <c r="X471" i="4"/>
  <c r="X341" i="4"/>
  <c r="X442" i="4"/>
  <c r="X274" i="4"/>
  <c r="X306" i="4"/>
  <c r="X142" i="4"/>
  <c r="X381" i="4"/>
  <c r="X302" i="4"/>
  <c r="X267" i="4"/>
  <c r="X322" i="4"/>
  <c r="X158" i="4"/>
  <c r="X324" i="4"/>
  <c r="X433" i="4"/>
  <c r="X82" i="4"/>
  <c r="X21" i="4"/>
  <c r="X221" i="4"/>
  <c r="X23" i="4"/>
  <c r="X189" i="4"/>
  <c r="X501" i="4"/>
  <c r="X112" i="4"/>
  <c r="X348" i="4"/>
  <c r="X347" i="4"/>
  <c r="X140" i="4"/>
  <c r="X89" i="4"/>
  <c r="X314" i="4"/>
  <c r="X369" i="4"/>
  <c r="X477" i="4"/>
  <c r="X432" i="4"/>
  <c r="X130" i="4"/>
  <c r="X125" i="4"/>
  <c r="X457" i="4"/>
  <c r="X169" i="4"/>
  <c r="X74" i="4"/>
  <c r="X398" i="4"/>
  <c r="X504" i="4"/>
  <c r="X124" i="4"/>
  <c r="X143" i="4"/>
  <c r="X338" i="4"/>
  <c r="X301" i="4"/>
  <c r="X404" i="4"/>
  <c r="X373" i="4"/>
  <c r="X360" i="4"/>
  <c r="X473" i="4"/>
  <c r="X29" i="4"/>
  <c r="X11" i="4"/>
  <c r="X188" i="4"/>
  <c r="X131" i="4"/>
  <c r="X479" i="4"/>
  <c r="X330" i="4"/>
  <c r="X374" i="4"/>
  <c r="X356" i="4"/>
  <c r="X466" i="4"/>
  <c r="X55" i="4"/>
  <c r="X100" i="4"/>
  <c r="X409" i="4"/>
  <c r="X204" i="4"/>
  <c r="X58" i="4"/>
  <c r="X372" i="4"/>
  <c r="X69" i="4"/>
  <c r="X30" i="4"/>
  <c r="X93" i="4"/>
  <c r="X135" i="4"/>
  <c r="X387" i="4"/>
  <c r="X40" i="4"/>
  <c r="X339" i="4"/>
  <c r="X270" i="4"/>
  <c r="X264" i="4"/>
  <c r="X480" i="4"/>
  <c r="X485" i="4"/>
  <c r="X268" i="4"/>
  <c r="X395" i="4"/>
  <c r="X478" i="4"/>
  <c r="X153" i="4"/>
  <c r="X138" i="4"/>
  <c r="X26" i="4"/>
  <c r="X198" i="4"/>
  <c r="X490" i="4"/>
  <c r="X34" i="4"/>
  <c r="X54" i="4"/>
  <c r="X400" i="4"/>
  <c r="X375" i="4"/>
  <c r="X460" i="4"/>
  <c r="X45" i="4"/>
  <c r="X39" i="4"/>
  <c r="X295" i="4"/>
  <c r="X119" i="4"/>
  <c r="X20" i="4"/>
  <c r="X476" i="4"/>
  <c r="X245" i="4"/>
  <c r="X160" i="4"/>
  <c r="X239" i="4"/>
  <c r="X343" i="4"/>
  <c r="X154" i="4"/>
  <c r="X320" i="4"/>
  <c r="X65" i="4"/>
  <c r="X166" i="4"/>
  <c r="X222" i="4"/>
  <c r="X196" i="4"/>
  <c r="X145" i="4"/>
  <c r="X308" i="4"/>
  <c r="X144" i="4"/>
  <c r="X389" i="4"/>
  <c r="X349" i="4"/>
  <c r="X167" i="4"/>
  <c r="X456" i="4"/>
  <c r="X227" i="4"/>
  <c r="X489" i="4"/>
  <c r="X109" i="4"/>
  <c r="X364" i="4"/>
  <c r="X317" i="4"/>
  <c r="X118" i="4"/>
  <c r="X105" i="4"/>
  <c r="X448" i="4"/>
  <c r="X99" i="4"/>
  <c r="X436" i="4"/>
  <c r="X361" i="4"/>
  <c r="X129" i="4"/>
  <c r="X493" i="4"/>
  <c r="X298" i="4"/>
  <c r="X236" i="4"/>
  <c r="X48" i="4"/>
  <c r="X193" i="4"/>
  <c r="X92" i="4"/>
  <c r="X205" i="4"/>
  <c r="X260" i="4"/>
  <c r="X284" i="4"/>
  <c r="X202" i="4"/>
  <c r="X94" i="4"/>
  <c r="X206" i="4"/>
  <c r="X376" i="4"/>
  <c r="X13" i="4"/>
  <c r="X362" i="4"/>
  <c r="X416" i="4"/>
  <c r="X434" i="4"/>
  <c r="X218" i="4"/>
  <c r="X418" i="4"/>
  <c r="X371" i="4"/>
  <c r="X49" i="4"/>
  <c r="X32" i="4"/>
  <c r="X31" i="4"/>
  <c r="X486" i="4"/>
  <c r="X417" i="4"/>
  <c r="X304" i="4"/>
  <c r="X450" i="4"/>
  <c r="X359" i="4"/>
  <c r="X42" i="4"/>
  <c r="X407" i="4"/>
  <c r="X281" i="4"/>
  <c r="X459" i="4"/>
  <c r="X98" i="4"/>
  <c r="X106" i="4"/>
  <c r="X215" i="4"/>
  <c r="X327" i="4"/>
  <c r="X258" i="4"/>
  <c r="X410" i="4"/>
  <c r="X209" i="4"/>
  <c r="X113" i="4"/>
  <c r="X379" i="4"/>
  <c r="X108" i="4"/>
  <c r="X257" i="4"/>
  <c r="X139" i="4"/>
  <c r="X382" i="4"/>
  <c r="X437" i="4"/>
  <c r="X491" i="4"/>
  <c r="X488" i="4"/>
  <c r="X127" i="4"/>
  <c r="X7" i="4"/>
  <c r="X331" i="4"/>
  <c r="X255" i="4"/>
  <c r="X453" i="4"/>
  <c r="X226" i="4"/>
  <c r="X180" i="4"/>
  <c r="X261" i="4"/>
  <c r="X458" i="4"/>
  <c r="X73" i="4"/>
  <c r="X164" i="4"/>
  <c r="X313" i="4"/>
  <c r="X114" i="4"/>
  <c r="X122" i="4"/>
  <c r="X238" i="4"/>
  <c r="X97" i="4"/>
  <c r="X445" i="4"/>
  <c r="X51" i="4"/>
  <c r="X183" i="4"/>
  <c r="X232" i="4"/>
  <c r="X76" i="4"/>
  <c r="X406" i="4"/>
  <c r="X285" i="4"/>
  <c r="X321" i="4"/>
  <c r="X332" i="4"/>
  <c r="X455" i="4"/>
  <c r="X104" i="4"/>
  <c r="X248" i="4"/>
  <c r="X246" i="4"/>
  <c r="X272" i="4"/>
  <c r="X469" i="4"/>
  <c r="X259" i="4"/>
  <c r="X405" i="4"/>
  <c r="X61" i="4"/>
  <c r="X111" i="4"/>
  <c r="X217" i="4"/>
  <c r="X137" i="4"/>
  <c r="X22" i="4"/>
  <c r="X444" i="4"/>
  <c r="X24" i="4"/>
  <c r="X419" i="4"/>
  <c r="X402" i="4"/>
  <c r="X91" i="4"/>
  <c r="X271" i="4"/>
  <c r="X277" i="4"/>
  <c r="X435" i="4"/>
  <c r="X207" i="4"/>
  <c r="X438" i="4"/>
  <c r="X194" i="4"/>
  <c r="X390" i="4"/>
  <c r="X500" i="4"/>
  <c r="X287" i="4"/>
  <c r="X397" i="4"/>
  <c r="X141" i="4"/>
  <c r="X171" i="4"/>
  <c r="X447" i="4"/>
  <c r="X136" i="4"/>
  <c r="X38" i="4"/>
  <c r="X340" i="4"/>
  <c r="X503" i="4"/>
  <c r="X19" i="4"/>
  <c r="X17" i="4"/>
  <c r="X380" i="4"/>
  <c r="X365" i="4"/>
  <c r="X309" i="4"/>
  <c r="X116" i="4"/>
  <c r="X14" i="4"/>
  <c r="X273" i="4"/>
  <c r="X68" i="4"/>
  <c r="X345" i="4"/>
  <c r="X197" i="4"/>
  <c r="X244" i="4"/>
  <c r="X77" i="4"/>
  <c r="X176" i="4"/>
  <c r="X461" i="4"/>
  <c r="X155" i="4"/>
  <c r="X412" i="4"/>
  <c r="X399" i="4"/>
  <c r="X319" i="4"/>
  <c r="X120" i="4"/>
  <c r="X499" i="4"/>
  <c r="X228" i="4"/>
  <c r="X187" i="4"/>
  <c r="X279" i="4"/>
  <c r="X101" i="4"/>
  <c r="X168" i="4"/>
  <c r="X454" i="4"/>
  <c r="X146" i="4"/>
  <c r="X325" i="4"/>
  <c r="X394" i="4"/>
  <c r="X59" i="4"/>
  <c r="X367" i="4"/>
  <c r="X481" i="4"/>
  <c r="X498" i="4"/>
  <c r="X315" i="4"/>
  <c r="X354" i="4"/>
  <c r="X431" i="4"/>
  <c r="X233" i="4"/>
  <c r="X474" i="4"/>
  <c r="X203" i="4"/>
  <c r="X334" i="4"/>
  <c r="X33" i="4"/>
  <c r="X211" i="4"/>
  <c r="X186" i="4"/>
  <c r="X408" i="4"/>
  <c r="X429" i="4"/>
  <c r="X185" i="4"/>
  <c r="X84" i="4"/>
  <c r="X256" i="4"/>
  <c r="X208" i="4"/>
  <c r="X134" i="4"/>
  <c r="X200" i="4"/>
  <c r="X162" i="4"/>
  <c r="X172" i="4"/>
  <c r="X201" i="4"/>
  <c r="X107" i="4"/>
  <c r="X219" i="4"/>
  <c r="X165" i="4"/>
  <c r="X86" i="4"/>
  <c r="X451" i="4"/>
  <c r="X152" i="4"/>
  <c r="X103" i="4"/>
  <c r="X497" i="4"/>
  <c r="X123" i="4"/>
  <c r="X75" i="4"/>
  <c r="X452" i="4"/>
  <c r="X62" i="4"/>
  <c r="X291" i="4"/>
  <c r="X305" i="4"/>
  <c r="X240" i="4"/>
  <c r="X495" i="4"/>
  <c r="X252" i="4"/>
  <c r="X46" i="4"/>
  <c r="X386" i="4"/>
  <c r="X126" i="4"/>
  <c r="X57" i="4"/>
  <c r="X401" i="4"/>
  <c r="X342" i="4"/>
  <c r="X358" i="4"/>
  <c r="X210" i="4"/>
  <c r="X5" i="4"/>
  <c r="X177" i="4"/>
  <c r="X47" i="4"/>
  <c r="X56" i="4"/>
  <c r="X377" i="4"/>
  <c r="X421" i="4"/>
  <c r="X393" i="4"/>
  <c r="X70" i="4"/>
  <c r="X60" i="4"/>
  <c r="X50" i="4"/>
  <c r="X8" i="4"/>
  <c r="X79" i="4"/>
  <c r="X294" i="4"/>
  <c r="X148" i="4"/>
  <c r="X286" i="4"/>
  <c r="X266" i="4"/>
  <c r="X247" i="4"/>
  <c r="X110" i="4"/>
  <c r="X182" i="4"/>
  <c r="X150" i="4"/>
  <c r="X64" i="4"/>
  <c r="X468" i="4"/>
  <c r="X170" i="4"/>
  <c r="X52" i="4"/>
  <c r="X475" i="4"/>
  <c r="X173" i="4"/>
  <c r="X463" i="4"/>
  <c r="X223" i="4"/>
  <c r="X191" i="4"/>
  <c r="X396" i="4"/>
  <c r="X470" i="4"/>
  <c r="X87" i="4"/>
  <c r="X446" i="4"/>
  <c r="X190" i="4"/>
  <c r="X88" i="4"/>
  <c r="X346" i="4"/>
  <c r="X278" i="4"/>
  <c r="X230" i="4"/>
  <c r="X220" i="4"/>
  <c r="X9" i="4"/>
  <c r="X427" i="4"/>
  <c r="X303" i="4"/>
  <c r="X156" i="4"/>
  <c r="X199" i="4"/>
  <c r="X496" i="4"/>
  <c r="X128" i="4"/>
  <c r="X251" i="4"/>
  <c r="X290" i="4"/>
  <c r="X297" i="4"/>
  <c r="X102" i="4"/>
  <c r="X121" i="4"/>
  <c r="X43" i="4"/>
  <c r="X370" i="4"/>
  <c r="X368" i="4"/>
  <c r="X192" i="4"/>
  <c r="X423" i="4"/>
  <c r="X157" i="4"/>
  <c r="X472" i="4"/>
  <c r="X44" i="4"/>
  <c r="X299" i="4"/>
  <c r="X350" i="4"/>
  <c r="X12" i="4"/>
  <c r="X174" i="4"/>
  <c r="X449" i="4"/>
  <c r="X151" i="4"/>
  <c r="X276" i="4"/>
  <c r="X462" i="4"/>
  <c r="X231" i="4"/>
  <c r="X296" i="4"/>
  <c r="X115" i="4"/>
  <c r="X80" i="4"/>
  <c r="X149" i="4"/>
  <c r="X275" i="4"/>
  <c r="X133" i="4"/>
  <c r="X283" i="4"/>
  <c r="X502" i="4"/>
  <c r="X422" i="4"/>
  <c r="X378" i="4"/>
  <c r="X27" i="4"/>
  <c r="X81" i="4"/>
  <c r="X426" i="4"/>
  <c r="X179" i="4"/>
  <c r="X214" i="4"/>
  <c r="X293" i="4"/>
  <c r="X66" i="4"/>
  <c r="X443" i="4"/>
  <c r="X353" i="4"/>
  <c r="X311" i="4"/>
  <c r="X430" i="4"/>
  <c r="X16" i="4"/>
  <c r="X464" i="4"/>
  <c r="X307" i="4"/>
  <c r="X53" i="4"/>
  <c r="X328" i="4"/>
  <c r="X336" i="4"/>
  <c r="X253" i="4"/>
  <c r="X254" i="4"/>
  <c r="X225" i="4"/>
  <c r="X213" i="4"/>
  <c r="X216" i="4"/>
  <c r="X357" i="4"/>
  <c r="X323" i="4"/>
  <c r="X392" i="4"/>
  <c r="X250" i="4"/>
  <c r="X483" i="4"/>
  <c r="X292" i="4"/>
  <c r="X263" i="4"/>
  <c r="X383" i="4"/>
  <c r="X147" i="4"/>
  <c r="X411" i="4"/>
  <c r="X132" i="4"/>
  <c r="X482" i="4"/>
  <c r="X161" i="4"/>
  <c r="X388" i="4"/>
  <c r="X318" i="4"/>
  <c r="X415" i="4"/>
  <c r="X424" i="4"/>
  <c r="X181" i="4"/>
  <c r="X90" i="4"/>
  <c r="X384" i="4"/>
  <c r="X243" i="4"/>
  <c r="X262" i="4"/>
  <c r="X235" i="4"/>
  <c r="X465" i="4"/>
  <c r="X484" i="4"/>
  <c r="X289" i="4"/>
  <c r="X6" i="4"/>
  <c r="X385" i="4"/>
  <c r="X41" i="4"/>
  <c r="X35" i="4"/>
  <c r="X25" i="4"/>
  <c r="X10" i="4"/>
  <c r="X337" i="4"/>
  <c r="X440" i="4"/>
  <c r="X288" i="4"/>
  <c r="X63" i="4"/>
  <c r="X265" i="4"/>
  <c r="X280" i="4"/>
  <c r="X351" i="4"/>
  <c r="X237" i="4"/>
  <c r="X242" i="4"/>
  <c r="X96" i="4"/>
  <c r="X78" i="4"/>
  <c r="X333" i="4"/>
  <c r="X269" i="4"/>
  <c r="X71" i="4"/>
  <c r="X441" i="4"/>
  <c r="X4" i="4"/>
  <c r="X413" i="4"/>
  <c r="X403" i="4"/>
  <c r="X83" i="4"/>
  <c r="X312" i="4"/>
  <c r="X439" i="4"/>
  <c r="X229" i="4"/>
  <c r="X85" i="4"/>
  <c r="X18" i="4"/>
  <c r="X212" i="4"/>
  <c r="X355" i="4"/>
  <c r="X195" i="4"/>
  <c r="X175" i="4"/>
  <c r="X420" i="4"/>
  <c r="X326" i="4"/>
  <c r="X37" i="4"/>
  <c r="X344" i="4"/>
  <c r="X363" i="4"/>
  <c r="X28" i="4"/>
  <c r="X36" i="4"/>
  <c r="X329" i="4"/>
  <c r="X425" i="4"/>
  <c r="X15" i="4"/>
  <c r="X494" i="4"/>
  <c r="X95" i="4"/>
  <c r="X234" i="4"/>
  <c r="X224" i="4"/>
  <c r="X366" i="4"/>
  <c r="X467" i="4"/>
  <c r="X391" i="4"/>
  <c r="X428" i="4"/>
  <c r="X300" i="4"/>
  <c r="X67" i="4"/>
  <c r="X282" i="4"/>
  <c r="X241" i="4"/>
  <c r="X178" i="4"/>
  <c r="X335" i="4"/>
  <c r="X117" i="4"/>
  <c r="X184" i="4"/>
  <c r="X249" i="4"/>
  <c r="X492" i="4"/>
  <c r="T67" i="4" l="1"/>
  <c r="U67" i="4" s="1"/>
  <c r="T498" i="4"/>
  <c r="U498" i="4" s="1"/>
  <c r="Y498" i="4"/>
  <c r="Z498" i="4" s="1"/>
  <c r="T447" i="4"/>
  <c r="U447" i="4" s="1"/>
  <c r="T73" i="4"/>
  <c r="U73" i="4" s="1"/>
  <c r="T165" i="4"/>
  <c r="U165" i="4" s="1"/>
  <c r="Y165" i="4"/>
  <c r="Z165" i="4" s="1"/>
  <c r="T305" i="4"/>
  <c r="U305" i="4" s="1"/>
  <c r="Y305" i="4"/>
  <c r="Z305" i="4" s="1"/>
  <c r="T92" i="4"/>
  <c r="U92" i="4" s="1"/>
  <c r="T125" i="4"/>
  <c r="U125" i="4" s="1"/>
  <c r="T297" i="4"/>
  <c r="U297" i="4" s="1"/>
  <c r="T150" i="4"/>
  <c r="U150" i="4" s="1"/>
  <c r="T129" i="4"/>
  <c r="U129" i="4" s="1"/>
  <c r="T140" i="4"/>
  <c r="U140" i="4" s="1"/>
  <c r="T394" i="4"/>
  <c r="U394" i="4" s="1"/>
  <c r="T275" i="4"/>
  <c r="U275" i="4" s="1"/>
  <c r="T86" i="4"/>
  <c r="U86" i="4" s="1"/>
  <c r="T330" i="4"/>
  <c r="U330" i="4" s="1"/>
  <c r="Y330" i="4"/>
  <c r="T74" i="4"/>
  <c r="U74" i="4" s="1"/>
  <c r="T291" i="4"/>
  <c r="U291" i="4" s="1"/>
  <c r="Y291" i="4"/>
  <c r="Z291" i="4" s="1"/>
  <c r="T398" i="4"/>
  <c r="U398" i="4" s="1"/>
  <c r="T392" i="4"/>
  <c r="U392" i="4" s="1"/>
  <c r="T317" i="4"/>
  <c r="U317" i="4" s="1"/>
  <c r="T397" i="4"/>
  <c r="U397" i="4" s="1"/>
  <c r="T496" i="4"/>
  <c r="U496" i="4" s="1"/>
  <c r="T475" i="4"/>
  <c r="U475" i="4" s="1"/>
  <c r="T197" i="4"/>
  <c r="U197" i="4" s="1"/>
  <c r="T201" i="4"/>
  <c r="U201" i="4" s="1"/>
  <c r="T195" i="4"/>
  <c r="U195" i="4" s="1"/>
  <c r="T79" i="4"/>
  <c r="U79" i="4" s="1"/>
  <c r="T77" i="4"/>
  <c r="U77" i="4" s="1"/>
  <c r="T409" i="4"/>
  <c r="U409" i="4" s="1"/>
  <c r="T371" i="4"/>
  <c r="U371" i="4" s="1"/>
  <c r="T202" i="4"/>
  <c r="U202" i="4" s="1"/>
  <c r="T430" i="4"/>
  <c r="U430" i="4" s="1"/>
  <c r="T325" i="4"/>
  <c r="U325" i="4" s="1"/>
  <c r="T366" i="4"/>
  <c r="U366" i="4" s="1"/>
  <c r="T46" i="4"/>
  <c r="U46" i="4" s="1"/>
  <c r="T151" i="4"/>
  <c r="U151" i="4" s="1"/>
  <c r="T216" i="4"/>
  <c r="U216" i="4" s="1"/>
  <c r="T29" i="4"/>
  <c r="U29" i="4" s="1"/>
  <c r="T328" i="4"/>
  <c r="U328" i="4" s="1"/>
  <c r="T131" i="4"/>
  <c r="U131" i="4" s="1"/>
  <c r="T456" i="4"/>
  <c r="U456" i="4" s="1"/>
  <c r="T464" i="4"/>
  <c r="U464" i="4" s="1"/>
  <c r="T98" i="4"/>
  <c r="U98" i="4" s="1"/>
  <c r="T281" i="4"/>
  <c r="U281" i="4" s="1"/>
  <c r="T326" i="4"/>
  <c r="U326" i="4" s="1"/>
  <c r="T472" i="4"/>
  <c r="U472" i="4" s="1"/>
  <c r="T106" i="4"/>
  <c r="U106" i="4" s="1"/>
  <c r="T376" i="4"/>
  <c r="U376" i="4" s="1"/>
  <c r="T446" i="4"/>
  <c r="U446" i="4" s="1"/>
  <c r="T19" i="4"/>
  <c r="U19" i="4" s="1"/>
  <c r="T253" i="4"/>
  <c r="U253" i="4" s="1"/>
  <c r="T84" i="4"/>
  <c r="T478" i="4"/>
  <c r="U478" i="4" s="1"/>
  <c r="T282" i="4"/>
  <c r="U282" i="4" s="1"/>
  <c r="T22" i="4"/>
  <c r="U22" i="4" s="1"/>
  <c r="T23" i="4"/>
  <c r="U23" i="4" s="1"/>
  <c r="T138" i="4"/>
  <c r="U138" i="4" s="1"/>
  <c r="T194" i="4"/>
  <c r="T5" i="4"/>
  <c r="U5" i="4" s="1"/>
  <c r="T454" i="4"/>
  <c r="U454" i="4" s="1"/>
  <c r="T333" i="4"/>
  <c r="U333" i="4" s="1"/>
  <c r="T68" i="4"/>
  <c r="U68" i="4" s="1"/>
  <c r="T386" i="4"/>
  <c r="U386" i="4" s="1"/>
  <c r="T185" i="4"/>
  <c r="T501" i="4"/>
  <c r="U501" i="4" s="1"/>
  <c r="T491" i="4"/>
  <c r="U491" i="4" s="1"/>
  <c r="T288" i="4"/>
  <c r="U288" i="4" s="1"/>
  <c r="T214" i="4"/>
  <c r="U214" i="4" s="1"/>
  <c r="T99" i="4"/>
  <c r="U99" i="4" s="1"/>
  <c r="T210" i="4"/>
  <c r="T267" i="4"/>
  <c r="U267" i="4" s="1"/>
  <c r="T166" i="4"/>
  <c r="U166" i="4" s="1"/>
  <c r="T83" i="4"/>
  <c r="U83" i="4" s="1"/>
  <c r="T453" i="4"/>
  <c r="U453" i="4" s="1"/>
  <c r="T149" i="4"/>
  <c r="U149" i="4" s="1"/>
  <c r="T437" i="4"/>
  <c r="T100" i="4"/>
  <c r="U100" i="4" s="1"/>
  <c r="T104" i="4"/>
  <c r="U104" i="4" s="1"/>
  <c r="T427" i="4"/>
  <c r="U427" i="4" s="1"/>
  <c r="T177" i="4"/>
  <c r="U177" i="4" s="1"/>
  <c r="T154" i="4"/>
  <c r="U154" i="4" s="1"/>
  <c r="T205" i="4"/>
  <c r="T147" i="4"/>
  <c r="U147" i="4" s="1"/>
  <c r="T293" i="4"/>
  <c r="U293" i="4" s="1"/>
  <c r="T204" i="4"/>
  <c r="U204" i="4" s="1"/>
  <c r="T435" i="4"/>
  <c r="U435" i="4" s="1"/>
  <c r="T329" i="4"/>
  <c r="U329" i="4" s="1"/>
  <c r="T111" i="4"/>
  <c r="T116" i="4"/>
  <c r="U116" i="4" s="1"/>
  <c r="T480" i="4"/>
  <c r="U480" i="4" s="1"/>
  <c r="T244" i="4"/>
  <c r="U244" i="4" s="1"/>
  <c r="T113" i="4"/>
  <c r="U113" i="4" s="1"/>
  <c r="T341" i="4"/>
  <c r="U341" i="4" s="1"/>
  <c r="T130" i="4"/>
  <c r="T132" i="4"/>
  <c r="U132" i="4" s="1"/>
  <c r="T426" i="4"/>
  <c r="U426" i="4" s="1"/>
  <c r="T48" i="4"/>
  <c r="U48" i="4" s="1"/>
  <c r="T335" i="4"/>
  <c r="U335" i="4" s="1"/>
  <c r="T420" i="4"/>
  <c r="U420" i="4" s="1"/>
  <c r="T191" i="4"/>
  <c r="T378" i="4"/>
  <c r="U378" i="4" s="1"/>
  <c r="T173" i="4"/>
  <c r="U173" i="4" s="1"/>
  <c r="T40" i="4"/>
  <c r="U40" i="4" s="1"/>
  <c r="T122" i="4"/>
  <c r="U122" i="4" s="1"/>
  <c r="T419" i="4"/>
  <c r="U419" i="4" s="1"/>
  <c r="T251" i="4"/>
  <c r="T30" i="4"/>
  <c r="U30" i="4" s="1"/>
  <c r="T450" i="4"/>
  <c r="U450" i="4" s="1"/>
  <c r="T144" i="4"/>
  <c r="U144" i="4" s="1"/>
  <c r="T218" i="4"/>
  <c r="U218" i="4" s="1"/>
  <c r="T56" i="4"/>
  <c r="U56" i="4" s="1"/>
  <c r="T477" i="4"/>
  <c r="T107" i="4"/>
  <c r="U107" i="4" s="1"/>
  <c r="T71" i="4"/>
  <c r="U71" i="4" s="1"/>
  <c r="T82" i="4"/>
  <c r="U82" i="4" s="1"/>
  <c r="T64" i="4"/>
  <c r="U64" i="4" s="1"/>
  <c r="T466" i="4"/>
  <c r="U466" i="4" s="1"/>
  <c r="T338" i="4"/>
  <c r="T327" i="4"/>
  <c r="U327" i="4" s="1"/>
  <c r="T65" i="4"/>
  <c r="U65" i="4" s="1"/>
  <c r="T90" i="4"/>
  <c r="U90" i="4" s="1"/>
  <c r="T47" i="4"/>
  <c r="U47" i="4" s="1"/>
  <c r="T45" i="4"/>
  <c r="U45" i="4" s="1"/>
  <c r="T212" i="4"/>
  <c r="U212" i="4" s="1"/>
  <c r="T279" i="4"/>
  <c r="U279" i="4" s="1"/>
  <c r="T121" i="4"/>
  <c r="U121" i="4" s="1"/>
  <c r="T433" i="4"/>
  <c r="U433" i="4" s="1"/>
  <c r="T133" i="4"/>
  <c r="U133" i="4" s="1"/>
  <c r="T237" i="4"/>
  <c r="U237" i="4" s="1"/>
  <c r="T309" i="4"/>
  <c r="U309" i="4" s="1"/>
  <c r="T8" i="4"/>
  <c r="U8" i="4" s="1"/>
  <c r="T206" i="4"/>
  <c r="U206" i="4" s="1"/>
  <c r="T504" i="4"/>
  <c r="U504" i="4" s="1"/>
  <c r="T363" i="4"/>
  <c r="U363" i="4" s="1"/>
  <c r="T485" i="4"/>
  <c r="U485" i="4" s="1"/>
  <c r="T263" i="4"/>
  <c r="U263" i="4" s="1"/>
  <c r="T320" i="4"/>
  <c r="U320" i="4" s="1"/>
  <c r="T353" i="4"/>
  <c r="U353" i="4" s="1"/>
  <c r="T105" i="4"/>
  <c r="U105" i="4" s="1"/>
  <c r="T444" i="4"/>
  <c r="U444" i="4" s="1"/>
  <c r="T153" i="4"/>
  <c r="U153" i="4" s="1"/>
  <c r="T245" i="4"/>
  <c r="U245" i="4" s="1"/>
  <c r="T497" i="4"/>
  <c r="U497" i="4" s="1"/>
  <c r="T124" i="4"/>
  <c r="U124" i="4" s="1"/>
  <c r="T10" i="4"/>
  <c r="U10" i="4" s="1"/>
  <c r="T414" i="4"/>
  <c r="U414" i="4" s="1"/>
  <c r="T299" i="4"/>
  <c r="U299" i="4" s="1"/>
  <c r="T445" i="4"/>
  <c r="U445" i="4" s="1"/>
  <c r="T354" i="4"/>
  <c r="U354" i="4" s="1"/>
  <c r="T6" i="4"/>
  <c r="U6" i="4" s="1"/>
  <c r="Y135" i="4"/>
  <c r="Z135" i="4" s="1"/>
  <c r="U135" i="4"/>
  <c r="T302" i="4"/>
  <c r="U302" i="4" s="1"/>
  <c r="T110" i="4"/>
  <c r="U110" i="4" s="1"/>
  <c r="T62" i="4"/>
  <c r="U62" i="4" s="1"/>
  <c r="T180" i="4"/>
  <c r="U180" i="4" s="1"/>
  <c r="T412" i="4"/>
  <c r="U412" i="4" s="1"/>
  <c r="T429" i="4"/>
  <c r="U429" i="4" s="1"/>
  <c r="T417" i="4"/>
  <c r="U417" i="4" s="1"/>
  <c r="T163" i="4"/>
  <c r="U163" i="4" s="1"/>
  <c r="T259" i="4"/>
  <c r="U259" i="4" s="1"/>
  <c r="T167" i="4"/>
  <c r="U167" i="4" s="1"/>
  <c r="T401" i="4"/>
  <c r="U401" i="4" s="1"/>
  <c r="T408" i="4"/>
  <c r="U408" i="4" s="1"/>
  <c r="T360" i="4"/>
  <c r="U360" i="4" s="1"/>
  <c r="T31" i="4"/>
  <c r="U31" i="4" s="1"/>
  <c r="T403" i="4"/>
  <c r="U403" i="4" s="1"/>
  <c r="T161" i="4"/>
  <c r="U161" i="4" s="1"/>
  <c r="T114" i="4"/>
  <c r="U114" i="4" s="1"/>
  <c r="T388" i="4"/>
  <c r="U388" i="4" s="1"/>
  <c r="T361" i="4"/>
  <c r="U361" i="4" s="1"/>
  <c r="T78" i="4"/>
  <c r="U78" i="4" s="1"/>
  <c r="T54" i="4"/>
  <c r="U54" i="4" s="1"/>
  <c r="T441" i="4"/>
  <c r="U441" i="4" s="1"/>
  <c r="T449" i="4"/>
  <c r="U449" i="4" s="1"/>
  <c r="T134" i="4"/>
  <c r="U134" i="4" s="1"/>
  <c r="T332" i="4"/>
  <c r="U332" i="4" s="1"/>
  <c r="T374" i="4"/>
  <c r="U374" i="4" s="1"/>
  <c r="T415" i="4"/>
  <c r="U415" i="4" s="1"/>
  <c r="T387" i="4"/>
  <c r="U387" i="4" s="1"/>
  <c r="T192" i="4"/>
  <c r="U192" i="4" s="1"/>
  <c r="T33" i="4"/>
  <c r="U33" i="4" s="1"/>
  <c r="T493" i="4"/>
  <c r="U493" i="4" s="1"/>
  <c r="T405" i="4"/>
  <c r="U405" i="4" s="1"/>
  <c r="T442" i="4"/>
  <c r="U442" i="4" s="1"/>
  <c r="T184" i="4"/>
  <c r="U184" i="4" s="1"/>
  <c r="T21" i="4"/>
  <c r="U21" i="4" s="1"/>
  <c r="T495" i="4"/>
  <c r="U495" i="4" s="1"/>
  <c r="T109" i="4"/>
  <c r="U109" i="4" s="1"/>
  <c r="T365" i="4"/>
  <c r="U365" i="4" s="1"/>
  <c r="T145" i="4"/>
  <c r="U145" i="4" s="1"/>
  <c r="T85" i="4"/>
  <c r="U85" i="4" s="1"/>
  <c r="T159" i="4"/>
  <c r="U159" i="4" s="1"/>
  <c r="T72" i="4"/>
  <c r="U72" i="4" s="1"/>
  <c r="T287" i="4"/>
  <c r="U287" i="4" s="1"/>
  <c r="T169" i="4"/>
  <c r="U169" i="4" s="1"/>
  <c r="T42" i="4"/>
  <c r="U42" i="4" s="1"/>
  <c r="T301" i="4"/>
  <c r="U301" i="4" s="1"/>
  <c r="T115" i="4"/>
  <c r="U115" i="4" s="1"/>
  <c r="T312" i="4"/>
  <c r="U312" i="4" s="1"/>
  <c r="T103" i="4"/>
  <c r="U103" i="4" s="1"/>
  <c r="T190" i="4"/>
  <c r="U190" i="4" s="1"/>
  <c r="T235" i="4"/>
  <c r="U235" i="4" s="1"/>
  <c r="T452" i="4"/>
  <c r="U452" i="4" s="1"/>
  <c r="T307" i="4"/>
  <c r="U307" i="4" s="1"/>
  <c r="T211" i="4"/>
  <c r="U211" i="4" s="1"/>
  <c r="T55" i="4"/>
  <c r="U55" i="4" s="1"/>
  <c r="T49" i="4"/>
  <c r="U49" i="4" s="1"/>
  <c r="T368" i="4"/>
  <c r="U368" i="4" s="1"/>
  <c r="T306" i="4"/>
  <c r="U306" i="4" s="1"/>
  <c r="T223" i="4"/>
  <c r="U223" i="4" s="1"/>
  <c r="T473" i="4"/>
  <c r="U473" i="4" s="1"/>
  <c r="T395" i="4"/>
  <c r="U395" i="4" s="1"/>
  <c r="T91" i="4"/>
  <c r="U91" i="4" s="1"/>
  <c r="T128" i="4"/>
  <c r="U128" i="4" s="1"/>
  <c r="T143" i="4"/>
  <c r="U143" i="4" s="1"/>
  <c r="T276" i="4"/>
  <c r="U276" i="4" s="1"/>
  <c r="T249" i="4"/>
  <c r="U249" i="4" s="1"/>
  <c r="T278" i="4"/>
  <c r="U278" i="4" s="1"/>
  <c r="T222" i="4"/>
  <c r="U222" i="4" s="1"/>
  <c r="T207" i="4"/>
  <c r="U207" i="4" s="1"/>
  <c r="T16" i="4"/>
  <c r="U16" i="4" s="1"/>
  <c r="T254" i="4"/>
  <c r="U254" i="4" s="1"/>
  <c r="T94" i="4"/>
  <c r="U94" i="4" s="1"/>
  <c r="T370" i="4"/>
  <c r="U370" i="4" s="1"/>
  <c r="T76" i="4"/>
  <c r="U76" i="4" s="1"/>
  <c r="T25" i="4"/>
  <c r="U25" i="4" s="1"/>
  <c r="T274" i="4"/>
  <c r="U274" i="4" s="1"/>
  <c r="T377" i="4"/>
  <c r="U377" i="4" s="1"/>
  <c r="T348" i="4"/>
  <c r="U348" i="4" s="1"/>
  <c r="T243" i="4"/>
  <c r="U243" i="4" s="1"/>
  <c r="T471" i="4"/>
  <c r="U471" i="4" s="1"/>
  <c r="T155" i="4"/>
  <c r="U155" i="4" s="1"/>
  <c r="T96" i="4"/>
  <c r="U96" i="4" s="1"/>
  <c r="T12" i="4"/>
  <c r="U12" i="4" s="1"/>
  <c r="T4" i="4"/>
  <c r="U4" i="4" s="1"/>
  <c r="T321" i="4"/>
  <c r="U321" i="4" s="1"/>
  <c r="T209" i="4"/>
  <c r="U209" i="4" s="1"/>
  <c r="T331" i="4"/>
  <c r="U331" i="4" s="1"/>
  <c r="T500" i="4"/>
  <c r="U500" i="4" s="1"/>
  <c r="T24" i="4"/>
  <c r="U24" i="4" s="1"/>
  <c r="T359" i="4"/>
  <c r="U359" i="4" s="1"/>
  <c r="T470" i="4"/>
  <c r="U470" i="4" s="1"/>
  <c r="T352" i="4"/>
  <c r="U352" i="4" s="1"/>
  <c r="T156" i="4"/>
  <c r="U156" i="4" s="1"/>
  <c r="T20" i="4"/>
  <c r="U20" i="4" s="1"/>
  <c r="T224" i="4"/>
  <c r="U224" i="4" s="1"/>
  <c r="T215" i="4"/>
  <c r="U215" i="4" s="1"/>
  <c r="T66" i="4"/>
  <c r="U66" i="4" s="1"/>
  <c r="T379" i="4"/>
  <c r="U379" i="4" s="1"/>
  <c r="T228" i="4"/>
  <c r="U228" i="4" s="1"/>
  <c r="T262" i="4"/>
  <c r="U262" i="4" s="1"/>
  <c r="T53" i="4"/>
  <c r="U53" i="4" s="1"/>
  <c r="T178" i="4"/>
  <c r="U178" i="4" s="1"/>
  <c r="T198" i="4"/>
  <c r="U198" i="4" s="1"/>
  <c r="T238" i="4"/>
  <c r="U238" i="4" s="1"/>
  <c r="T462" i="4"/>
  <c r="U462" i="4" s="1"/>
  <c r="T423" i="4"/>
  <c r="U423" i="4" s="1"/>
  <c r="T474" i="4"/>
  <c r="U474" i="4" s="1"/>
  <c r="T268" i="4"/>
  <c r="U268" i="4" s="1"/>
  <c r="T349" i="4"/>
  <c r="U349" i="4" s="1"/>
  <c r="T400" i="4"/>
  <c r="U400" i="4" s="1"/>
  <c r="T258" i="4"/>
  <c r="U258" i="4" s="1"/>
  <c r="T499" i="4"/>
  <c r="U499" i="4" s="1"/>
  <c r="T269" i="4"/>
  <c r="T69" i="4"/>
  <c r="U69" i="4" s="1"/>
  <c r="T292" i="4"/>
  <c r="U292" i="4" s="1"/>
  <c r="T35" i="4"/>
  <c r="U35" i="4" s="1"/>
  <c r="T123" i="4"/>
  <c r="U123" i="4" s="1"/>
  <c r="T451" i="4"/>
  <c r="U451" i="4" s="1"/>
  <c r="T32" i="4"/>
  <c r="T421" i="4"/>
  <c r="U421" i="4" s="1"/>
  <c r="T232" i="4"/>
  <c r="U232" i="4" s="1"/>
  <c r="T310" i="4"/>
  <c r="U310" i="4" s="1"/>
  <c r="T319" i="4"/>
  <c r="U319" i="4" s="1"/>
  <c r="T358" i="4"/>
  <c r="U358" i="4" s="1"/>
  <c r="T364" i="4"/>
  <c r="T483" i="4"/>
  <c r="U483" i="4" s="1"/>
  <c r="T231" i="4"/>
  <c r="U231" i="4" s="1"/>
  <c r="T432" i="4"/>
  <c r="U432" i="4" s="1"/>
  <c r="T391" i="4"/>
  <c r="U391" i="4" s="1"/>
  <c r="T266" i="4"/>
  <c r="U266" i="4" s="1"/>
  <c r="T59" i="4"/>
  <c r="T176" i="4"/>
  <c r="U176" i="4" s="1"/>
  <c r="T75" i="4"/>
  <c r="U75" i="4" s="1"/>
  <c r="T119" i="4"/>
  <c r="U119" i="4" s="1"/>
  <c r="T17" i="4"/>
  <c r="T343" i="4"/>
  <c r="T239" i="4"/>
  <c r="T44" i="4"/>
  <c r="U44" i="4" s="1"/>
  <c r="T277" i="4"/>
  <c r="U277" i="4" s="1"/>
  <c r="Z330" i="4"/>
  <c r="AA330" i="4" s="1"/>
  <c r="AB330" i="4" s="1"/>
  <c r="T152" i="4"/>
  <c r="U152" i="4" s="1"/>
  <c r="T9" i="4"/>
  <c r="U9" i="4" s="1"/>
  <c r="T200" i="4"/>
  <c r="U200" i="4" s="1"/>
  <c r="T286" i="4"/>
  <c r="T199" i="4"/>
  <c r="U199" i="4" s="1"/>
  <c r="T272" i="4"/>
  <c r="U272" i="4" s="1"/>
  <c r="T89" i="4"/>
  <c r="U89" i="4" s="1"/>
  <c r="T407" i="4"/>
  <c r="U407" i="4" s="1"/>
  <c r="T425" i="4"/>
  <c r="U425" i="4" s="1"/>
  <c r="T241" i="4"/>
  <c r="T255" i="4"/>
  <c r="U255" i="4" s="1"/>
  <c r="T39" i="4"/>
  <c r="U39" i="4" s="1"/>
  <c r="T298" i="4"/>
  <c r="U298" i="4" s="1"/>
  <c r="T162" i="4"/>
  <c r="U162" i="4" s="1"/>
  <c r="T304" i="4"/>
  <c r="U304" i="4" s="1"/>
  <c r="T273" i="4"/>
  <c r="T260" i="4"/>
  <c r="U260" i="4" s="1"/>
  <c r="T346" i="4"/>
  <c r="U346" i="4" s="1"/>
  <c r="T434" i="4"/>
  <c r="U434" i="4" s="1"/>
  <c r="T174" i="4"/>
  <c r="U174" i="4" s="1"/>
  <c r="T229" i="4"/>
  <c r="U229" i="4" s="1"/>
  <c r="T463" i="4"/>
  <c r="T300" i="4"/>
  <c r="U300" i="4" s="1"/>
  <c r="T52" i="4"/>
  <c r="U52" i="4" s="1"/>
  <c r="T236" i="4"/>
  <c r="U236" i="4" s="1"/>
  <c r="T399" i="4"/>
  <c r="U399" i="4" s="1"/>
  <c r="T438" i="4"/>
  <c r="U438" i="4" s="1"/>
  <c r="T217" i="4"/>
  <c r="T313" i="4"/>
  <c r="U313" i="4" s="1"/>
  <c r="T418" i="4"/>
  <c r="U418" i="4" s="1"/>
  <c r="T467" i="4"/>
  <c r="U467" i="4" s="1"/>
  <c r="T283" i="4"/>
  <c r="U283" i="4" s="1"/>
  <c r="T175" i="4"/>
  <c r="U175" i="4" s="1"/>
  <c r="T101" i="4"/>
  <c r="T196" i="4"/>
  <c r="U196" i="4" s="1"/>
  <c r="T431" i="4"/>
  <c r="U431" i="4" s="1"/>
  <c r="T285" i="4"/>
  <c r="U285" i="4" s="1"/>
  <c r="T139" i="4"/>
  <c r="U139" i="4" s="1"/>
  <c r="T213" i="4"/>
  <c r="U213" i="4" s="1"/>
  <c r="T494" i="4"/>
  <c r="T250" i="4"/>
  <c r="U250" i="4" s="1"/>
  <c r="T136" i="4"/>
  <c r="U136" i="4" s="1"/>
  <c r="T284" i="4"/>
  <c r="U284" i="4" s="1"/>
  <c r="T390" i="4"/>
  <c r="U390" i="4" s="1"/>
  <c r="T484" i="4"/>
  <c r="U484" i="4" s="1"/>
  <c r="T345" i="4"/>
  <c r="T27" i="4"/>
  <c r="U27" i="4" s="1"/>
  <c r="T383" i="4"/>
  <c r="U383" i="4" s="1"/>
  <c r="T57" i="4"/>
  <c r="U57" i="4" s="1"/>
  <c r="T88" i="4"/>
  <c r="U88" i="4" s="1"/>
  <c r="T351" i="4"/>
  <c r="U351" i="4" s="1"/>
  <c r="T315" i="4"/>
  <c r="T339" i="4"/>
  <c r="U339" i="4" s="1"/>
  <c r="T230" i="4"/>
  <c r="U230" i="4" s="1"/>
  <c r="T220" i="4"/>
  <c r="U220" i="4" s="1"/>
  <c r="T108" i="4"/>
  <c r="U108" i="4" s="1"/>
  <c r="T468" i="4"/>
  <c r="U468" i="4" s="1"/>
  <c r="T63" i="4"/>
  <c r="T308" i="4"/>
  <c r="U308" i="4" s="1"/>
  <c r="T28" i="4"/>
  <c r="U28" i="4" s="1"/>
  <c r="T95" i="4"/>
  <c r="U95" i="4" s="1"/>
  <c r="T172" i="4"/>
  <c r="U172" i="4" s="1"/>
  <c r="T465" i="4"/>
  <c r="U465" i="4" s="1"/>
  <c r="T137" i="4"/>
  <c r="T396" i="4"/>
  <c r="U396" i="4" s="1"/>
  <c r="T37" i="4"/>
  <c r="U37" i="4" s="1"/>
  <c r="T323" i="4"/>
  <c r="U323" i="4" s="1"/>
  <c r="T193" i="4"/>
  <c r="U193" i="4" s="1"/>
  <c r="T369" i="4"/>
  <c r="U369" i="4" s="1"/>
  <c r="T18" i="4"/>
  <c r="T296" i="4"/>
  <c r="U296" i="4" s="1"/>
  <c r="T479" i="4"/>
  <c r="U479" i="4" s="1"/>
  <c r="T257" i="4"/>
  <c r="U257" i="4" s="1"/>
  <c r="T168" i="4"/>
  <c r="U168" i="4" s="1"/>
  <c r="T234" i="4"/>
  <c r="U234" i="4" s="1"/>
  <c r="T38" i="4"/>
  <c r="T461" i="4"/>
  <c r="U461" i="4" s="1"/>
  <c r="T476" i="4"/>
  <c r="U476" i="4" s="1"/>
  <c r="Y476" i="4"/>
  <c r="Z476" i="4" s="1"/>
  <c r="T303" i="4"/>
  <c r="U303" i="4" s="1"/>
  <c r="T170" i="4"/>
  <c r="U170" i="4" s="1"/>
  <c r="T436" i="4"/>
  <c r="U436" i="4" s="1"/>
  <c r="T252" i="4"/>
  <c r="T342" i="4"/>
  <c r="U342" i="4" s="1"/>
  <c r="T367" i="4"/>
  <c r="U367" i="4" s="1"/>
  <c r="T14" i="4"/>
  <c r="U14" i="4" s="1"/>
  <c r="T50" i="4"/>
  <c r="U50" i="4" s="1"/>
  <c r="T389" i="4"/>
  <c r="U389" i="4" s="1"/>
  <c r="T148" i="4"/>
  <c r="T7" i="4"/>
  <c r="T460" i="4"/>
  <c r="U460" i="4" s="1"/>
  <c r="T226" i="4"/>
  <c r="U226" i="4" s="1"/>
  <c r="T146" i="4"/>
  <c r="U146" i="4" s="1"/>
  <c r="T256" i="4"/>
  <c r="U256" i="4" s="1"/>
  <c r="T487" i="4"/>
  <c r="T221" i="4"/>
  <c r="U221" i="4" s="1"/>
  <c r="T142" i="4"/>
  <c r="U142" i="4" s="1"/>
  <c r="T246" i="4"/>
  <c r="U246" i="4" s="1"/>
  <c r="T413" i="4"/>
  <c r="U413" i="4" s="1"/>
  <c r="T380" i="4"/>
  <c r="U380" i="4" s="1"/>
  <c r="T384" i="4"/>
  <c r="T443" i="4"/>
  <c r="U443" i="4" s="1"/>
  <c r="T112" i="4"/>
  <c r="U112" i="4" s="1"/>
  <c r="T26" i="4"/>
  <c r="U26" i="4" s="1"/>
  <c r="T316" i="4"/>
  <c r="U316" i="4" s="1"/>
  <c r="T186" i="4"/>
  <c r="U186" i="4" s="1"/>
  <c r="T188" i="4"/>
  <c r="T490" i="4"/>
  <c r="U490" i="4" s="1"/>
  <c r="T347" i="4"/>
  <c r="U347" i="4" s="1"/>
  <c r="T503" i="4"/>
  <c r="U503" i="4" s="1"/>
  <c r="T416" i="4"/>
  <c r="U416" i="4" s="1"/>
  <c r="T324" i="4"/>
  <c r="U324" i="4" s="1"/>
  <c r="T488" i="4"/>
  <c r="T187" i="4"/>
  <c r="U187" i="4" s="1"/>
  <c r="T179" i="4"/>
  <c r="U179" i="4" s="1"/>
  <c r="T424" i="4"/>
  <c r="U424" i="4" s="1"/>
  <c r="T240" i="4"/>
  <c r="U240" i="4" s="1"/>
  <c r="T337" i="4"/>
  <c r="U337" i="4" s="1"/>
  <c r="T61" i="4"/>
  <c r="T481" i="4"/>
  <c r="U481" i="4" s="1"/>
  <c r="T102" i="4"/>
  <c r="U102" i="4" s="1"/>
  <c r="T261" i="4"/>
  <c r="U261" i="4" s="1"/>
  <c r="T248" i="4"/>
  <c r="U248" i="4" s="1"/>
  <c r="T280" i="4"/>
  <c r="U280" i="4" s="1"/>
  <c r="T126" i="4"/>
  <c r="T233" i="4"/>
  <c r="U233" i="4" s="1"/>
  <c r="T402" i="4"/>
  <c r="U402" i="4" s="1"/>
  <c r="T334" i="4"/>
  <c r="U334" i="4" s="1"/>
  <c r="T459" i="4"/>
  <c r="U459" i="4" s="1"/>
  <c r="T11" i="4"/>
  <c r="U11" i="4" s="1"/>
  <c r="T492" i="4"/>
  <c r="T404" i="4"/>
  <c r="U404" i="4" s="1"/>
  <c r="T70" i="4"/>
  <c r="U70" i="4" s="1"/>
  <c r="T225" i="4"/>
  <c r="U225" i="4" s="1"/>
  <c r="T350" i="4"/>
  <c r="U350" i="4" s="1"/>
  <c r="T448" i="4"/>
  <c r="U448" i="4" s="1"/>
  <c r="T344" i="4"/>
  <c r="T182" i="4"/>
  <c r="U182" i="4" s="1"/>
  <c r="T242" i="4"/>
  <c r="U242" i="4" s="1"/>
  <c r="T164" i="4"/>
  <c r="U164" i="4" s="1"/>
  <c r="T208" i="4"/>
  <c r="U208" i="4" s="1"/>
  <c r="T362" i="4"/>
  <c r="T141" i="4"/>
  <c r="T160" i="4"/>
  <c r="U160" i="4" s="1"/>
  <c r="T314" i="4"/>
  <c r="U314" i="4" s="1"/>
  <c r="T294" i="4"/>
  <c r="U294" i="4" s="1"/>
  <c r="T87" i="4"/>
  <c r="U87" i="4" s="1"/>
  <c r="T97" i="4"/>
  <c r="U97" i="4" s="1"/>
  <c r="T247" i="4"/>
  <c r="T355" i="4"/>
  <c r="U355" i="4" s="1"/>
  <c r="T13" i="4"/>
  <c r="U13" i="4" s="1"/>
  <c r="T127" i="4"/>
  <c r="U127" i="4" s="1"/>
  <c r="Y406" i="4"/>
  <c r="Z406" i="4" s="1"/>
  <c r="U406" i="4"/>
  <c r="T458" i="4"/>
  <c r="U458" i="4" s="1"/>
  <c r="T271" i="4"/>
  <c r="T227" i="4"/>
  <c r="U227" i="4" s="1"/>
  <c r="T428" i="4"/>
  <c r="U428" i="4" s="1"/>
  <c r="T93" i="4"/>
  <c r="U93" i="4" s="1"/>
  <c r="T34" i="4"/>
  <c r="U34" i="4" s="1"/>
  <c r="T486" i="4"/>
  <c r="U486" i="4" s="1"/>
  <c r="T219" i="4"/>
  <c r="T183" i="4"/>
  <c r="T422" i="4"/>
  <c r="U422" i="4" s="1"/>
  <c r="T356" i="4"/>
  <c r="U356" i="4" s="1"/>
  <c r="T322" i="4"/>
  <c r="U322" i="4" s="1"/>
  <c r="T410" i="4"/>
  <c r="U410" i="4" s="1"/>
  <c r="T81" i="4"/>
  <c r="T502" i="4"/>
  <c r="U502" i="4" s="1"/>
  <c r="T482" i="4"/>
  <c r="U482" i="4" s="1"/>
  <c r="T41" i="4"/>
  <c r="U41" i="4" s="1"/>
  <c r="T289" i="4"/>
  <c r="U289" i="4" s="1"/>
  <c r="T382" i="4"/>
  <c r="U382" i="4" s="1"/>
  <c r="T43" i="4"/>
  <c r="T158" i="4"/>
  <c r="U158" i="4" s="1"/>
  <c r="T189" i="4"/>
  <c r="T439" i="4"/>
  <c r="U439" i="4" s="1"/>
  <c r="T270" i="4"/>
  <c r="U270" i="4" s="1"/>
  <c r="T60" i="4"/>
  <c r="U60" i="4" s="1"/>
  <c r="T51" i="4"/>
  <c r="T440" i="4"/>
  <c r="U440" i="4" s="1"/>
  <c r="T157" i="4"/>
  <c r="U157" i="4" s="1"/>
  <c r="T318" i="4"/>
  <c r="U318" i="4" s="1"/>
  <c r="T336" i="4"/>
  <c r="U336" i="4" s="1"/>
  <c r="T375" i="4"/>
  <c r="U375" i="4" s="1"/>
  <c r="T469" i="4"/>
  <c r="T381" i="4"/>
  <c r="U381" i="4" s="1"/>
  <c r="T203" i="4"/>
  <c r="U203" i="4" s="1"/>
  <c r="T457" i="4"/>
  <c r="T373" i="4"/>
  <c r="U373" i="4" s="1"/>
  <c r="T411" i="4"/>
  <c r="U411" i="4" s="1"/>
  <c r="T372" i="4"/>
  <c r="T385" i="4"/>
  <c r="U385" i="4" s="1"/>
  <c r="T311" i="4"/>
  <c r="U311" i="4" s="1"/>
  <c r="T393" i="4"/>
  <c r="U393" i="4" s="1"/>
  <c r="T171" i="4"/>
  <c r="U171" i="4" s="1"/>
  <c r="T290" i="4"/>
  <c r="U290" i="4" s="1"/>
  <c r="T80" i="4"/>
  <c r="T118" i="4"/>
  <c r="U118" i="4" s="1"/>
  <c r="T58" i="4"/>
  <c r="U58" i="4" s="1"/>
  <c r="T357" i="4"/>
  <c r="U357" i="4" s="1"/>
  <c r="T181" i="4"/>
  <c r="T120" i="4"/>
  <c r="U120" i="4" s="1"/>
  <c r="T340" i="4"/>
  <c r="T489" i="4"/>
  <c r="U489" i="4" s="1"/>
  <c r="T295" i="4"/>
  <c r="U295" i="4" s="1"/>
  <c r="T264" i="4"/>
  <c r="U264" i="4" s="1"/>
  <c r="T36" i="4"/>
  <c r="U36" i="4" s="1"/>
  <c r="T265" i="4"/>
  <c r="U265" i="4" s="1"/>
  <c r="T117" i="4"/>
  <c r="T15" i="4"/>
  <c r="U15" i="4" s="1"/>
  <c r="T455" i="4"/>
  <c r="U455" i="4" s="1"/>
  <c r="AC330" i="4"/>
  <c r="N330" i="4" s="1"/>
  <c r="Y478" i="4" l="1"/>
  <c r="Z478" i="4" s="1"/>
  <c r="Y65" i="4"/>
  <c r="Z65" i="4" s="1"/>
  <c r="AA65" i="4" s="1"/>
  <c r="AC65" i="4" s="1"/>
  <c r="N65" i="4" s="1"/>
  <c r="Y295" i="4"/>
  <c r="Z295" i="4" s="1"/>
  <c r="AA295" i="4" s="1"/>
  <c r="Y336" i="4"/>
  <c r="Z336" i="4" s="1"/>
  <c r="AA336" i="4" s="1"/>
  <c r="Y465" i="4"/>
  <c r="Z465" i="4" s="1"/>
  <c r="Y427" i="4"/>
  <c r="Z427" i="4" s="1"/>
  <c r="Y99" i="4"/>
  <c r="Z99" i="4" s="1"/>
  <c r="Y28" i="4"/>
  <c r="Z28" i="4" s="1"/>
  <c r="AA28" i="4" s="1"/>
  <c r="AC28" i="4" s="1"/>
  <c r="N28" i="4" s="1"/>
  <c r="Y104" i="4"/>
  <c r="Z104" i="4" s="1"/>
  <c r="AA104" i="4" s="1"/>
  <c r="AC104" i="4" s="1"/>
  <c r="N104" i="4" s="1"/>
  <c r="AA476" i="4"/>
  <c r="AB476" i="4" s="1"/>
  <c r="Y226" i="4"/>
  <c r="Z226" i="4" s="1"/>
  <c r="AA226" i="4" s="1"/>
  <c r="Y383" i="4"/>
  <c r="Z383" i="4" s="1"/>
  <c r="AA383" i="4" s="1"/>
  <c r="AB383" i="4" s="1"/>
  <c r="Y341" i="4"/>
  <c r="Z341" i="4" s="1"/>
  <c r="AA341" i="4" s="1"/>
  <c r="Y193" i="4"/>
  <c r="Z193" i="4" s="1"/>
  <c r="AA193" i="4" s="1"/>
  <c r="AB193" i="4" s="1"/>
  <c r="Y166" i="4"/>
  <c r="Z166" i="4" s="1"/>
  <c r="AA166" i="4" s="1"/>
  <c r="Y68" i="4"/>
  <c r="Z68" i="4" s="1"/>
  <c r="AA68" i="4" s="1"/>
  <c r="Y90" i="4"/>
  <c r="Z90" i="4" s="1"/>
  <c r="AA90" i="4" s="1"/>
  <c r="Y475" i="4"/>
  <c r="Z475" i="4" s="1"/>
  <c r="AA475" i="4" s="1"/>
  <c r="AC475" i="4" s="1"/>
  <c r="N475" i="4" s="1"/>
  <c r="Y337" i="4"/>
  <c r="Z337" i="4" s="1"/>
  <c r="Y215" i="4"/>
  <c r="Z215" i="4" s="1"/>
  <c r="AA215" i="4" s="1"/>
  <c r="AB215" i="4" s="1"/>
  <c r="Y395" i="4"/>
  <c r="Z395" i="4" s="1"/>
  <c r="AA395" i="4" s="1"/>
  <c r="Y149" i="4"/>
  <c r="Z149" i="4" s="1"/>
  <c r="AA149" i="4" s="1"/>
  <c r="Y421" i="4"/>
  <c r="Z421" i="4" s="1"/>
  <c r="AA421" i="4" s="1"/>
  <c r="AB421" i="4" s="1"/>
  <c r="Y66" i="4"/>
  <c r="Z66" i="4" s="1"/>
  <c r="AA66" i="4" s="1"/>
  <c r="AC66" i="4" s="1"/>
  <c r="N66" i="4" s="1"/>
  <c r="Y92" i="4"/>
  <c r="Z92" i="4" s="1"/>
  <c r="AA92" i="4" s="1"/>
  <c r="Y323" i="4"/>
  <c r="Z323" i="4" s="1"/>
  <c r="AA323" i="4" s="1"/>
  <c r="Y196" i="4"/>
  <c r="Z196" i="4" s="1"/>
  <c r="AA196" i="4" s="1"/>
  <c r="Y473" i="4"/>
  <c r="Z473" i="4" s="1"/>
  <c r="AA473" i="4" s="1"/>
  <c r="Y204" i="4"/>
  <c r="Z204" i="4" s="1"/>
  <c r="AA204" i="4" s="1"/>
  <c r="Y288" i="4"/>
  <c r="Z288" i="4" s="1"/>
  <c r="AA288" i="4" s="1"/>
  <c r="Y140" i="4"/>
  <c r="Z140" i="4" s="1"/>
  <c r="Y73" i="4"/>
  <c r="Z73" i="4" s="1"/>
  <c r="Y13" i="4"/>
  <c r="Z13" i="4" s="1"/>
  <c r="AA13" i="4" s="1"/>
  <c r="AC13" i="4" s="1"/>
  <c r="N13" i="4" s="1"/>
  <c r="Y481" i="4"/>
  <c r="Z481" i="4" s="1"/>
  <c r="AA481" i="4" s="1"/>
  <c r="Y416" i="4"/>
  <c r="Z416" i="4" s="1"/>
  <c r="AA416" i="4" s="1"/>
  <c r="Y23" i="4"/>
  <c r="Z23" i="4" s="1"/>
  <c r="AA23" i="4" s="1"/>
  <c r="Y106" i="4"/>
  <c r="Z106" i="4" s="1"/>
  <c r="Y89" i="4"/>
  <c r="Z89" i="4" s="1"/>
  <c r="Y442" i="4"/>
  <c r="Z442" i="4" s="1"/>
  <c r="AA442" i="4" s="1"/>
  <c r="AB442" i="4" s="1"/>
  <c r="Y335" i="4"/>
  <c r="Z335" i="4" s="1"/>
  <c r="AA335" i="4" s="1"/>
  <c r="Y22" i="4"/>
  <c r="Z22" i="4" s="1"/>
  <c r="AA22" i="4" s="1"/>
  <c r="Y157" i="4"/>
  <c r="Z157" i="4" s="1"/>
  <c r="AA157" i="4" s="1"/>
  <c r="AB157" i="4" s="1"/>
  <c r="Y97" i="4"/>
  <c r="Z97" i="4" s="1"/>
  <c r="AA97" i="4" s="1"/>
  <c r="AB97" i="4" s="1"/>
  <c r="Y431" i="4"/>
  <c r="Z431" i="4" s="1"/>
  <c r="AA431" i="4" s="1"/>
  <c r="AC431" i="4" s="1"/>
  <c r="N431" i="4" s="1"/>
  <c r="Y231" i="4"/>
  <c r="Z231" i="4" s="1"/>
  <c r="AA231" i="4" s="1"/>
  <c r="Y4" i="4"/>
  <c r="Z4" i="4" s="1"/>
  <c r="AA4" i="4" s="1"/>
  <c r="Y370" i="4"/>
  <c r="Z370" i="4" s="1"/>
  <c r="AA370" i="4" s="1"/>
  <c r="Y405" i="4"/>
  <c r="Z405" i="4" s="1"/>
  <c r="AA405" i="4" s="1"/>
  <c r="Y240" i="4"/>
  <c r="Z240" i="4" s="1"/>
  <c r="AA240" i="4" s="1"/>
  <c r="AC240" i="4" s="1"/>
  <c r="N240" i="4" s="1"/>
  <c r="Y367" i="4"/>
  <c r="Z367" i="4" s="1"/>
  <c r="AA367" i="4" s="1"/>
  <c r="Y468" i="4"/>
  <c r="Z468" i="4" s="1"/>
  <c r="AA468" i="4" s="1"/>
  <c r="Y259" i="4"/>
  <c r="Z259" i="4" s="1"/>
  <c r="AA259" i="4" s="1"/>
  <c r="Y100" i="4"/>
  <c r="Z100" i="4" s="1"/>
  <c r="AA100" i="4" s="1"/>
  <c r="AA99" i="4"/>
  <c r="AA478" i="4"/>
  <c r="Y294" i="4"/>
  <c r="Z294" i="4" s="1"/>
  <c r="Y257" i="4"/>
  <c r="Z257" i="4" s="1"/>
  <c r="AA257" i="4" s="1"/>
  <c r="Y300" i="4"/>
  <c r="Z300" i="4" s="1"/>
  <c r="AA300" i="4" s="1"/>
  <c r="AB300" i="4" s="1"/>
  <c r="Y298" i="4"/>
  <c r="Z298" i="4" s="1"/>
  <c r="AA298" i="4" s="1"/>
  <c r="Y200" i="4"/>
  <c r="Z200" i="4" s="1"/>
  <c r="AA200" i="4" s="1"/>
  <c r="Y145" i="4"/>
  <c r="Z145" i="4" s="1"/>
  <c r="AA145" i="4" s="1"/>
  <c r="Y40" i="4"/>
  <c r="Z40" i="4" s="1"/>
  <c r="AA40" i="4" s="1"/>
  <c r="Y5" i="4"/>
  <c r="Z5" i="4" s="1"/>
  <c r="Y150" i="4"/>
  <c r="Z150" i="4" s="1"/>
  <c r="AA150" i="4" s="1"/>
  <c r="Y314" i="4"/>
  <c r="Z314" i="4" s="1"/>
  <c r="AA314" i="4" s="1"/>
  <c r="AB314" i="4" s="1"/>
  <c r="Y9" i="4"/>
  <c r="Z9" i="4" s="1"/>
  <c r="AA9" i="4" s="1"/>
  <c r="Y75" i="4"/>
  <c r="Z75" i="4" s="1"/>
  <c r="AA75" i="4" s="1"/>
  <c r="Y173" i="4"/>
  <c r="Z173" i="4" s="1"/>
  <c r="Y102" i="4"/>
  <c r="Z102" i="4" s="1"/>
  <c r="AA102" i="4" s="1"/>
  <c r="Y460" i="4"/>
  <c r="Z460" i="4" s="1"/>
  <c r="AA460" i="4" s="1"/>
  <c r="Y172" i="4"/>
  <c r="Z172" i="4" s="1"/>
  <c r="AA172" i="4" s="1"/>
  <c r="Y113" i="4"/>
  <c r="Z113" i="4" s="1"/>
  <c r="AA113" i="4" s="1"/>
  <c r="Y453" i="4"/>
  <c r="Z453" i="4" s="1"/>
  <c r="AA453" i="4" s="1"/>
  <c r="Y491" i="4"/>
  <c r="Z491" i="4" s="1"/>
  <c r="AA491" i="4" s="1"/>
  <c r="Y138" i="4"/>
  <c r="Z138" i="4" s="1"/>
  <c r="Y67" i="4"/>
  <c r="Z67" i="4" s="1"/>
  <c r="AA67" i="4" s="1"/>
  <c r="AC193" i="4"/>
  <c r="N193" i="4" s="1"/>
  <c r="Y290" i="4"/>
  <c r="Z290" i="4" s="1"/>
  <c r="AA290" i="4" s="1"/>
  <c r="AC290" i="4" s="1"/>
  <c r="N290" i="4" s="1"/>
  <c r="Y303" i="4"/>
  <c r="Z303" i="4" s="1"/>
  <c r="AA303" i="4" s="1"/>
  <c r="AB303" i="4" s="1"/>
  <c r="Y174" i="4"/>
  <c r="Z174" i="4" s="1"/>
  <c r="Y232" i="4"/>
  <c r="Z232" i="4" s="1"/>
  <c r="AA232" i="4" s="1"/>
  <c r="Y278" i="4"/>
  <c r="Z278" i="4" s="1"/>
  <c r="AA278" i="4" s="1"/>
  <c r="Y374" i="4"/>
  <c r="Z374" i="4" s="1"/>
  <c r="AA374" i="4" s="1"/>
  <c r="Y261" i="4"/>
  <c r="Z261" i="4" s="1"/>
  <c r="AA261" i="4" s="1"/>
  <c r="Y221" i="4"/>
  <c r="Z221" i="4" s="1"/>
  <c r="AA221" i="4" s="1"/>
  <c r="Y170" i="4"/>
  <c r="Z170" i="4" s="1"/>
  <c r="AA170" i="4" s="1"/>
  <c r="Y57" i="4"/>
  <c r="Z57" i="4" s="1"/>
  <c r="AA57" i="4" s="1"/>
  <c r="AC57" i="4" s="1"/>
  <c r="N57" i="4" s="1"/>
  <c r="Y175" i="4"/>
  <c r="Z175" i="4" s="1"/>
  <c r="AA175" i="4" s="1"/>
  <c r="Y52" i="4"/>
  <c r="Z52" i="4" s="1"/>
  <c r="AA52" i="4" s="1"/>
  <c r="AB52" i="4" s="1"/>
  <c r="Y407" i="4"/>
  <c r="Z407" i="4" s="1"/>
  <c r="AA407" i="4" s="1"/>
  <c r="Y69" i="4"/>
  <c r="Z69" i="4" s="1"/>
  <c r="AA69" i="4" s="1"/>
  <c r="Y321" i="4"/>
  <c r="Z321" i="4" s="1"/>
  <c r="AA321" i="4" s="1"/>
  <c r="Y190" i="4"/>
  <c r="Z190" i="4" s="1"/>
  <c r="AA190" i="4" s="1"/>
  <c r="Y62" i="4"/>
  <c r="Z62" i="4" s="1"/>
  <c r="AA62" i="4" s="1"/>
  <c r="Y82" i="4"/>
  <c r="Z82" i="4" s="1"/>
  <c r="AA82" i="4" s="1"/>
  <c r="Y30" i="4"/>
  <c r="Z30" i="4" s="1"/>
  <c r="AA30" i="4" s="1"/>
  <c r="Y333" i="4"/>
  <c r="Z333" i="4" s="1"/>
  <c r="AA333" i="4" s="1"/>
  <c r="Y282" i="4"/>
  <c r="Z282" i="4" s="1"/>
  <c r="AA282" i="4" s="1"/>
  <c r="Y46" i="4"/>
  <c r="Z46" i="4" s="1"/>
  <c r="AA46" i="4" s="1"/>
  <c r="Y242" i="4"/>
  <c r="Z242" i="4" s="1"/>
  <c r="Y459" i="4"/>
  <c r="Z459" i="4" s="1"/>
  <c r="AA459" i="4" s="1"/>
  <c r="AC459" i="4" s="1"/>
  <c r="N459" i="4" s="1"/>
  <c r="Y26" i="4"/>
  <c r="Z26" i="4" s="1"/>
  <c r="AA26" i="4" s="1"/>
  <c r="Y389" i="4"/>
  <c r="Z389" i="4" s="1"/>
  <c r="AA389" i="4" s="1"/>
  <c r="Y479" i="4"/>
  <c r="Z479" i="4" s="1"/>
  <c r="Y108" i="4"/>
  <c r="Z108" i="4" s="1"/>
  <c r="AA108" i="4" s="1"/>
  <c r="Y213" i="4"/>
  <c r="Z213" i="4" s="1"/>
  <c r="AA213" i="4" s="1"/>
  <c r="Y304" i="4"/>
  <c r="Z304" i="4" s="1"/>
  <c r="AA304" i="4" s="1"/>
  <c r="Y176" i="4"/>
  <c r="Z176" i="4" s="1"/>
  <c r="AA176" i="4" s="1"/>
  <c r="Y198" i="4"/>
  <c r="Z198" i="4" s="1"/>
  <c r="AA198" i="4" s="1"/>
  <c r="Y249" i="4"/>
  <c r="Z249" i="4" s="1"/>
  <c r="AA249" i="4" s="1"/>
  <c r="Y54" i="4"/>
  <c r="Z54" i="4" s="1"/>
  <c r="AA54" i="4" s="1"/>
  <c r="Y244" i="4"/>
  <c r="Z244" i="4" s="1"/>
  <c r="AA244" i="4" s="1"/>
  <c r="AA305" i="4"/>
  <c r="Y356" i="4"/>
  <c r="Z356" i="4" s="1"/>
  <c r="AA356" i="4" s="1"/>
  <c r="AC356" i="4" s="1"/>
  <c r="N356" i="4" s="1"/>
  <c r="Y334" i="4"/>
  <c r="Z334" i="4" s="1"/>
  <c r="AA334" i="4" s="1"/>
  <c r="Y112" i="4"/>
  <c r="Z112" i="4" s="1"/>
  <c r="AA112" i="4" s="1"/>
  <c r="AC112" i="4" s="1"/>
  <c r="N112" i="4" s="1"/>
  <c r="Y256" i="4"/>
  <c r="Z256" i="4" s="1"/>
  <c r="AA256" i="4" s="1"/>
  <c r="Y50" i="4"/>
  <c r="Z50" i="4" s="1"/>
  <c r="AA50" i="4" s="1"/>
  <c r="AB50" i="4" s="1"/>
  <c r="Y296" i="4"/>
  <c r="Z296" i="4" s="1"/>
  <c r="AA296" i="4" s="1"/>
  <c r="Y220" i="4"/>
  <c r="Z220" i="4" s="1"/>
  <c r="AA220" i="4" s="1"/>
  <c r="Y139" i="4"/>
  <c r="Z139" i="4" s="1"/>
  <c r="AA139" i="4" s="1"/>
  <c r="AC139" i="4" s="1"/>
  <c r="N139" i="4" s="1"/>
  <c r="Y277" i="4"/>
  <c r="Z277" i="4" s="1"/>
  <c r="Y178" i="4"/>
  <c r="Z178" i="4" s="1"/>
  <c r="AA178" i="4" s="1"/>
  <c r="Y107" i="4"/>
  <c r="Z107" i="4" s="1"/>
  <c r="AA107" i="4" s="1"/>
  <c r="Y419" i="4"/>
  <c r="Z419" i="4" s="1"/>
  <c r="AA419" i="4" s="1"/>
  <c r="Y480" i="4"/>
  <c r="Z480" i="4" s="1"/>
  <c r="AA480" i="4" s="1"/>
  <c r="Y382" i="4"/>
  <c r="Z382" i="4" s="1"/>
  <c r="AA382" i="4" s="1"/>
  <c r="Y127" i="4"/>
  <c r="Z127" i="4" s="1"/>
  <c r="AA127" i="4" s="1"/>
  <c r="AC127" i="4" s="1"/>
  <c r="N127" i="4" s="1"/>
  <c r="Y402" i="4"/>
  <c r="Z402" i="4" s="1"/>
  <c r="AA402" i="4" s="1"/>
  <c r="Y146" i="4"/>
  <c r="Z146" i="4" s="1"/>
  <c r="AA146" i="4" s="1"/>
  <c r="Y14" i="4"/>
  <c r="Z14" i="4" s="1"/>
  <c r="AA14" i="4" s="1"/>
  <c r="Y285" i="4"/>
  <c r="Z285" i="4" s="1"/>
  <c r="AA285" i="4" s="1"/>
  <c r="Y229" i="4"/>
  <c r="Z229" i="4" s="1"/>
  <c r="AA229" i="4" s="1"/>
  <c r="Y44" i="4"/>
  <c r="Z44" i="4" s="1"/>
  <c r="AA44" i="4" s="1"/>
  <c r="Y470" i="4"/>
  <c r="Z470" i="4" s="1"/>
  <c r="AA470" i="4" s="1"/>
  <c r="Y415" i="4"/>
  <c r="Z415" i="4" s="1"/>
  <c r="AA415" i="4" s="1"/>
  <c r="AA135" i="4"/>
  <c r="Y122" i="4"/>
  <c r="Z122" i="4" s="1"/>
  <c r="AA122" i="4" s="1"/>
  <c r="Y116" i="4"/>
  <c r="Z116" i="4" s="1"/>
  <c r="AA116" i="4" s="1"/>
  <c r="Y177" i="4"/>
  <c r="Z177" i="4" s="1"/>
  <c r="Y253" i="4"/>
  <c r="Z253" i="4" s="1"/>
  <c r="AA253" i="4" s="1"/>
  <c r="AB253" i="4" s="1"/>
  <c r="Y456" i="4"/>
  <c r="Z456" i="4" s="1"/>
  <c r="Y160" i="4"/>
  <c r="Z160" i="4" s="1"/>
  <c r="AA160" i="4" s="1"/>
  <c r="Y503" i="4"/>
  <c r="Z503" i="4" s="1"/>
  <c r="AA503" i="4" s="1"/>
  <c r="AC503" i="4" s="1"/>
  <c r="N503" i="4" s="1"/>
  <c r="Y39" i="4"/>
  <c r="Z39" i="4" s="1"/>
  <c r="AA39" i="4" s="1"/>
  <c r="Y349" i="4"/>
  <c r="Z349" i="4" s="1"/>
  <c r="AA349" i="4" s="1"/>
  <c r="Y42" i="4"/>
  <c r="Z42" i="4" s="1"/>
  <c r="AA42" i="4" s="1"/>
  <c r="Y163" i="4"/>
  <c r="Z163" i="4" s="1"/>
  <c r="AA163" i="4" s="1"/>
  <c r="Y56" i="4"/>
  <c r="Z56" i="4" s="1"/>
  <c r="AA56" i="4" s="1"/>
  <c r="Y132" i="4"/>
  <c r="Z132" i="4" s="1"/>
  <c r="AA132" i="4" s="1"/>
  <c r="Y501" i="4"/>
  <c r="Z501" i="4" s="1"/>
  <c r="AA501" i="4" s="1"/>
  <c r="AA138" i="4"/>
  <c r="Y41" i="4"/>
  <c r="Z41" i="4" s="1"/>
  <c r="AA41" i="4" s="1"/>
  <c r="Y70" i="4"/>
  <c r="Z70" i="4" s="1"/>
  <c r="AA70" i="4" s="1"/>
  <c r="Y234" i="4"/>
  <c r="Z234" i="4" s="1"/>
  <c r="AA234" i="4" s="1"/>
  <c r="AC234" i="4" s="1"/>
  <c r="N234" i="4" s="1"/>
  <c r="Y351" i="4"/>
  <c r="Z351" i="4" s="1"/>
  <c r="AA351" i="4" s="1"/>
  <c r="Y399" i="4"/>
  <c r="Z399" i="4" s="1"/>
  <c r="AA399" i="4" s="1"/>
  <c r="Y255" i="4"/>
  <c r="Z255" i="4" s="1"/>
  <c r="AA255" i="4" s="1"/>
  <c r="Y243" i="4"/>
  <c r="Z243" i="4" s="1"/>
  <c r="AA243" i="4" s="1"/>
  <c r="Y169" i="4"/>
  <c r="Z169" i="4" s="1"/>
  <c r="AA169" i="4" s="1"/>
  <c r="Y403" i="4"/>
  <c r="Z403" i="4" s="1"/>
  <c r="AA403" i="4" s="1"/>
  <c r="Y263" i="4"/>
  <c r="Z263" i="4" s="1"/>
  <c r="AA263" i="4" s="1"/>
  <c r="Y466" i="4"/>
  <c r="Z466" i="4" s="1"/>
  <c r="AA466" i="4" s="1"/>
  <c r="Y329" i="4"/>
  <c r="Z329" i="4" s="1"/>
  <c r="AA329" i="4" s="1"/>
  <c r="AA291" i="4"/>
  <c r="Y15" i="4"/>
  <c r="Z15" i="4" s="1"/>
  <c r="AA15" i="4" s="1"/>
  <c r="AB15" i="4" s="1"/>
  <c r="Y208" i="4"/>
  <c r="Z208" i="4" s="1"/>
  <c r="AA208" i="4" s="1"/>
  <c r="Y248" i="4"/>
  <c r="Z248" i="4" s="1"/>
  <c r="AA248" i="4" s="1"/>
  <c r="Y142" i="4"/>
  <c r="Z142" i="4" s="1"/>
  <c r="Y88" i="4"/>
  <c r="Z88" i="4" s="1"/>
  <c r="AA88" i="4" s="1"/>
  <c r="Y250" i="4"/>
  <c r="Z250" i="4" s="1"/>
  <c r="AA250" i="4" s="1"/>
  <c r="Y236" i="4"/>
  <c r="Z236" i="4" s="1"/>
  <c r="AA236" i="4" s="1"/>
  <c r="Y292" i="4"/>
  <c r="Z292" i="4" s="1"/>
  <c r="AA292" i="4" s="1"/>
  <c r="Y348" i="4"/>
  <c r="Z348" i="4" s="1"/>
  <c r="AA348" i="4" s="1"/>
  <c r="Y235" i="4"/>
  <c r="Z235" i="4" s="1"/>
  <c r="AA235" i="4" s="1"/>
  <c r="Y31" i="4"/>
  <c r="Z31" i="4" s="1"/>
  <c r="AA31" i="4" s="1"/>
  <c r="Y485" i="4"/>
  <c r="Z485" i="4" s="1"/>
  <c r="AA485" i="4" s="1"/>
  <c r="Y64" i="4"/>
  <c r="Z64" i="4" s="1"/>
  <c r="AA64" i="4" s="1"/>
  <c r="Y450" i="4"/>
  <c r="Z450" i="4" s="1"/>
  <c r="AA450" i="4" s="1"/>
  <c r="AA406" i="4"/>
  <c r="AC406" i="4" s="1"/>
  <c r="N406" i="4" s="1"/>
  <c r="Y424" i="4"/>
  <c r="Z424" i="4" s="1"/>
  <c r="AA424" i="4" s="1"/>
  <c r="Y347" i="4"/>
  <c r="Z347" i="4" s="1"/>
  <c r="AA347" i="4" s="1"/>
  <c r="Y37" i="4"/>
  <c r="Z37" i="4" s="1"/>
  <c r="AA37" i="4" s="1"/>
  <c r="Y484" i="4"/>
  <c r="Z484" i="4" s="1"/>
  <c r="AA484" i="4" s="1"/>
  <c r="Y283" i="4"/>
  <c r="Z283" i="4" s="1"/>
  <c r="AA283" i="4" s="1"/>
  <c r="Y434" i="4"/>
  <c r="Z434" i="4" s="1"/>
  <c r="AA434" i="4" s="1"/>
  <c r="Y272" i="4"/>
  <c r="Z272" i="4" s="1"/>
  <c r="AA272" i="4" s="1"/>
  <c r="Y245" i="4"/>
  <c r="Z245" i="4" s="1"/>
  <c r="AA245" i="4" s="1"/>
  <c r="Y212" i="4"/>
  <c r="Z212" i="4" s="1"/>
  <c r="AA212" i="4" s="1"/>
  <c r="Y327" i="4"/>
  <c r="Z327" i="4" s="1"/>
  <c r="AA327" i="4" s="1"/>
  <c r="Y420" i="4"/>
  <c r="Z420" i="4" s="1"/>
  <c r="AA420" i="4" s="1"/>
  <c r="Y435" i="4"/>
  <c r="Z435" i="4" s="1"/>
  <c r="AA435" i="4" s="1"/>
  <c r="Y83" i="4"/>
  <c r="Z83" i="4" s="1"/>
  <c r="AA83" i="4" s="1"/>
  <c r="Y454" i="4"/>
  <c r="Z454" i="4" s="1"/>
  <c r="AA454" i="4" s="1"/>
  <c r="Y36" i="4"/>
  <c r="Z36" i="4" s="1"/>
  <c r="AA36" i="4" s="1"/>
  <c r="AB36" i="4" s="1"/>
  <c r="Y502" i="4"/>
  <c r="Z502" i="4" s="1"/>
  <c r="AA502" i="4" s="1"/>
  <c r="Y34" i="4"/>
  <c r="Z34" i="4" s="1"/>
  <c r="AA34" i="4" s="1"/>
  <c r="AC34" i="4" s="1"/>
  <c r="N34" i="4" s="1"/>
  <c r="Y179" i="4"/>
  <c r="Z179" i="4" s="1"/>
  <c r="AA179" i="4" s="1"/>
  <c r="Y380" i="4"/>
  <c r="Z380" i="4" s="1"/>
  <c r="AA380" i="4" s="1"/>
  <c r="Y396" i="4"/>
  <c r="Z396" i="4" s="1"/>
  <c r="AA396" i="4" s="1"/>
  <c r="Y390" i="4"/>
  <c r="Z390" i="4" s="1"/>
  <c r="AA390" i="4" s="1"/>
  <c r="Y467" i="4"/>
  <c r="Z467" i="4" s="1"/>
  <c r="AA467" i="4" s="1"/>
  <c r="Y346" i="4"/>
  <c r="Z346" i="4" s="1"/>
  <c r="AA346" i="4" s="1"/>
  <c r="Y199" i="4"/>
  <c r="Z199" i="4" s="1"/>
  <c r="AA199" i="4" s="1"/>
  <c r="Y153" i="4"/>
  <c r="Z153" i="4" s="1"/>
  <c r="AA153" i="4" s="1"/>
  <c r="AA165" i="4"/>
  <c r="Y93" i="4"/>
  <c r="Z93" i="4" s="1"/>
  <c r="AA93" i="4" s="1"/>
  <c r="AC93" i="4" s="1"/>
  <c r="N93" i="4" s="1"/>
  <c r="Y350" i="4"/>
  <c r="Z350" i="4" s="1"/>
  <c r="AA350" i="4" s="1"/>
  <c r="Y186" i="4"/>
  <c r="Z186" i="4" s="1"/>
  <c r="AA186" i="4" s="1"/>
  <c r="Y413" i="4"/>
  <c r="Z413" i="4" s="1"/>
  <c r="Y284" i="4"/>
  <c r="Z284" i="4" s="1"/>
  <c r="Y418" i="4"/>
  <c r="Z418" i="4" s="1"/>
  <c r="AA418" i="4" s="1"/>
  <c r="Y260" i="4"/>
  <c r="Z260" i="4" s="1"/>
  <c r="AA260" i="4" s="1"/>
  <c r="Y445" i="4"/>
  <c r="Z445" i="4" s="1"/>
  <c r="Y309" i="4"/>
  <c r="Z309" i="4" s="1"/>
  <c r="AA309" i="4" s="1"/>
  <c r="Y45" i="4"/>
  <c r="Z45" i="4" s="1"/>
  <c r="AA45" i="4" s="1"/>
  <c r="Y218" i="4"/>
  <c r="Z218" i="4" s="1"/>
  <c r="AA218" i="4" s="1"/>
  <c r="Y48" i="4"/>
  <c r="Z48" i="4" s="1"/>
  <c r="AA48" i="4" s="1"/>
  <c r="Y293" i="4"/>
  <c r="Z293" i="4" s="1"/>
  <c r="AA293" i="4" s="1"/>
  <c r="Y267" i="4"/>
  <c r="Z267" i="4" s="1"/>
  <c r="AA267" i="4" s="1"/>
  <c r="AC157" i="4"/>
  <c r="N157" i="4" s="1"/>
  <c r="AC314" i="4"/>
  <c r="N314" i="4" s="1"/>
  <c r="AB503" i="4"/>
  <c r="Y393" i="4"/>
  <c r="Z393" i="4" s="1"/>
  <c r="AA393" i="4" s="1"/>
  <c r="AB393" i="4" s="1"/>
  <c r="Y428" i="4"/>
  <c r="Z428" i="4" s="1"/>
  <c r="AA428" i="4" s="1"/>
  <c r="Y225" i="4"/>
  <c r="Z225" i="4" s="1"/>
  <c r="Y324" i="4"/>
  <c r="Z324" i="4" s="1"/>
  <c r="AA324" i="4" s="1"/>
  <c r="Y316" i="4"/>
  <c r="Z316" i="4" s="1"/>
  <c r="AA316" i="4" s="1"/>
  <c r="Y246" i="4"/>
  <c r="Z246" i="4" s="1"/>
  <c r="AA246" i="4" s="1"/>
  <c r="Y369" i="4"/>
  <c r="Z369" i="4" s="1"/>
  <c r="AA369" i="4" s="1"/>
  <c r="Y136" i="4"/>
  <c r="Z136" i="4" s="1"/>
  <c r="AA136" i="4" s="1"/>
  <c r="Y313" i="4"/>
  <c r="Z313" i="4" s="1"/>
  <c r="AA313" i="4" s="1"/>
  <c r="Y425" i="4"/>
  <c r="Z425" i="4" s="1"/>
  <c r="AA425" i="4" s="1"/>
  <c r="Y299" i="4"/>
  <c r="Z299" i="4" s="1"/>
  <c r="AA299" i="4" s="1"/>
  <c r="Y237" i="4"/>
  <c r="Z237" i="4" s="1"/>
  <c r="AA237" i="4" s="1"/>
  <c r="AB237" i="4" s="1"/>
  <c r="Y47" i="4"/>
  <c r="Z47" i="4" s="1"/>
  <c r="AA47" i="4" s="1"/>
  <c r="Y144" i="4"/>
  <c r="Z144" i="4" s="1"/>
  <c r="AA144" i="4" s="1"/>
  <c r="Y426" i="4"/>
  <c r="Z426" i="4" s="1"/>
  <c r="AA426" i="4" s="1"/>
  <c r="Y147" i="4"/>
  <c r="Z147" i="4" s="1"/>
  <c r="AA147" i="4" s="1"/>
  <c r="Y386" i="4"/>
  <c r="Z386" i="4" s="1"/>
  <c r="AA386" i="4" s="1"/>
  <c r="Y409" i="4"/>
  <c r="Z409" i="4" s="1"/>
  <c r="AA409" i="4" s="1"/>
  <c r="AA498" i="4"/>
  <c r="Y385" i="4"/>
  <c r="Z385" i="4" s="1"/>
  <c r="AA385" i="4" s="1"/>
  <c r="AB385" i="4" s="1"/>
  <c r="Y422" i="4"/>
  <c r="Z422" i="4" s="1"/>
  <c r="AA422" i="4" s="1"/>
  <c r="Y87" i="4"/>
  <c r="Z87" i="4" s="1"/>
  <c r="AA87" i="4" s="1"/>
  <c r="Y164" i="4"/>
  <c r="Z164" i="4" s="1"/>
  <c r="AA164" i="4" s="1"/>
  <c r="Y280" i="4"/>
  <c r="Z280" i="4" s="1"/>
  <c r="AA280" i="4" s="1"/>
  <c r="Y436" i="4"/>
  <c r="Z436" i="4" s="1"/>
  <c r="AA436" i="4" s="1"/>
  <c r="Y168" i="4"/>
  <c r="Z168" i="4" s="1"/>
  <c r="AA168" i="4" s="1"/>
  <c r="Y95" i="4"/>
  <c r="Z95" i="4" s="1"/>
  <c r="Y230" i="4"/>
  <c r="Z230" i="4" s="1"/>
  <c r="AA230" i="4" s="1"/>
  <c r="Y27" i="4"/>
  <c r="Z27" i="4" s="1"/>
  <c r="AA27" i="4" s="1"/>
  <c r="Y438" i="4"/>
  <c r="Z438" i="4" s="1"/>
  <c r="AA438" i="4" s="1"/>
  <c r="Y162" i="4"/>
  <c r="Z162" i="4" s="1"/>
  <c r="AA162" i="4" s="1"/>
  <c r="Y152" i="4"/>
  <c r="Z152" i="4" s="1"/>
  <c r="AA152" i="4" s="1"/>
  <c r="Y483" i="4"/>
  <c r="Z483" i="4" s="1"/>
  <c r="AA483" i="4" s="1"/>
  <c r="Y268" i="4"/>
  <c r="Z268" i="4" s="1"/>
  <c r="AA268" i="4" s="1"/>
  <c r="Y359" i="4"/>
  <c r="Z359" i="4" s="1"/>
  <c r="AA359" i="4" s="1"/>
  <c r="Y94" i="4"/>
  <c r="Z94" i="4" s="1"/>
  <c r="AA94" i="4" s="1"/>
  <c r="Y365" i="4"/>
  <c r="Z365" i="4" s="1"/>
  <c r="AA365" i="4" s="1"/>
  <c r="Y78" i="4"/>
  <c r="Z78" i="4" s="1"/>
  <c r="AA78" i="4" s="1"/>
  <c r="Y110" i="4"/>
  <c r="Z110" i="4" s="1"/>
  <c r="Y71" i="4"/>
  <c r="Z71" i="4" s="1"/>
  <c r="AA71" i="4" s="1"/>
  <c r="Y378" i="4"/>
  <c r="Z378" i="4" s="1"/>
  <c r="AA378" i="4" s="1"/>
  <c r="Y154" i="4"/>
  <c r="Z154" i="4" s="1"/>
  <c r="AA154" i="4" s="1"/>
  <c r="Y214" i="4"/>
  <c r="Z214" i="4" s="1"/>
  <c r="AA214" i="4" s="1"/>
  <c r="AA106" i="4"/>
  <c r="U457" i="4"/>
  <c r="Y457" i="4"/>
  <c r="Z457" i="4" s="1"/>
  <c r="AB139" i="4"/>
  <c r="U241" i="4"/>
  <c r="Y241" i="4"/>
  <c r="Z241" i="4" s="1"/>
  <c r="U189" i="4"/>
  <c r="Y189" i="4"/>
  <c r="Z189" i="4" s="1"/>
  <c r="AC226" i="4"/>
  <c r="N226" i="4" s="1"/>
  <c r="AB226" i="4"/>
  <c r="U362" i="4"/>
  <c r="Y362" i="4"/>
  <c r="Z362" i="4" s="1"/>
  <c r="AB261" i="4"/>
  <c r="AC261" i="4"/>
  <c r="N261" i="4" s="1"/>
  <c r="AC300" i="4"/>
  <c r="N300" i="4" s="1"/>
  <c r="U252" i="4"/>
  <c r="Y252" i="4"/>
  <c r="Z252" i="4" s="1"/>
  <c r="U271" i="4"/>
  <c r="Y271" i="4"/>
  <c r="Z271" i="4" s="1"/>
  <c r="U7" i="4"/>
  <c r="Y7" i="4"/>
  <c r="Z7" i="4" s="1"/>
  <c r="AC221" i="4"/>
  <c r="N221" i="4" s="1"/>
  <c r="AB221" i="4"/>
  <c r="U181" i="4"/>
  <c r="Y181" i="4"/>
  <c r="Z181" i="4" s="1"/>
  <c r="AB431" i="4"/>
  <c r="U183" i="4"/>
  <c r="Y183" i="4"/>
  <c r="Z183" i="4" s="1"/>
  <c r="W265" i="4"/>
  <c r="V265" i="4"/>
  <c r="V171" i="4"/>
  <c r="W171" i="4"/>
  <c r="V318" i="4"/>
  <c r="W318" i="4"/>
  <c r="V482" i="4"/>
  <c r="W482" i="4"/>
  <c r="W227" i="4"/>
  <c r="V227" i="4"/>
  <c r="U247" i="4"/>
  <c r="Y247" i="4"/>
  <c r="Z247" i="4" s="1"/>
  <c r="V448" i="4"/>
  <c r="W448" i="4"/>
  <c r="W342" i="4"/>
  <c r="V342" i="4"/>
  <c r="U38" i="4"/>
  <c r="Y38" i="4"/>
  <c r="Z38" i="4" s="1"/>
  <c r="U286" i="4"/>
  <c r="Y286" i="4"/>
  <c r="Z286" i="4" s="1"/>
  <c r="U343" i="4"/>
  <c r="Y343" i="4"/>
  <c r="Z343" i="4" s="1"/>
  <c r="U84" i="4"/>
  <c r="Y84" i="4"/>
  <c r="Z84" i="4" s="1"/>
  <c r="U194" i="4"/>
  <c r="Y194" i="4"/>
  <c r="Z194" i="4" s="1"/>
  <c r="V36" i="4"/>
  <c r="W36" i="4"/>
  <c r="Y357" i="4"/>
  <c r="Z357" i="4" s="1"/>
  <c r="AA357" i="4" s="1"/>
  <c r="V393" i="4"/>
  <c r="W393" i="4"/>
  <c r="Y203" i="4"/>
  <c r="Z203" i="4" s="1"/>
  <c r="AA203" i="4" s="1"/>
  <c r="V157" i="4"/>
  <c r="W157" i="4"/>
  <c r="Y158" i="4"/>
  <c r="Z158" i="4" s="1"/>
  <c r="AA158" i="4" s="1"/>
  <c r="V502" i="4"/>
  <c r="W502" i="4"/>
  <c r="U219" i="4"/>
  <c r="Y219" i="4"/>
  <c r="Z219" i="4" s="1"/>
  <c r="Y458" i="4"/>
  <c r="Z458" i="4" s="1"/>
  <c r="AA458" i="4" s="1"/>
  <c r="W97" i="4"/>
  <c r="V97" i="4"/>
  <c r="Y443" i="4"/>
  <c r="Z443" i="4" s="1"/>
  <c r="AA443" i="4" s="1"/>
  <c r="V221" i="4"/>
  <c r="W221" i="4"/>
  <c r="U148" i="4"/>
  <c r="Y148" i="4"/>
  <c r="Z148" i="4" s="1"/>
  <c r="U273" i="4"/>
  <c r="Y273" i="4"/>
  <c r="Z273" i="4" s="1"/>
  <c r="U185" i="4"/>
  <c r="Y185" i="4"/>
  <c r="Z185" i="4" s="1"/>
  <c r="U17" i="4"/>
  <c r="Y17" i="4"/>
  <c r="Z17" i="4" s="1"/>
  <c r="Y264" i="4"/>
  <c r="Z264" i="4" s="1"/>
  <c r="AA264" i="4" s="1"/>
  <c r="W357" i="4"/>
  <c r="V357" i="4"/>
  <c r="Y311" i="4"/>
  <c r="Z311" i="4" s="1"/>
  <c r="AA311" i="4" s="1"/>
  <c r="W203" i="4"/>
  <c r="V203" i="4"/>
  <c r="Y440" i="4"/>
  <c r="Z440" i="4" s="1"/>
  <c r="AA440" i="4" s="1"/>
  <c r="W158" i="4"/>
  <c r="V158" i="4"/>
  <c r="U81" i="4"/>
  <c r="Y81" i="4"/>
  <c r="Z81" i="4" s="1"/>
  <c r="Y486" i="4"/>
  <c r="Z486" i="4" s="1"/>
  <c r="AA486" i="4" s="1"/>
  <c r="W458" i="4"/>
  <c r="V458" i="4"/>
  <c r="Y490" i="4"/>
  <c r="Z490" i="4" s="1"/>
  <c r="AA490" i="4" s="1"/>
  <c r="V443" i="4"/>
  <c r="W443" i="4"/>
  <c r="U487" i="4"/>
  <c r="Y487" i="4"/>
  <c r="Z487" i="4" s="1"/>
  <c r="U463" i="4"/>
  <c r="Y463" i="4"/>
  <c r="Z463" i="4" s="1"/>
  <c r="U364" i="4"/>
  <c r="Y364" i="4"/>
  <c r="Z364" i="4" s="1"/>
  <c r="W474" i="4"/>
  <c r="V474" i="4"/>
  <c r="U210" i="4"/>
  <c r="Y210" i="4"/>
  <c r="Z210" i="4" s="1"/>
  <c r="W264" i="4"/>
  <c r="V264" i="4"/>
  <c r="Y58" i="4"/>
  <c r="Z58" i="4" s="1"/>
  <c r="AA58" i="4" s="1"/>
  <c r="V311" i="4"/>
  <c r="W311" i="4"/>
  <c r="Y381" i="4"/>
  <c r="Z381" i="4" s="1"/>
  <c r="AA381" i="4" s="1"/>
  <c r="V440" i="4"/>
  <c r="W440" i="4"/>
  <c r="U43" i="4"/>
  <c r="Y43" i="4"/>
  <c r="Z43" i="4" s="1"/>
  <c r="Y410" i="4"/>
  <c r="Z410" i="4" s="1"/>
  <c r="AA410" i="4" s="1"/>
  <c r="V486" i="4"/>
  <c r="W486" i="4"/>
  <c r="W406" i="4"/>
  <c r="V406" i="4"/>
  <c r="V87" i="4"/>
  <c r="W87" i="4"/>
  <c r="Y187" i="4"/>
  <c r="Z187" i="4" s="1"/>
  <c r="AA187" i="4" s="1"/>
  <c r="W490" i="4"/>
  <c r="V490" i="4"/>
  <c r="U384" i="4"/>
  <c r="Y384" i="4"/>
  <c r="Z384" i="4" s="1"/>
  <c r="U217" i="4"/>
  <c r="Y217" i="4"/>
  <c r="Z217" i="4" s="1"/>
  <c r="U437" i="4"/>
  <c r="Y437" i="4"/>
  <c r="Z437" i="4" s="1"/>
  <c r="W410" i="4"/>
  <c r="V410" i="4"/>
  <c r="W187" i="4"/>
  <c r="V187" i="4"/>
  <c r="U188" i="4"/>
  <c r="Y188" i="4"/>
  <c r="Z188" i="4" s="1"/>
  <c r="U101" i="4"/>
  <c r="Y101" i="4"/>
  <c r="Z101" i="4" s="1"/>
  <c r="U205" i="4"/>
  <c r="Y205" i="4"/>
  <c r="Z205" i="4" s="1"/>
  <c r="W58" i="4"/>
  <c r="V58" i="4"/>
  <c r="V381" i="4"/>
  <c r="W381" i="4"/>
  <c r="U51" i="4"/>
  <c r="Y51" i="4"/>
  <c r="Z51" i="4" s="1"/>
  <c r="Y455" i="4"/>
  <c r="Z455" i="4" s="1"/>
  <c r="AA455" i="4" s="1"/>
  <c r="V295" i="4"/>
  <c r="W295" i="4"/>
  <c r="Y118" i="4"/>
  <c r="Z118" i="4" s="1"/>
  <c r="AA118" i="4" s="1"/>
  <c r="V385" i="4"/>
  <c r="W385" i="4"/>
  <c r="U469" i="4"/>
  <c r="Y469" i="4"/>
  <c r="Z469" i="4" s="1"/>
  <c r="Y60" i="4"/>
  <c r="Z60" i="4" s="1"/>
  <c r="AA60" i="4" s="1"/>
  <c r="W382" i="4"/>
  <c r="V382" i="4"/>
  <c r="Y322" i="4"/>
  <c r="Z322" i="4" s="1"/>
  <c r="AA322" i="4" s="1"/>
  <c r="V34" i="4"/>
  <c r="W34" i="4"/>
  <c r="Y233" i="4"/>
  <c r="Z233" i="4" s="1"/>
  <c r="AA233" i="4" s="1"/>
  <c r="W481" i="4"/>
  <c r="V481" i="4"/>
  <c r="U488" i="4"/>
  <c r="Y488" i="4"/>
  <c r="Z488" i="4" s="1"/>
  <c r="Y339" i="4"/>
  <c r="Z339" i="4" s="1"/>
  <c r="AA339" i="4" s="1"/>
  <c r="W27" i="4"/>
  <c r="V27" i="4"/>
  <c r="U494" i="4"/>
  <c r="Y494" i="4"/>
  <c r="Z494" i="4" s="1"/>
  <c r="U111" i="4"/>
  <c r="Y111" i="4"/>
  <c r="Z111" i="4" s="1"/>
  <c r="V455" i="4"/>
  <c r="W455" i="4"/>
  <c r="Y489" i="4"/>
  <c r="Z489" i="4" s="1"/>
  <c r="AA489" i="4" s="1"/>
  <c r="W118" i="4"/>
  <c r="V118" i="4"/>
  <c r="U372" i="4"/>
  <c r="Y372" i="4"/>
  <c r="Z372" i="4" s="1"/>
  <c r="Y375" i="4"/>
  <c r="Z375" i="4" s="1"/>
  <c r="AA375" i="4" s="1"/>
  <c r="W60" i="4"/>
  <c r="V60" i="4"/>
  <c r="Y289" i="4"/>
  <c r="Z289" i="4" s="1"/>
  <c r="AA289" i="4" s="1"/>
  <c r="W322" i="4"/>
  <c r="V322" i="4"/>
  <c r="Y404" i="4"/>
  <c r="Z404" i="4" s="1"/>
  <c r="AA404" i="4" s="1"/>
  <c r="V233" i="4"/>
  <c r="W233" i="4"/>
  <c r="U61" i="4"/>
  <c r="Y61" i="4"/>
  <c r="Z61" i="4" s="1"/>
  <c r="Y308" i="4"/>
  <c r="Z308" i="4" s="1"/>
  <c r="AA308" i="4" s="1"/>
  <c r="W339" i="4"/>
  <c r="V339" i="4"/>
  <c r="U345" i="4"/>
  <c r="Y345" i="4"/>
  <c r="Z345" i="4" s="1"/>
  <c r="U59" i="4"/>
  <c r="Y59" i="4"/>
  <c r="Z59" i="4" s="1"/>
  <c r="U269" i="4"/>
  <c r="Y269" i="4"/>
  <c r="Z269" i="4" s="1"/>
  <c r="U130" i="4"/>
  <c r="Y130" i="4"/>
  <c r="Z130" i="4" s="1"/>
  <c r="V489" i="4"/>
  <c r="W489" i="4"/>
  <c r="U80" i="4"/>
  <c r="Y80" i="4"/>
  <c r="Z80" i="4" s="1"/>
  <c r="Y411" i="4"/>
  <c r="Z411" i="4" s="1"/>
  <c r="AA411" i="4" s="1"/>
  <c r="W375" i="4"/>
  <c r="V375" i="4"/>
  <c r="Y270" i="4"/>
  <c r="Z270" i="4" s="1"/>
  <c r="AA270" i="4" s="1"/>
  <c r="W289" i="4"/>
  <c r="V289" i="4"/>
  <c r="Y182" i="4"/>
  <c r="Z182" i="4" s="1"/>
  <c r="AA182" i="4" s="1"/>
  <c r="W404" i="4"/>
  <c r="V404" i="4"/>
  <c r="U126" i="4"/>
  <c r="Y126" i="4"/>
  <c r="Z126" i="4" s="1"/>
  <c r="AA337" i="4"/>
  <c r="V308" i="4"/>
  <c r="W308" i="4"/>
  <c r="U315" i="4"/>
  <c r="Y315" i="4"/>
  <c r="Z315" i="4" s="1"/>
  <c r="W266" i="4"/>
  <c r="V266" i="4"/>
  <c r="U191" i="4"/>
  <c r="Y191" i="4"/>
  <c r="Z191" i="4" s="1"/>
  <c r="W15" i="4"/>
  <c r="V15" i="4"/>
  <c r="U340" i="4"/>
  <c r="Y340" i="4"/>
  <c r="Z340" i="4" s="1"/>
  <c r="V182" i="4"/>
  <c r="W182" i="4"/>
  <c r="U492" i="4"/>
  <c r="Y492" i="4"/>
  <c r="Z492" i="4" s="1"/>
  <c r="W337" i="4"/>
  <c r="V337" i="4"/>
  <c r="W396" i="4"/>
  <c r="V396" i="4"/>
  <c r="U63" i="4"/>
  <c r="Y63" i="4"/>
  <c r="Z63" i="4" s="1"/>
  <c r="U251" i="4"/>
  <c r="Y251" i="4"/>
  <c r="Z251" i="4" s="1"/>
  <c r="V270" i="4"/>
  <c r="W270" i="4"/>
  <c r="AC237" i="4"/>
  <c r="N237" i="4" s="1"/>
  <c r="AB406" i="4"/>
  <c r="U117" i="4"/>
  <c r="Y117" i="4"/>
  <c r="Z117" i="4" s="1"/>
  <c r="Y120" i="4"/>
  <c r="Z120" i="4" s="1"/>
  <c r="AA120" i="4" s="1"/>
  <c r="V290" i="4"/>
  <c r="W290" i="4"/>
  <c r="Y373" i="4"/>
  <c r="Z373" i="4" s="1"/>
  <c r="AA373" i="4" s="1"/>
  <c r="V336" i="4"/>
  <c r="W336" i="4"/>
  <c r="Y439" i="4"/>
  <c r="Z439" i="4" s="1"/>
  <c r="AA439" i="4" s="1"/>
  <c r="V41" i="4"/>
  <c r="W41" i="4"/>
  <c r="Y355" i="4"/>
  <c r="Z355" i="4" s="1"/>
  <c r="AA355" i="4" s="1"/>
  <c r="V160" i="4"/>
  <c r="W160" i="4"/>
  <c r="U344" i="4"/>
  <c r="Y344" i="4"/>
  <c r="Z344" i="4" s="1"/>
  <c r="Y11" i="4"/>
  <c r="Z11" i="4" s="1"/>
  <c r="AA11" i="4" s="1"/>
  <c r="V280" i="4"/>
  <c r="W280" i="4"/>
  <c r="Y461" i="4"/>
  <c r="Z461" i="4" s="1"/>
  <c r="AA461" i="4" s="1"/>
  <c r="W296" i="4"/>
  <c r="V296" i="4"/>
  <c r="U137" i="4"/>
  <c r="Y137" i="4"/>
  <c r="Z137" i="4" s="1"/>
  <c r="U477" i="4"/>
  <c r="Y477" i="4"/>
  <c r="Z477" i="4" s="1"/>
  <c r="W411" i="4"/>
  <c r="V411" i="4"/>
  <c r="Y265" i="4"/>
  <c r="Z265" i="4" s="1"/>
  <c r="AA265" i="4" s="1"/>
  <c r="V120" i="4"/>
  <c r="W120" i="4"/>
  <c r="Y171" i="4"/>
  <c r="Z171" i="4" s="1"/>
  <c r="AA171" i="4" s="1"/>
  <c r="V373" i="4"/>
  <c r="W373" i="4"/>
  <c r="Y318" i="4"/>
  <c r="Z318" i="4" s="1"/>
  <c r="AA318" i="4" s="1"/>
  <c r="V439" i="4"/>
  <c r="W439" i="4"/>
  <c r="Y482" i="4"/>
  <c r="Z482" i="4" s="1"/>
  <c r="AA482" i="4" s="1"/>
  <c r="Y227" i="4"/>
  <c r="Z227" i="4" s="1"/>
  <c r="AA227" i="4" s="1"/>
  <c r="V355" i="4"/>
  <c r="W355" i="4"/>
  <c r="U141" i="4"/>
  <c r="Y141" i="4"/>
  <c r="Z141" i="4" s="1"/>
  <c r="Y448" i="4"/>
  <c r="Z448" i="4" s="1"/>
  <c r="AA448" i="4" s="1"/>
  <c r="V11" i="4"/>
  <c r="W11" i="4"/>
  <c r="Y342" i="4"/>
  <c r="Z342" i="4" s="1"/>
  <c r="AA342" i="4" s="1"/>
  <c r="W461" i="4"/>
  <c r="V461" i="4"/>
  <c r="U18" i="4"/>
  <c r="Y18" i="4"/>
  <c r="Z18" i="4" s="1"/>
  <c r="U239" i="4"/>
  <c r="Y239" i="4"/>
  <c r="Z239" i="4" s="1"/>
  <c r="U32" i="4"/>
  <c r="Y32" i="4"/>
  <c r="Z32" i="4" s="1"/>
  <c r="U338" i="4"/>
  <c r="Y338" i="4"/>
  <c r="Z338" i="4" s="1"/>
  <c r="V391" i="4"/>
  <c r="W391" i="4"/>
  <c r="W319" i="4"/>
  <c r="V319" i="4"/>
  <c r="W123" i="4"/>
  <c r="V123" i="4"/>
  <c r="W258" i="4"/>
  <c r="V258" i="4"/>
  <c r="W462" i="4"/>
  <c r="V462" i="4"/>
  <c r="W228" i="4"/>
  <c r="V228" i="4"/>
  <c r="W156" i="4"/>
  <c r="V156" i="4"/>
  <c r="V331" i="4"/>
  <c r="W331" i="4"/>
  <c r="V155" i="4"/>
  <c r="W155" i="4"/>
  <c r="W25" i="4"/>
  <c r="V25" i="4"/>
  <c r="W207" i="4"/>
  <c r="V207" i="4"/>
  <c r="W128" i="4"/>
  <c r="V128" i="4"/>
  <c r="W368" i="4"/>
  <c r="V368" i="4"/>
  <c r="W307" i="4"/>
  <c r="V307" i="4"/>
  <c r="W115" i="4"/>
  <c r="V115" i="4"/>
  <c r="V159" i="4"/>
  <c r="W159" i="4"/>
  <c r="V21" i="4"/>
  <c r="W21" i="4"/>
  <c r="W192" i="4"/>
  <c r="V192" i="4"/>
  <c r="V449" i="4"/>
  <c r="W449" i="4"/>
  <c r="V114" i="4"/>
  <c r="W114" i="4"/>
  <c r="W401" i="4"/>
  <c r="V401" i="4"/>
  <c r="V412" i="4"/>
  <c r="W412" i="4"/>
  <c r="V6" i="4"/>
  <c r="W6" i="4"/>
  <c r="V124" i="4"/>
  <c r="W124" i="4"/>
  <c r="V353" i="4"/>
  <c r="W353" i="4"/>
  <c r="W206" i="4"/>
  <c r="V206" i="4"/>
  <c r="V121" i="4"/>
  <c r="W121" i="4"/>
  <c r="W19" i="4"/>
  <c r="V19" i="4"/>
  <c r="V281" i="4"/>
  <c r="W281" i="4"/>
  <c r="W29" i="4"/>
  <c r="V29" i="4"/>
  <c r="W430" i="4"/>
  <c r="V430" i="4"/>
  <c r="W195" i="4"/>
  <c r="V195" i="4"/>
  <c r="W317" i="4"/>
  <c r="V317" i="4"/>
  <c r="W86" i="4"/>
  <c r="V86" i="4"/>
  <c r="V297" i="4"/>
  <c r="W297" i="4"/>
  <c r="W447" i="4"/>
  <c r="V447" i="4"/>
  <c r="V422" i="4"/>
  <c r="W422" i="4"/>
  <c r="W428" i="4"/>
  <c r="V428" i="4"/>
  <c r="V13" i="4"/>
  <c r="W13" i="4"/>
  <c r="V314" i="4"/>
  <c r="W314" i="4"/>
  <c r="AA242" i="4"/>
  <c r="V242" i="4"/>
  <c r="W242" i="4"/>
  <c r="V70" i="4"/>
  <c r="W70" i="4"/>
  <c r="V402" i="4"/>
  <c r="W402" i="4"/>
  <c r="V102" i="4"/>
  <c r="W102" i="4"/>
  <c r="W179" i="4"/>
  <c r="V179" i="4"/>
  <c r="V347" i="4"/>
  <c r="W347" i="4"/>
  <c r="V112" i="4"/>
  <c r="W112" i="4"/>
  <c r="W142" i="4"/>
  <c r="V142" i="4"/>
  <c r="AA142" i="4"/>
  <c r="V460" i="4"/>
  <c r="W460" i="4"/>
  <c r="W367" i="4"/>
  <c r="V367" i="4"/>
  <c r="V476" i="4"/>
  <c r="W476" i="4"/>
  <c r="V479" i="4"/>
  <c r="AA479" i="4"/>
  <c r="W479" i="4"/>
  <c r="V37" i="4"/>
  <c r="W37" i="4"/>
  <c r="W28" i="4"/>
  <c r="V28" i="4"/>
  <c r="W230" i="4"/>
  <c r="V230" i="4"/>
  <c r="V383" i="4"/>
  <c r="W383" i="4"/>
  <c r="V136" i="4"/>
  <c r="W136" i="4"/>
  <c r="V431" i="4"/>
  <c r="W431" i="4"/>
  <c r="V418" i="4"/>
  <c r="W418" i="4"/>
  <c r="W52" i="4"/>
  <c r="V52" i="4"/>
  <c r="V346" i="4"/>
  <c r="W346" i="4"/>
  <c r="V39" i="4"/>
  <c r="W39" i="4"/>
  <c r="W272" i="4"/>
  <c r="V272" i="4"/>
  <c r="Y119" i="4"/>
  <c r="Z119" i="4" s="1"/>
  <c r="AA119" i="4" s="1"/>
  <c r="Y432" i="4"/>
  <c r="Z432" i="4" s="1"/>
  <c r="AA432" i="4" s="1"/>
  <c r="Y310" i="4"/>
  <c r="Z310" i="4" s="1"/>
  <c r="AA310" i="4" s="1"/>
  <c r="Y35" i="4"/>
  <c r="Z35" i="4" s="1"/>
  <c r="AA35" i="4" s="1"/>
  <c r="Y400" i="4"/>
  <c r="Z400" i="4" s="1"/>
  <c r="AA400" i="4" s="1"/>
  <c r="Y238" i="4"/>
  <c r="Z238" i="4" s="1"/>
  <c r="AA238" i="4" s="1"/>
  <c r="Y379" i="4"/>
  <c r="Z379" i="4" s="1"/>
  <c r="AA379" i="4" s="1"/>
  <c r="Y352" i="4"/>
  <c r="Z352" i="4" s="1"/>
  <c r="AA352" i="4" s="1"/>
  <c r="Y209" i="4"/>
  <c r="Z209" i="4" s="1"/>
  <c r="AA209" i="4" s="1"/>
  <c r="Y471" i="4"/>
  <c r="Z471" i="4" s="1"/>
  <c r="AA471" i="4" s="1"/>
  <c r="Y76" i="4"/>
  <c r="Z76" i="4" s="1"/>
  <c r="AA76" i="4" s="1"/>
  <c r="Y222" i="4"/>
  <c r="Z222" i="4" s="1"/>
  <c r="AA222" i="4" s="1"/>
  <c r="Y91" i="4"/>
  <c r="Z91" i="4" s="1"/>
  <c r="AA91" i="4" s="1"/>
  <c r="Y49" i="4"/>
  <c r="Z49" i="4" s="1"/>
  <c r="AA49" i="4" s="1"/>
  <c r="Y452" i="4"/>
  <c r="Z452" i="4" s="1"/>
  <c r="AA452" i="4" s="1"/>
  <c r="Y301" i="4"/>
  <c r="Z301" i="4" s="1"/>
  <c r="AA301" i="4" s="1"/>
  <c r="Y85" i="4"/>
  <c r="Z85" i="4" s="1"/>
  <c r="AA85" i="4" s="1"/>
  <c r="Y184" i="4"/>
  <c r="Z184" i="4" s="1"/>
  <c r="AA184" i="4" s="1"/>
  <c r="Y387" i="4"/>
  <c r="Z387" i="4" s="1"/>
  <c r="AA387" i="4" s="1"/>
  <c r="Y441" i="4"/>
  <c r="Z441" i="4" s="1"/>
  <c r="AA441" i="4" s="1"/>
  <c r="Y161" i="4"/>
  <c r="Z161" i="4" s="1"/>
  <c r="AA161" i="4" s="1"/>
  <c r="Y167" i="4"/>
  <c r="Z167" i="4" s="1"/>
  <c r="AA167" i="4" s="1"/>
  <c r="Y180" i="4"/>
  <c r="Z180" i="4" s="1"/>
  <c r="AA180" i="4" s="1"/>
  <c r="Y354" i="4"/>
  <c r="Z354" i="4" s="1"/>
  <c r="AA354" i="4" s="1"/>
  <c r="Y497" i="4"/>
  <c r="Z497" i="4" s="1"/>
  <c r="AA497" i="4" s="1"/>
  <c r="Y320" i="4"/>
  <c r="Z320" i="4" s="1"/>
  <c r="AA320" i="4" s="1"/>
  <c r="Y8" i="4"/>
  <c r="Z8" i="4" s="1"/>
  <c r="AA8" i="4" s="1"/>
  <c r="Y279" i="4"/>
  <c r="Z279" i="4" s="1"/>
  <c r="AA279" i="4" s="1"/>
  <c r="W65" i="4"/>
  <c r="V65" i="4"/>
  <c r="V71" i="4"/>
  <c r="W71" i="4"/>
  <c r="W450" i="4"/>
  <c r="V450" i="4"/>
  <c r="AA173" i="4"/>
  <c r="V173" i="4"/>
  <c r="W173" i="4"/>
  <c r="V426" i="4"/>
  <c r="W426" i="4"/>
  <c r="V480" i="4"/>
  <c r="W480" i="4"/>
  <c r="V293" i="4"/>
  <c r="W293" i="4"/>
  <c r="V104" i="4"/>
  <c r="W104" i="4"/>
  <c r="W166" i="4"/>
  <c r="V166" i="4"/>
  <c r="W491" i="4"/>
  <c r="V491" i="4"/>
  <c r="V454" i="4"/>
  <c r="W454" i="4"/>
  <c r="V282" i="4"/>
  <c r="W282" i="4"/>
  <c r="Y446" i="4"/>
  <c r="Z446" i="4" s="1"/>
  <c r="AA446" i="4" s="1"/>
  <c r="Y98" i="4"/>
  <c r="Z98" i="4" s="1"/>
  <c r="AA98" i="4" s="1"/>
  <c r="Y216" i="4"/>
  <c r="Z216" i="4" s="1"/>
  <c r="AA216" i="4" s="1"/>
  <c r="Y202" i="4"/>
  <c r="Z202" i="4" s="1"/>
  <c r="AA202" i="4" s="1"/>
  <c r="Y201" i="4"/>
  <c r="Z201" i="4" s="1"/>
  <c r="AA201" i="4" s="1"/>
  <c r="Y392" i="4"/>
  <c r="Z392" i="4" s="1"/>
  <c r="AA392" i="4" s="1"/>
  <c r="Y275" i="4"/>
  <c r="Z275" i="4" s="1"/>
  <c r="AA275" i="4" s="1"/>
  <c r="Y125" i="4"/>
  <c r="Z125" i="4" s="1"/>
  <c r="AA125" i="4" s="1"/>
  <c r="V119" i="4"/>
  <c r="W119" i="4"/>
  <c r="W432" i="4"/>
  <c r="V432" i="4"/>
  <c r="W310" i="4"/>
  <c r="V310" i="4"/>
  <c r="W35" i="4"/>
  <c r="V35" i="4"/>
  <c r="V400" i="4"/>
  <c r="W400" i="4"/>
  <c r="V238" i="4"/>
  <c r="W238" i="4"/>
  <c r="V379" i="4"/>
  <c r="W379" i="4"/>
  <c r="W352" i="4"/>
  <c r="V352" i="4"/>
  <c r="V209" i="4"/>
  <c r="W209" i="4"/>
  <c r="V471" i="4"/>
  <c r="W471" i="4"/>
  <c r="W76" i="4"/>
  <c r="V76" i="4"/>
  <c r="W222" i="4"/>
  <c r="V222" i="4"/>
  <c r="V91" i="4"/>
  <c r="W91" i="4"/>
  <c r="W49" i="4"/>
  <c r="V49" i="4"/>
  <c r="W452" i="4"/>
  <c r="V452" i="4"/>
  <c r="W301" i="4"/>
  <c r="V301" i="4"/>
  <c r="W85" i="4"/>
  <c r="V85" i="4"/>
  <c r="V184" i="4"/>
  <c r="W184" i="4"/>
  <c r="V387" i="4"/>
  <c r="W387" i="4"/>
  <c r="W441" i="4"/>
  <c r="V441" i="4"/>
  <c r="V161" i="4"/>
  <c r="W161" i="4"/>
  <c r="W167" i="4"/>
  <c r="V167" i="4"/>
  <c r="W180" i="4"/>
  <c r="V180" i="4"/>
  <c r="V354" i="4"/>
  <c r="W354" i="4"/>
  <c r="V497" i="4"/>
  <c r="W497" i="4"/>
  <c r="W320" i="4"/>
  <c r="V320" i="4"/>
  <c r="W8" i="4"/>
  <c r="V8" i="4"/>
  <c r="V279" i="4"/>
  <c r="W279" i="4"/>
  <c r="W446" i="4"/>
  <c r="V446" i="4"/>
  <c r="W98" i="4"/>
  <c r="V98" i="4"/>
  <c r="W216" i="4"/>
  <c r="V216" i="4"/>
  <c r="V202" i="4"/>
  <c r="W202" i="4"/>
  <c r="W201" i="4"/>
  <c r="V201" i="4"/>
  <c r="V392" i="4"/>
  <c r="W392" i="4"/>
  <c r="W275" i="4"/>
  <c r="V275" i="4"/>
  <c r="W125" i="4"/>
  <c r="V125" i="4"/>
  <c r="W498" i="4"/>
  <c r="V498" i="4"/>
  <c r="V250" i="4"/>
  <c r="W250" i="4"/>
  <c r="W196" i="4"/>
  <c r="V196" i="4"/>
  <c r="W313" i="4"/>
  <c r="V313" i="4"/>
  <c r="W300" i="4"/>
  <c r="V300" i="4"/>
  <c r="V260" i="4"/>
  <c r="W260" i="4"/>
  <c r="W255" i="4"/>
  <c r="V255" i="4"/>
  <c r="V199" i="4"/>
  <c r="W199" i="4"/>
  <c r="V327" i="4"/>
  <c r="W327" i="4"/>
  <c r="V107" i="4"/>
  <c r="W107" i="4"/>
  <c r="W30" i="4"/>
  <c r="V30" i="4"/>
  <c r="V378" i="4"/>
  <c r="W378" i="4"/>
  <c r="W132" i="4"/>
  <c r="V132" i="4"/>
  <c r="V116" i="4"/>
  <c r="W116" i="4"/>
  <c r="W147" i="4"/>
  <c r="V147" i="4"/>
  <c r="W100" i="4"/>
  <c r="V100" i="4"/>
  <c r="V267" i="4"/>
  <c r="W267" i="4"/>
  <c r="V501" i="4"/>
  <c r="W501" i="4"/>
  <c r="V5" i="4"/>
  <c r="W5" i="4"/>
  <c r="AA5" i="4"/>
  <c r="V478" i="4"/>
  <c r="W478" i="4"/>
  <c r="Y376" i="4"/>
  <c r="Z376" i="4" s="1"/>
  <c r="AA376" i="4" s="1"/>
  <c r="Y464" i="4"/>
  <c r="Z464" i="4" s="1"/>
  <c r="AA464" i="4" s="1"/>
  <c r="Y151" i="4"/>
  <c r="Z151" i="4" s="1"/>
  <c r="AA151" i="4" s="1"/>
  <c r="Y371" i="4"/>
  <c r="Z371" i="4" s="1"/>
  <c r="AA371" i="4" s="1"/>
  <c r="Y197" i="4"/>
  <c r="Z197" i="4" s="1"/>
  <c r="AA197" i="4" s="1"/>
  <c r="Y398" i="4"/>
  <c r="Z398" i="4" s="1"/>
  <c r="AA398" i="4" s="1"/>
  <c r="Y394" i="4"/>
  <c r="Z394" i="4" s="1"/>
  <c r="AA394" i="4" s="1"/>
  <c r="W277" i="4"/>
  <c r="AA277" i="4"/>
  <c r="V277" i="4"/>
  <c r="V75" i="4"/>
  <c r="W75" i="4"/>
  <c r="W231" i="4"/>
  <c r="V231" i="4"/>
  <c r="W232" i="4"/>
  <c r="V232" i="4"/>
  <c r="W292" i="4"/>
  <c r="V292" i="4"/>
  <c r="V349" i="4"/>
  <c r="W349" i="4"/>
  <c r="V198" i="4"/>
  <c r="W198" i="4"/>
  <c r="V66" i="4"/>
  <c r="W66" i="4"/>
  <c r="V470" i="4"/>
  <c r="W470" i="4"/>
  <c r="V321" i="4"/>
  <c r="W321" i="4"/>
  <c r="V243" i="4"/>
  <c r="W243" i="4"/>
  <c r="W370" i="4"/>
  <c r="V370" i="4"/>
  <c r="W278" i="4"/>
  <c r="V278" i="4"/>
  <c r="W395" i="4"/>
  <c r="V395" i="4"/>
  <c r="V235" i="4"/>
  <c r="W235" i="4"/>
  <c r="W42" i="4"/>
  <c r="V42" i="4"/>
  <c r="V145" i="4"/>
  <c r="W145" i="4"/>
  <c r="W442" i="4"/>
  <c r="V442" i="4"/>
  <c r="W415" i="4"/>
  <c r="V415" i="4"/>
  <c r="W54" i="4"/>
  <c r="V54" i="4"/>
  <c r="V403" i="4"/>
  <c r="W403" i="4"/>
  <c r="V259" i="4"/>
  <c r="W259" i="4"/>
  <c r="W62" i="4"/>
  <c r="V62" i="4"/>
  <c r="AA445" i="4"/>
  <c r="W445" i="4"/>
  <c r="V445" i="4"/>
  <c r="V245" i="4"/>
  <c r="W245" i="4"/>
  <c r="W263" i="4"/>
  <c r="V263" i="4"/>
  <c r="W309" i="4"/>
  <c r="V309" i="4"/>
  <c r="W212" i="4"/>
  <c r="V212" i="4"/>
  <c r="W376" i="4"/>
  <c r="V376" i="4"/>
  <c r="V464" i="4"/>
  <c r="W464" i="4"/>
  <c r="W151" i="4"/>
  <c r="V151" i="4"/>
  <c r="V371" i="4"/>
  <c r="W371" i="4"/>
  <c r="W197" i="4"/>
  <c r="V197" i="4"/>
  <c r="W398" i="4"/>
  <c r="V398" i="4"/>
  <c r="V394" i="4"/>
  <c r="W394" i="4"/>
  <c r="V92" i="4"/>
  <c r="W92" i="4"/>
  <c r="W67" i="4"/>
  <c r="V67" i="4"/>
  <c r="W44" i="4"/>
  <c r="V44" i="4"/>
  <c r="V176" i="4"/>
  <c r="W176" i="4"/>
  <c r="W483" i="4"/>
  <c r="V483" i="4"/>
  <c r="V421" i="4"/>
  <c r="W421" i="4"/>
  <c r="W69" i="4"/>
  <c r="V69" i="4"/>
  <c r="V268" i="4"/>
  <c r="W268" i="4"/>
  <c r="W178" i="4"/>
  <c r="V178" i="4"/>
  <c r="V215" i="4"/>
  <c r="W215" i="4"/>
  <c r="W359" i="4"/>
  <c r="V359" i="4"/>
  <c r="W4" i="4"/>
  <c r="V4" i="4"/>
  <c r="W348" i="4"/>
  <c r="V348" i="4"/>
  <c r="W94" i="4"/>
  <c r="V94" i="4"/>
  <c r="V249" i="4"/>
  <c r="W249" i="4"/>
  <c r="W473" i="4"/>
  <c r="V473" i="4"/>
  <c r="W190" i="4"/>
  <c r="V190" i="4"/>
  <c r="V169" i="4"/>
  <c r="W169" i="4"/>
  <c r="V365" i="4"/>
  <c r="W365" i="4"/>
  <c r="V405" i="4"/>
  <c r="W405" i="4"/>
  <c r="W374" i="4"/>
  <c r="V374" i="4"/>
  <c r="W78" i="4"/>
  <c r="V78" i="4"/>
  <c r="W31" i="4"/>
  <c r="V31" i="4"/>
  <c r="V163" i="4"/>
  <c r="W163" i="4"/>
  <c r="V110" i="4"/>
  <c r="AA110" i="4"/>
  <c r="W110" i="4"/>
  <c r="W299" i="4"/>
  <c r="V299" i="4"/>
  <c r="W153" i="4"/>
  <c r="V153" i="4"/>
  <c r="V485" i="4"/>
  <c r="W485" i="4"/>
  <c r="W237" i="4"/>
  <c r="V237" i="4"/>
  <c r="W106" i="4"/>
  <c r="V106" i="4"/>
  <c r="AA456" i="4"/>
  <c r="V456" i="4"/>
  <c r="W456" i="4"/>
  <c r="W46" i="4"/>
  <c r="V46" i="4"/>
  <c r="V409" i="4"/>
  <c r="W409" i="4"/>
  <c r="W475" i="4"/>
  <c r="V475" i="4"/>
  <c r="W291" i="4"/>
  <c r="V291" i="4"/>
  <c r="W140" i="4"/>
  <c r="AA140" i="4"/>
  <c r="V140" i="4"/>
  <c r="V305" i="4"/>
  <c r="W305" i="4"/>
  <c r="W324" i="4"/>
  <c r="V324" i="4"/>
  <c r="V186" i="4"/>
  <c r="W186" i="4"/>
  <c r="W380" i="4"/>
  <c r="V380" i="4"/>
  <c r="V256" i="4"/>
  <c r="W256" i="4"/>
  <c r="W389" i="4"/>
  <c r="V389" i="4"/>
  <c r="W436" i="4"/>
  <c r="V436" i="4"/>
  <c r="V234" i="4"/>
  <c r="W234" i="4"/>
  <c r="V369" i="4"/>
  <c r="W369" i="4"/>
  <c r="V465" i="4"/>
  <c r="W465" i="4"/>
  <c r="AA465" i="4"/>
  <c r="W468" i="4"/>
  <c r="V468" i="4"/>
  <c r="W351" i="4"/>
  <c r="V351" i="4"/>
  <c r="W484" i="4"/>
  <c r="V484" i="4"/>
  <c r="V213" i="4"/>
  <c r="W213" i="4"/>
  <c r="W175" i="4"/>
  <c r="V175" i="4"/>
  <c r="W438" i="4"/>
  <c r="V438" i="4"/>
  <c r="V229" i="4"/>
  <c r="W229" i="4"/>
  <c r="V304" i="4"/>
  <c r="W304" i="4"/>
  <c r="V425" i="4"/>
  <c r="W425" i="4"/>
  <c r="V200" i="4"/>
  <c r="W200" i="4"/>
  <c r="Y474" i="4"/>
  <c r="Z474" i="4" s="1"/>
  <c r="AA474" i="4" s="1"/>
  <c r="Y53" i="4"/>
  <c r="Z53" i="4" s="1"/>
  <c r="AA53" i="4" s="1"/>
  <c r="Y224" i="4"/>
  <c r="Z224" i="4" s="1"/>
  <c r="AA224" i="4" s="1"/>
  <c r="Y24" i="4"/>
  <c r="Z24" i="4" s="1"/>
  <c r="AA24" i="4" s="1"/>
  <c r="Y12" i="4"/>
  <c r="Z12" i="4" s="1"/>
  <c r="AA12" i="4" s="1"/>
  <c r="Y377" i="4"/>
  <c r="Z377" i="4" s="1"/>
  <c r="AA377" i="4" s="1"/>
  <c r="Y254" i="4"/>
  <c r="Z254" i="4" s="1"/>
  <c r="AA254" i="4" s="1"/>
  <c r="Y276" i="4"/>
  <c r="Z276" i="4" s="1"/>
  <c r="AA276" i="4" s="1"/>
  <c r="Y223" i="4"/>
  <c r="Z223" i="4" s="1"/>
  <c r="AA223" i="4" s="1"/>
  <c r="Y55" i="4"/>
  <c r="Z55" i="4" s="1"/>
  <c r="AA55" i="4" s="1"/>
  <c r="Y103" i="4"/>
  <c r="Z103" i="4" s="1"/>
  <c r="AA103" i="4" s="1"/>
  <c r="Y287" i="4"/>
  <c r="Z287" i="4" s="1"/>
  <c r="AA287" i="4" s="1"/>
  <c r="Y109" i="4"/>
  <c r="Z109" i="4" s="1"/>
  <c r="AA109" i="4" s="1"/>
  <c r="Y493" i="4"/>
  <c r="Z493" i="4" s="1"/>
  <c r="AA493" i="4" s="1"/>
  <c r="Y332" i="4"/>
  <c r="Z332" i="4" s="1"/>
  <c r="AA332" i="4" s="1"/>
  <c r="Y361" i="4"/>
  <c r="Z361" i="4" s="1"/>
  <c r="AA361" i="4" s="1"/>
  <c r="Y360" i="4"/>
  <c r="Z360" i="4" s="1"/>
  <c r="AA360" i="4" s="1"/>
  <c r="Y417" i="4"/>
  <c r="Z417" i="4" s="1"/>
  <c r="AA417" i="4" s="1"/>
  <c r="Y302" i="4"/>
  <c r="Z302" i="4" s="1"/>
  <c r="AA302" i="4" s="1"/>
  <c r="Y414" i="4"/>
  <c r="Z414" i="4" s="1"/>
  <c r="AA414" i="4" s="1"/>
  <c r="Y444" i="4"/>
  <c r="Z444" i="4" s="1"/>
  <c r="AA444" i="4" s="1"/>
  <c r="Y363" i="4"/>
  <c r="Z363" i="4" s="1"/>
  <c r="AA363" i="4" s="1"/>
  <c r="Y133" i="4"/>
  <c r="Z133" i="4" s="1"/>
  <c r="AA133" i="4" s="1"/>
  <c r="V45" i="4"/>
  <c r="W45" i="4"/>
  <c r="W466" i="4"/>
  <c r="V466" i="4"/>
  <c r="V56" i="4"/>
  <c r="W56" i="4"/>
  <c r="W419" i="4"/>
  <c r="V419" i="4"/>
  <c r="W420" i="4"/>
  <c r="V420" i="4"/>
  <c r="W341" i="4"/>
  <c r="V341" i="4"/>
  <c r="V329" i="4"/>
  <c r="W329" i="4"/>
  <c r="V154" i="4"/>
  <c r="W154" i="4"/>
  <c r="V149" i="4"/>
  <c r="W149" i="4"/>
  <c r="W99" i="4"/>
  <c r="V99" i="4"/>
  <c r="V386" i="4"/>
  <c r="W386" i="4"/>
  <c r="W138" i="4"/>
  <c r="V138" i="4"/>
  <c r="W253" i="4"/>
  <c r="V253" i="4"/>
  <c r="Y472" i="4"/>
  <c r="Z472" i="4" s="1"/>
  <c r="AA472" i="4" s="1"/>
  <c r="Y131" i="4"/>
  <c r="Z131" i="4" s="1"/>
  <c r="AA131" i="4" s="1"/>
  <c r="Y366" i="4"/>
  <c r="Z366" i="4" s="1"/>
  <c r="AA366" i="4" s="1"/>
  <c r="Y77" i="4"/>
  <c r="Z77" i="4" s="1"/>
  <c r="AA77" i="4" s="1"/>
  <c r="Y496" i="4"/>
  <c r="Z496" i="4" s="1"/>
  <c r="AA496" i="4" s="1"/>
  <c r="Y74" i="4"/>
  <c r="Z74" i="4" s="1"/>
  <c r="AA74" i="4" s="1"/>
  <c r="Y129" i="4"/>
  <c r="Z129" i="4" s="1"/>
  <c r="AA129" i="4" s="1"/>
  <c r="W53" i="4"/>
  <c r="V53" i="4"/>
  <c r="W224" i="4"/>
  <c r="V224" i="4"/>
  <c r="W24" i="4"/>
  <c r="V24" i="4"/>
  <c r="V12" i="4"/>
  <c r="W12" i="4"/>
  <c r="V377" i="4"/>
  <c r="W377" i="4"/>
  <c r="W254" i="4"/>
  <c r="V254" i="4"/>
  <c r="W276" i="4"/>
  <c r="V276" i="4"/>
  <c r="V223" i="4"/>
  <c r="W223" i="4"/>
  <c r="W55" i="4"/>
  <c r="V55" i="4"/>
  <c r="V103" i="4"/>
  <c r="W103" i="4"/>
  <c r="W287" i="4"/>
  <c r="V287" i="4"/>
  <c r="V109" i="4"/>
  <c r="W109" i="4"/>
  <c r="V493" i="4"/>
  <c r="W493" i="4"/>
  <c r="W332" i="4"/>
  <c r="V332" i="4"/>
  <c r="V361" i="4"/>
  <c r="W361" i="4"/>
  <c r="W360" i="4"/>
  <c r="V360" i="4"/>
  <c r="V417" i="4"/>
  <c r="W417" i="4"/>
  <c r="W302" i="4"/>
  <c r="V302" i="4"/>
  <c r="V414" i="4"/>
  <c r="W414" i="4"/>
  <c r="W444" i="4"/>
  <c r="V444" i="4"/>
  <c r="V363" i="4"/>
  <c r="W363" i="4"/>
  <c r="V133" i="4"/>
  <c r="W133" i="4"/>
  <c r="V472" i="4"/>
  <c r="W472" i="4"/>
  <c r="W131" i="4"/>
  <c r="V131" i="4"/>
  <c r="W366" i="4"/>
  <c r="V366" i="4"/>
  <c r="W77" i="4"/>
  <c r="V77" i="4"/>
  <c r="V496" i="4"/>
  <c r="W496" i="4"/>
  <c r="V74" i="4"/>
  <c r="W74" i="4"/>
  <c r="V129" i="4"/>
  <c r="W129" i="4"/>
  <c r="W165" i="4"/>
  <c r="V165" i="4"/>
  <c r="V208" i="4"/>
  <c r="W208" i="4"/>
  <c r="W350" i="4"/>
  <c r="V350" i="4"/>
  <c r="V459" i="4"/>
  <c r="W459" i="4"/>
  <c r="V248" i="4"/>
  <c r="W248" i="4"/>
  <c r="W240" i="4"/>
  <c r="V240" i="4"/>
  <c r="W416" i="4"/>
  <c r="V416" i="4"/>
  <c r="V316" i="4"/>
  <c r="W316" i="4"/>
  <c r="V413" i="4"/>
  <c r="AA413" i="4"/>
  <c r="W413" i="4"/>
  <c r="V146" i="4"/>
  <c r="W146" i="4"/>
  <c r="V50" i="4"/>
  <c r="W50" i="4"/>
  <c r="V170" i="4"/>
  <c r="W170" i="4"/>
  <c r="V168" i="4"/>
  <c r="W168" i="4"/>
  <c r="W193" i="4"/>
  <c r="V193" i="4"/>
  <c r="W172" i="4"/>
  <c r="V172" i="4"/>
  <c r="W108" i="4"/>
  <c r="V108" i="4"/>
  <c r="V88" i="4"/>
  <c r="W88" i="4"/>
  <c r="V390" i="4"/>
  <c r="W390" i="4"/>
  <c r="V139" i="4"/>
  <c r="W139" i="4"/>
  <c r="V283" i="4"/>
  <c r="W283" i="4"/>
  <c r="W399" i="4"/>
  <c r="V399" i="4"/>
  <c r="W174" i="4"/>
  <c r="V174" i="4"/>
  <c r="AA174" i="4"/>
  <c r="V162" i="4"/>
  <c r="W162" i="4"/>
  <c r="W407" i="4"/>
  <c r="V407" i="4"/>
  <c r="W9" i="4"/>
  <c r="V9" i="4"/>
  <c r="Y266" i="4"/>
  <c r="Z266" i="4" s="1"/>
  <c r="AA266" i="4" s="1"/>
  <c r="Y358" i="4"/>
  <c r="Z358" i="4" s="1"/>
  <c r="AA358" i="4" s="1"/>
  <c r="Y451" i="4"/>
  <c r="Z451" i="4" s="1"/>
  <c r="AA451" i="4" s="1"/>
  <c r="Y499" i="4"/>
  <c r="Z499" i="4" s="1"/>
  <c r="AA499" i="4" s="1"/>
  <c r="Y423" i="4"/>
  <c r="Z423" i="4" s="1"/>
  <c r="AA423" i="4" s="1"/>
  <c r="Y262" i="4"/>
  <c r="Z262" i="4" s="1"/>
  <c r="AA262" i="4" s="1"/>
  <c r="Y20" i="4"/>
  <c r="Z20" i="4" s="1"/>
  <c r="AA20" i="4" s="1"/>
  <c r="Y500" i="4"/>
  <c r="Z500" i="4" s="1"/>
  <c r="AA500" i="4" s="1"/>
  <c r="Y96" i="4"/>
  <c r="Z96" i="4" s="1"/>
  <c r="AA96" i="4" s="1"/>
  <c r="Y274" i="4"/>
  <c r="Z274" i="4" s="1"/>
  <c r="AA274" i="4" s="1"/>
  <c r="Y16" i="4"/>
  <c r="Z16" i="4" s="1"/>
  <c r="AA16" i="4" s="1"/>
  <c r="Y143" i="4"/>
  <c r="Z143" i="4" s="1"/>
  <c r="AA143" i="4" s="1"/>
  <c r="Y306" i="4"/>
  <c r="Z306" i="4" s="1"/>
  <c r="AA306" i="4" s="1"/>
  <c r="Y211" i="4"/>
  <c r="Z211" i="4" s="1"/>
  <c r="AA211" i="4" s="1"/>
  <c r="Y312" i="4"/>
  <c r="Z312" i="4" s="1"/>
  <c r="AA312" i="4" s="1"/>
  <c r="Y72" i="4"/>
  <c r="Z72" i="4" s="1"/>
  <c r="AA72" i="4" s="1"/>
  <c r="Y495" i="4"/>
  <c r="Z495" i="4" s="1"/>
  <c r="AA495" i="4" s="1"/>
  <c r="Y33" i="4"/>
  <c r="Z33" i="4" s="1"/>
  <c r="AA33" i="4" s="1"/>
  <c r="Y134" i="4"/>
  <c r="Z134" i="4" s="1"/>
  <c r="AA134" i="4" s="1"/>
  <c r="Y388" i="4"/>
  <c r="Z388" i="4" s="1"/>
  <c r="AA388" i="4" s="1"/>
  <c r="Y408" i="4"/>
  <c r="Z408" i="4" s="1"/>
  <c r="AA408" i="4" s="1"/>
  <c r="Y429" i="4"/>
  <c r="Z429" i="4" s="1"/>
  <c r="AA429" i="4" s="1"/>
  <c r="V135" i="4"/>
  <c r="W135" i="4"/>
  <c r="Y10" i="4"/>
  <c r="Z10" i="4" s="1"/>
  <c r="AA10" i="4" s="1"/>
  <c r="Y105" i="4"/>
  <c r="Z105" i="4" s="1"/>
  <c r="AA105" i="4" s="1"/>
  <c r="Y504" i="4"/>
  <c r="Z504" i="4" s="1"/>
  <c r="AA504" i="4" s="1"/>
  <c r="Y433" i="4"/>
  <c r="Z433" i="4" s="1"/>
  <c r="AA433" i="4" s="1"/>
  <c r="V47" i="4"/>
  <c r="W47" i="4"/>
  <c r="W64" i="4"/>
  <c r="V64" i="4"/>
  <c r="V218" i="4"/>
  <c r="W218" i="4"/>
  <c r="V122" i="4"/>
  <c r="W122" i="4"/>
  <c r="W335" i="4"/>
  <c r="V335" i="4"/>
  <c r="W113" i="4"/>
  <c r="V113" i="4"/>
  <c r="W435" i="4"/>
  <c r="V435" i="4"/>
  <c r="V177" i="4"/>
  <c r="AA177" i="4"/>
  <c r="W177" i="4"/>
  <c r="V453" i="4"/>
  <c r="W453" i="4"/>
  <c r="V214" i="4"/>
  <c r="W214" i="4"/>
  <c r="W68" i="4"/>
  <c r="V68" i="4"/>
  <c r="W23" i="4"/>
  <c r="V23" i="4"/>
  <c r="Y326" i="4"/>
  <c r="Z326" i="4" s="1"/>
  <c r="AA326" i="4" s="1"/>
  <c r="Y328" i="4"/>
  <c r="Z328" i="4" s="1"/>
  <c r="AA328" i="4" s="1"/>
  <c r="Y325" i="4"/>
  <c r="Z325" i="4" s="1"/>
  <c r="AA325" i="4" s="1"/>
  <c r="Y79" i="4"/>
  <c r="Z79" i="4" s="1"/>
  <c r="AA79" i="4" s="1"/>
  <c r="Y397" i="4"/>
  <c r="Z397" i="4" s="1"/>
  <c r="AA397" i="4" s="1"/>
  <c r="W358" i="4"/>
  <c r="V358" i="4"/>
  <c r="W451" i="4"/>
  <c r="V451" i="4"/>
  <c r="W499" i="4"/>
  <c r="V499" i="4"/>
  <c r="V423" i="4"/>
  <c r="W423" i="4"/>
  <c r="W262" i="4"/>
  <c r="V262" i="4"/>
  <c r="W20" i="4"/>
  <c r="V20" i="4"/>
  <c r="V500" i="4"/>
  <c r="W500" i="4"/>
  <c r="V96" i="4"/>
  <c r="W96" i="4"/>
  <c r="V274" i="4"/>
  <c r="W274" i="4"/>
  <c r="W16" i="4"/>
  <c r="V16" i="4"/>
  <c r="W143" i="4"/>
  <c r="V143" i="4"/>
  <c r="W306" i="4"/>
  <c r="V306" i="4"/>
  <c r="V211" i="4"/>
  <c r="W211" i="4"/>
  <c r="W312" i="4"/>
  <c r="V312" i="4"/>
  <c r="W72" i="4"/>
  <c r="V72" i="4"/>
  <c r="W495" i="4"/>
  <c r="V495" i="4"/>
  <c r="V33" i="4"/>
  <c r="W33" i="4"/>
  <c r="V134" i="4"/>
  <c r="W134" i="4"/>
  <c r="W388" i="4"/>
  <c r="V388" i="4"/>
  <c r="W408" i="4"/>
  <c r="V408" i="4"/>
  <c r="W429" i="4"/>
  <c r="V429" i="4"/>
  <c r="V10" i="4"/>
  <c r="W10" i="4"/>
  <c r="W105" i="4"/>
  <c r="V105" i="4"/>
  <c r="V504" i="4"/>
  <c r="W504" i="4"/>
  <c r="V433" i="4"/>
  <c r="W433" i="4"/>
  <c r="V326" i="4"/>
  <c r="W326" i="4"/>
  <c r="W328" i="4"/>
  <c r="V328" i="4"/>
  <c r="W325" i="4"/>
  <c r="V325" i="4"/>
  <c r="V79" i="4"/>
  <c r="W79" i="4"/>
  <c r="V397" i="4"/>
  <c r="W397" i="4"/>
  <c r="V330" i="4"/>
  <c r="W330" i="4"/>
  <c r="V150" i="4"/>
  <c r="W150" i="4"/>
  <c r="V73" i="4"/>
  <c r="AA73" i="4"/>
  <c r="W73" i="4"/>
  <c r="W356" i="4"/>
  <c r="V356" i="4"/>
  <c r="W93" i="4"/>
  <c r="V93" i="4"/>
  <c r="V127" i="4"/>
  <c r="W127" i="4"/>
  <c r="V294" i="4"/>
  <c r="AA294" i="4"/>
  <c r="W294" i="4"/>
  <c r="W164" i="4"/>
  <c r="V164" i="4"/>
  <c r="V225" i="4"/>
  <c r="AA225" i="4"/>
  <c r="W225" i="4"/>
  <c r="W334" i="4"/>
  <c r="V334" i="4"/>
  <c r="V261" i="4"/>
  <c r="W261" i="4"/>
  <c r="W424" i="4"/>
  <c r="V424" i="4"/>
  <c r="V503" i="4"/>
  <c r="W503" i="4"/>
  <c r="V26" i="4"/>
  <c r="W26" i="4"/>
  <c r="W246" i="4"/>
  <c r="V246" i="4"/>
  <c r="V226" i="4"/>
  <c r="W226" i="4"/>
  <c r="V14" i="4"/>
  <c r="W14" i="4"/>
  <c r="V303" i="4"/>
  <c r="W303" i="4"/>
  <c r="W257" i="4"/>
  <c r="V257" i="4"/>
  <c r="V323" i="4"/>
  <c r="W323" i="4"/>
  <c r="AA95" i="4"/>
  <c r="W95" i="4"/>
  <c r="V95" i="4"/>
  <c r="V220" i="4"/>
  <c r="W220" i="4"/>
  <c r="V57" i="4"/>
  <c r="W57" i="4"/>
  <c r="W284" i="4"/>
  <c r="V284" i="4"/>
  <c r="AA284" i="4"/>
  <c r="W285" i="4"/>
  <c r="V285" i="4"/>
  <c r="V467" i="4"/>
  <c r="W467" i="4"/>
  <c r="W236" i="4"/>
  <c r="V236" i="4"/>
  <c r="W434" i="4"/>
  <c r="V434" i="4"/>
  <c r="W298" i="4"/>
  <c r="V298" i="4"/>
  <c r="AA89" i="4"/>
  <c r="V89" i="4"/>
  <c r="W89" i="4"/>
  <c r="W152" i="4"/>
  <c r="V152" i="4"/>
  <c r="Y391" i="4"/>
  <c r="Z391" i="4" s="1"/>
  <c r="AA391" i="4" s="1"/>
  <c r="Y319" i="4"/>
  <c r="Z319" i="4" s="1"/>
  <c r="AA319" i="4" s="1"/>
  <c r="Y123" i="4"/>
  <c r="Z123" i="4" s="1"/>
  <c r="AA123" i="4" s="1"/>
  <c r="Y258" i="4"/>
  <c r="Z258" i="4" s="1"/>
  <c r="AA258" i="4" s="1"/>
  <c r="Y462" i="4"/>
  <c r="Z462" i="4" s="1"/>
  <c r="AA462" i="4" s="1"/>
  <c r="Y228" i="4"/>
  <c r="Z228" i="4" s="1"/>
  <c r="AA228" i="4" s="1"/>
  <c r="Y156" i="4"/>
  <c r="Z156" i="4" s="1"/>
  <c r="AA156" i="4" s="1"/>
  <c r="Y331" i="4"/>
  <c r="Z331" i="4" s="1"/>
  <c r="AA331" i="4" s="1"/>
  <c r="Y155" i="4"/>
  <c r="Z155" i="4" s="1"/>
  <c r="AA155" i="4" s="1"/>
  <c r="Y25" i="4"/>
  <c r="Z25" i="4" s="1"/>
  <c r="AA25" i="4" s="1"/>
  <c r="Y207" i="4"/>
  <c r="Z207" i="4" s="1"/>
  <c r="AA207" i="4" s="1"/>
  <c r="Y128" i="4"/>
  <c r="Z128" i="4" s="1"/>
  <c r="AA128" i="4" s="1"/>
  <c r="Y368" i="4"/>
  <c r="Z368" i="4" s="1"/>
  <c r="AA368" i="4" s="1"/>
  <c r="Y307" i="4"/>
  <c r="Z307" i="4" s="1"/>
  <c r="AA307" i="4" s="1"/>
  <c r="Y115" i="4"/>
  <c r="Z115" i="4" s="1"/>
  <c r="AA115" i="4" s="1"/>
  <c r="Y159" i="4"/>
  <c r="Z159" i="4" s="1"/>
  <c r="AA159" i="4" s="1"/>
  <c r="Y21" i="4"/>
  <c r="Z21" i="4" s="1"/>
  <c r="AA21" i="4" s="1"/>
  <c r="Y192" i="4"/>
  <c r="Z192" i="4" s="1"/>
  <c r="AA192" i="4" s="1"/>
  <c r="Y449" i="4"/>
  <c r="Z449" i="4" s="1"/>
  <c r="AA449" i="4" s="1"/>
  <c r="Y114" i="4"/>
  <c r="Z114" i="4" s="1"/>
  <c r="AA114" i="4" s="1"/>
  <c r="Y401" i="4"/>
  <c r="Z401" i="4" s="1"/>
  <c r="AA401" i="4" s="1"/>
  <c r="Y412" i="4"/>
  <c r="Z412" i="4" s="1"/>
  <c r="AA412" i="4" s="1"/>
  <c r="Y6" i="4"/>
  <c r="Z6" i="4" s="1"/>
  <c r="AA6" i="4" s="1"/>
  <c r="Y124" i="4"/>
  <c r="Z124" i="4" s="1"/>
  <c r="AA124" i="4" s="1"/>
  <c r="Y353" i="4"/>
  <c r="Z353" i="4" s="1"/>
  <c r="AA353" i="4" s="1"/>
  <c r="Y206" i="4"/>
  <c r="Z206" i="4" s="1"/>
  <c r="AA206" i="4" s="1"/>
  <c r="Y121" i="4"/>
  <c r="Z121" i="4" s="1"/>
  <c r="AA121" i="4" s="1"/>
  <c r="V90" i="4"/>
  <c r="W90" i="4"/>
  <c r="W82" i="4"/>
  <c r="V82" i="4"/>
  <c r="W144" i="4"/>
  <c r="V144" i="4"/>
  <c r="W40" i="4"/>
  <c r="V40" i="4"/>
  <c r="W48" i="4"/>
  <c r="V48" i="4"/>
  <c r="W244" i="4"/>
  <c r="V244" i="4"/>
  <c r="W204" i="4"/>
  <c r="V204" i="4"/>
  <c r="W427" i="4"/>
  <c r="AA427" i="4"/>
  <c r="V427" i="4"/>
  <c r="W83" i="4"/>
  <c r="V83" i="4"/>
  <c r="W288" i="4"/>
  <c r="V288" i="4"/>
  <c r="V333" i="4"/>
  <c r="W333" i="4"/>
  <c r="W22" i="4"/>
  <c r="V22" i="4"/>
  <c r="Y19" i="4"/>
  <c r="Z19" i="4" s="1"/>
  <c r="AA19" i="4" s="1"/>
  <c r="Y281" i="4"/>
  <c r="Z281" i="4" s="1"/>
  <c r="AA281" i="4" s="1"/>
  <c r="Y29" i="4"/>
  <c r="Z29" i="4" s="1"/>
  <c r="AA29" i="4" s="1"/>
  <c r="Y430" i="4"/>
  <c r="Z430" i="4" s="1"/>
  <c r="AA430" i="4" s="1"/>
  <c r="Y195" i="4"/>
  <c r="Z195" i="4" s="1"/>
  <c r="AA195" i="4" s="1"/>
  <c r="Y317" i="4"/>
  <c r="Z317" i="4" s="1"/>
  <c r="AA317" i="4" s="1"/>
  <c r="Y86" i="4"/>
  <c r="Z86" i="4" s="1"/>
  <c r="AA86" i="4" s="1"/>
  <c r="Y297" i="4"/>
  <c r="Z297" i="4" s="1"/>
  <c r="AA297" i="4" s="1"/>
  <c r="Y447" i="4"/>
  <c r="Z447" i="4" s="1"/>
  <c r="AA447" i="4" s="1"/>
  <c r="AB66" i="4" l="1"/>
  <c r="AB356" i="4"/>
  <c r="AC215" i="4"/>
  <c r="N215" i="4" s="1"/>
  <c r="AA51" i="4"/>
  <c r="AB290" i="4"/>
  <c r="AC295" i="4"/>
  <c r="N295" i="4" s="1"/>
  <c r="AB295" i="4"/>
  <c r="AB65" i="4"/>
  <c r="AB475" i="4"/>
  <c r="AB28" i="4"/>
  <c r="AC476" i="4"/>
  <c r="N476" i="4" s="1"/>
  <c r="AC97" i="4"/>
  <c r="N97" i="4" s="1"/>
  <c r="AB459" i="4"/>
  <c r="AC383" i="4"/>
  <c r="N383" i="4" s="1"/>
  <c r="AC421" i="4"/>
  <c r="N421" i="4" s="1"/>
  <c r="AC50" i="4"/>
  <c r="N50" i="4" s="1"/>
  <c r="AC52" i="4"/>
  <c r="N52" i="4" s="1"/>
  <c r="AC336" i="4"/>
  <c r="N336" i="4" s="1"/>
  <c r="AB336" i="4"/>
  <c r="AB57" i="4"/>
  <c r="AB13" i="4"/>
  <c r="AC36" i="4"/>
  <c r="N36" i="4" s="1"/>
  <c r="AC15" i="4"/>
  <c r="N15" i="4" s="1"/>
  <c r="AC393" i="4"/>
  <c r="N393" i="4" s="1"/>
  <c r="AB93" i="4"/>
  <c r="AB104" i="4"/>
  <c r="AC385" i="4"/>
  <c r="N385" i="4" s="1"/>
  <c r="AB240" i="4"/>
  <c r="AC442" i="4"/>
  <c r="N442" i="4" s="1"/>
  <c r="AB395" i="4"/>
  <c r="AC395" i="4"/>
  <c r="N395" i="4" s="1"/>
  <c r="AC90" i="4"/>
  <c r="N90" i="4" s="1"/>
  <c r="AB90" i="4"/>
  <c r="AB166" i="4"/>
  <c r="AC166" i="4"/>
  <c r="N166" i="4" s="1"/>
  <c r="AA364" i="4"/>
  <c r="AA17" i="4"/>
  <c r="AC17" i="4" s="1"/>
  <c r="N17" i="4" s="1"/>
  <c r="AA181" i="4"/>
  <c r="AB181" i="4" s="1"/>
  <c r="AC341" i="4"/>
  <c r="N341" i="4" s="1"/>
  <c r="AB341" i="4"/>
  <c r="AC149" i="4"/>
  <c r="N149" i="4" s="1"/>
  <c r="AB149" i="4"/>
  <c r="AA273" i="4"/>
  <c r="AC288" i="4"/>
  <c r="N288" i="4" s="1"/>
  <c r="AB288" i="4"/>
  <c r="AA101" i="4"/>
  <c r="AB101" i="4" s="1"/>
  <c r="AB473" i="4"/>
  <c r="AC473" i="4"/>
  <c r="N473" i="4" s="1"/>
  <c r="AC196" i="4"/>
  <c r="N196" i="4" s="1"/>
  <c r="AB196" i="4"/>
  <c r="AB323" i="4"/>
  <c r="AC323" i="4"/>
  <c r="N323" i="4" s="1"/>
  <c r="AC92" i="4"/>
  <c r="N92" i="4" s="1"/>
  <c r="AB92" i="4"/>
  <c r="AC491" i="4"/>
  <c r="N491" i="4" s="1"/>
  <c r="AB491" i="4"/>
  <c r="AB40" i="4"/>
  <c r="AC40" i="4"/>
  <c r="N40" i="4" s="1"/>
  <c r="AB259" i="4"/>
  <c r="AC259" i="4"/>
  <c r="N259" i="4" s="1"/>
  <c r="AC468" i="4"/>
  <c r="N468" i="4" s="1"/>
  <c r="AB468" i="4"/>
  <c r="AB374" i="4"/>
  <c r="AC374" i="4"/>
  <c r="N374" i="4" s="1"/>
  <c r="AC113" i="4"/>
  <c r="N113" i="4" s="1"/>
  <c r="AB113" i="4"/>
  <c r="AB200" i="4"/>
  <c r="AC200" i="4"/>
  <c r="N200" i="4" s="1"/>
  <c r="AC367" i="4"/>
  <c r="N367" i="4" s="1"/>
  <c r="AB367" i="4"/>
  <c r="AC335" i="4"/>
  <c r="N335" i="4" s="1"/>
  <c r="AB335" i="4"/>
  <c r="AC278" i="4"/>
  <c r="N278" i="4" s="1"/>
  <c r="AB278" i="4"/>
  <c r="AB172" i="4"/>
  <c r="AC172" i="4"/>
  <c r="N172" i="4" s="1"/>
  <c r="AC298" i="4"/>
  <c r="N298" i="4" s="1"/>
  <c r="AB298" i="4"/>
  <c r="AC145" i="4"/>
  <c r="N145" i="4" s="1"/>
  <c r="AB145" i="4"/>
  <c r="AB234" i="4"/>
  <c r="AC232" i="4"/>
  <c r="N232" i="4" s="1"/>
  <c r="AB232" i="4"/>
  <c r="AB460" i="4"/>
  <c r="AC460" i="4"/>
  <c r="N460" i="4" s="1"/>
  <c r="AC405" i="4"/>
  <c r="N405" i="4" s="1"/>
  <c r="AB405" i="4"/>
  <c r="AC453" i="4"/>
  <c r="N453" i="4" s="1"/>
  <c r="AB453" i="4"/>
  <c r="AA191" i="4"/>
  <c r="AC191" i="4" s="1"/>
  <c r="N191" i="4" s="1"/>
  <c r="AA130" i="4"/>
  <c r="AA437" i="4"/>
  <c r="AC437" i="4" s="1"/>
  <c r="N437" i="4" s="1"/>
  <c r="AA457" i="4"/>
  <c r="AB102" i="4"/>
  <c r="AC102" i="4"/>
  <c r="N102" i="4" s="1"/>
  <c r="AC257" i="4"/>
  <c r="N257" i="4" s="1"/>
  <c r="AB257" i="4"/>
  <c r="AB370" i="4"/>
  <c r="AC370" i="4"/>
  <c r="N370" i="4" s="1"/>
  <c r="AB34" i="4"/>
  <c r="AB4" i="4"/>
  <c r="AC4" i="4"/>
  <c r="N4" i="4" s="1"/>
  <c r="AC253" i="4"/>
  <c r="N253" i="4" s="1"/>
  <c r="AA210" i="4"/>
  <c r="AC210" i="4" s="1"/>
  <c r="N210" i="4" s="1"/>
  <c r="AB75" i="4"/>
  <c r="AC75" i="4"/>
  <c r="N75" i="4" s="1"/>
  <c r="AC231" i="4"/>
  <c r="N231" i="4" s="1"/>
  <c r="AB231" i="4"/>
  <c r="AC9" i="4"/>
  <c r="N9" i="4" s="1"/>
  <c r="AB9" i="4"/>
  <c r="AC23" i="4"/>
  <c r="N23" i="4" s="1"/>
  <c r="AB23" i="4"/>
  <c r="AB127" i="4"/>
  <c r="AC478" i="4"/>
  <c r="N478" i="4" s="1"/>
  <c r="AB478" i="4"/>
  <c r="AC416" i="4"/>
  <c r="N416" i="4" s="1"/>
  <c r="AB416" i="4"/>
  <c r="AA111" i="4"/>
  <c r="AB111" i="4" s="1"/>
  <c r="AB112" i="4"/>
  <c r="AC150" i="4"/>
  <c r="N150" i="4" s="1"/>
  <c r="AB150" i="4"/>
  <c r="AC99" i="4"/>
  <c r="N99" i="4" s="1"/>
  <c r="AB99" i="4"/>
  <c r="AC481" i="4"/>
  <c r="N481" i="4" s="1"/>
  <c r="AB481" i="4"/>
  <c r="AC303" i="4"/>
  <c r="N303" i="4" s="1"/>
  <c r="AA126" i="4"/>
  <c r="AB348" i="4"/>
  <c r="AC348" i="4"/>
  <c r="N348" i="4" s="1"/>
  <c r="AC263" i="4"/>
  <c r="N263" i="4" s="1"/>
  <c r="AB263" i="4"/>
  <c r="AB132" i="4"/>
  <c r="AC132" i="4"/>
  <c r="N132" i="4" s="1"/>
  <c r="AB321" i="4"/>
  <c r="AC321" i="4"/>
  <c r="N321" i="4" s="1"/>
  <c r="AB292" i="4"/>
  <c r="AC292" i="4"/>
  <c r="N292" i="4" s="1"/>
  <c r="AC403" i="4"/>
  <c r="N403" i="4" s="1"/>
  <c r="AB403" i="4"/>
  <c r="AB56" i="4"/>
  <c r="AC56" i="4"/>
  <c r="N56" i="4" s="1"/>
  <c r="AB116" i="4"/>
  <c r="AC116" i="4"/>
  <c r="N116" i="4" s="1"/>
  <c r="AB334" i="4"/>
  <c r="AC334" i="4"/>
  <c r="N334" i="4" s="1"/>
  <c r="AC389" i="4"/>
  <c r="N389" i="4" s="1"/>
  <c r="AB389" i="4"/>
  <c r="AC69" i="4"/>
  <c r="N69" i="4" s="1"/>
  <c r="AB69" i="4"/>
  <c r="AB236" i="4"/>
  <c r="AC236" i="4"/>
  <c r="N236" i="4" s="1"/>
  <c r="AC169" i="4"/>
  <c r="N169" i="4" s="1"/>
  <c r="AB169" i="4"/>
  <c r="AC163" i="4"/>
  <c r="N163" i="4" s="1"/>
  <c r="AB163" i="4"/>
  <c r="AB122" i="4"/>
  <c r="AC122" i="4"/>
  <c r="N122" i="4" s="1"/>
  <c r="AB480" i="4"/>
  <c r="AC480" i="4"/>
  <c r="N480" i="4" s="1"/>
  <c r="AB26" i="4"/>
  <c r="AC26" i="4"/>
  <c r="N26" i="4" s="1"/>
  <c r="AB407" i="4"/>
  <c r="AC407" i="4"/>
  <c r="N407" i="4" s="1"/>
  <c r="AC250" i="4"/>
  <c r="N250" i="4" s="1"/>
  <c r="AB250" i="4"/>
  <c r="AC243" i="4"/>
  <c r="N243" i="4" s="1"/>
  <c r="AB243" i="4"/>
  <c r="AB42" i="4"/>
  <c r="AC42" i="4"/>
  <c r="N42" i="4" s="1"/>
  <c r="AC135" i="4"/>
  <c r="N135" i="4" s="1"/>
  <c r="AB135" i="4"/>
  <c r="AB305" i="4"/>
  <c r="AC305" i="4"/>
  <c r="N305" i="4" s="1"/>
  <c r="AA194" i="4"/>
  <c r="AB194" i="4" s="1"/>
  <c r="AA189" i="4"/>
  <c r="AC88" i="4"/>
  <c r="N88" i="4" s="1"/>
  <c r="AB88" i="4"/>
  <c r="AB255" i="4"/>
  <c r="AC255" i="4"/>
  <c r="N255" i="4" s="1"/>
  <c r="AB415" i="4"/>
  <c r="AC415" i="4"/>
  <c r="N415" i="4" s="1"/>
  <c r="AB107" i="4"/>
  <c r="AC107" i="4"/>
  <c r="N107" i="4" s="1"/>
  <c r="AC244" i="4"/>
  <c r="N244" i="4" s="1"/>
  <c r="AB244" i="4"/>
  <c r="AB175" i="4"/>
  <c r="AC175" i="4"/>
  <c r="N175" i="4" s="1"/>
  <c r="AA338" i="4"/>
  <c r="AB338" i="4" s="1"/>
  <c r="AB399" i="4"/>
  <c r="AC399" i="4"/>
  <c r="N399" i="4" s="1"/>
  <c r="AB39" i="4"/>
  <c r="AC39" i="4"/>
  <c r="N39" i="4" s="1"/>
  <c r="AB470" i="4"/>
  <c r="AC470" i="4"/>
  <c r="N470" i="4" s="1"/>
  <c r="AB54" i="4"/>
  <c r="AC54" i="4"/>
  <c r="N54" i="4" s="1"/>
  <c r="AC46" i="4"/>
  <c r="N46" i="4" s="1"/>
  <c r="AB46" i="4"/>
  <c r="AA183" i="4"/>
  <c r="AC248" i="4"/>
  <c r="N248" i="4" s="1"/>
  <c r="AB248" i="4"/>
  <c r="AC351" i="4"/>
  <c r="N351" i="4" s="1"/>
  <c r="AB351" i="4"/>
  <c r="AC44" i="4"/>
  <c r="N44" i="4" s="1"/>
  <c r="AB44" i="4"/>
  <c r="AC249" i="4"/>
  <c r="N249" i="4" s="1"/>
  <c r="AB249" i="4"/>
  <c r="AC282" i="4"/>
  <c r="N282" i="4" s="1"/>
  <c r="AB282" i="4"/>
  <c r="AC170" i="4"/>
  <c r="N170" i="4" s="1"/>
  <c r="AB170" i="4"/>
  <c r="AC450" i="4"/>
  <c r="N450" i="4" s="1"/>
  <c r="AB450" i="4"/>
  <c r="AB208" i="4"/>
  <c r="AC208" i="4"/>
  <c r="N208" i="4" s="1"/>
  <c r="AB229" i="4"/>
  <c r="AC229" i="4"/>
  <c r="N229" i="4" s="1"/>
  <c r="AC198" i="4"/>
  <c r="N198" i="4" s="1"/>
  <c r="AB198" i="4"/>
  <c r="AC333" i="4"/>
  <c r="N333" i="4" s="1"/>
  <c r="AB333" i="4"/>
  <c r="AC64" i="4"/>
  <c r="N64" i="4" s="1"/>
  <c r="AB64" i="4"/>
  <c r="AC70" i="4"/>
  <c r="N70" i="4" s="1"/>
  <c r="AB70" i="4"/>
  <c r="AC285" i="4"/>
  <c r="N285" i="4" s="1"/>
  <c r="AB285" i="4"/>
  <c r="AB220" i="4"/>
  <c r="AC220" i="4"/>
  <c r="N220" i="4" s="1"/>
  <c r="AB176" i="4"/>
  <c r="AC176" i="4"/>
  <c r="N176" i="4" s="1"/>
  <c r="AC30" i="4"/>
  <c r="N30" i="4" s="1"/>
  <c r="AB30" i="4"/>
  <c r="AC485" i="4"/>
  <c r="N485" i="4" s="1"/>
  <c r="AB485" i="4"/>
  <c r="AB291" i="4"/>
  <c r="AC291" i="4"/>
  <c r="N291" i="4" s="1"/>
  <c r="AC41" i="4"/>
  <c r="N41" i="4" s="1"/>
  <c r="AB41" i="4"/>
  <c r="AB14" i="4"/>
  <c r="AC14" i="4"/>
  <c r="N14" i="4" s="1"/>
  <c r="AB296" i="4"/>
  <c r="AC296" i="4"/>
  <c r="N296" i="4" s="1"/>
  <c r="AC304" i="4"/>
  <c r="N304" i="4" s="1"/>
  <c r="AB304" i="4"/>
  <c r="AB82" i="4"/>
  <c r="AC82" i="4"/>
  <c r="N82" i="4" s="1"/>
  <c r="AB31" i="4"/>
  <c r="AC31" i="4"/>
  <c r="N31" i="4" s="1"/>
  <c r="AC329" i="4"/>
  <c r="N329" i="4" s="1"/>
  <c r="AB329" i="4"/>
  <c r="AC138" i="4"/>
  <c r="N138" i="4" s="1"/>
  <c r="AB138" i="4"/>
  <c r="AB146" i="4"/>
  <c r="AC146" i="4"/>
  <c r="N146" i="4" s="1"/>
  <c r="AC213" i="4"/>
  <c r="N213" i="4" s="1"/>
  <c r="AB213" i="4"/>
  <c r="AC62" i="4"/>
  <c r="N62" i="4" s="1"/>
  <c r="AB62" i="4"/>
  <c r="AC235" i="4"/>
  <c r="N235" i="4" s="1"/>
  <c r="AB235" i="4"/>
  <c r="AC466" i="4"/>
  <c r="N466" i="4" s="1"/>
  <c r="AB466" i="4"/>
  <c r="AB501" i="4"/>
  <c r="AC501" i="4"/>
  <c r="N501" i="4" s="1"/>
  <c r="AC402" i="4"/>
  <c r="N402" i="4" s="1"/>
  <c r="AB402" i="4"/>
  <c r="AB256" i="4"/>
  <c r="AC256" i="4"/>
  <c r="N256" i="4" s="1"/>
  <c r="AC108" i="4"/>
  <c r="N108" i="4" s="1"/>
  <c r="AB108" i="4"/>
  <c r="AB190" i="4"/>
  <c r="AC190" i="4"/>
  <c r="N190" i="4" s="1"/>
  <c r="AA344" i="4"/>
  <c r="AB344" i="4" s="1"/>
  <c r="AA251" i="4"/>
  <c r="AB251" i="4" s="1"/>
  <c r="AC67" i="4"/>
  <c r="N67" i="4" s="1"/>
  <c r="AB67" i="4"/>
  <c r="AC359" i="4"/>
  <c r="N359" i="4" s="1"/>
  <c r="AB359" i="4"/>
  <c r="AC164" i="4"/>
  <c r="N164" i="4" s="1"/>
  <c r="AB164" i="4"/>
  <c r="AC299" i="4"/>
  <c r="N299" i="4" s="1"/>
  <c r="AB299" i="4"/>
  <c r="AC260" i="4"/>
  <c r="N260" i="4" s="1"/>
  <c r="AB260" i="4"/>
  <c r="AB327" i="4"/>
  <c r="AC327" i="4"/>
  <c r="N327" i="4" s="1"/>
  <c r="AC268" i="4"/>
  <c r="N268" i="4" s="1"/>
  <c r="AB268" i="4"/>
  <c r="AB425" i="4"/>
  <c r="AC425" i="4"/>
  <c r="N425" i="4" s="1"/>
  <c r="AC418" i="4"/>
  <c r="N418" i="4" s="1"/>
  <c r="AB418" i="4"/>
  <c r="AB212" i="4"/>
  <c r="AC212" i="4"/>
  <c r="N212" i="4" s="1"/>
  <c r="AC106" i="4"/>
  <c r="N106" i="4" s="1"/>
  <c r="AB106" i="4"/>
  <c r="AC483" i="4"/>
  <c r="N483" i="4" s="1"/>
  <c r="AB483" i="4"/>
  <c r="AC422" i="4"/>
  <c r="N422" i="4" s="1"/>
  <c r="AB422" i="4"/>
  <c r="AC313" i="4"/>
  <c r="N313" i="4" s="1"/>
  <c r="AB313" i="4"/>
  <c r="AC380" i="4"/>
  <c r="N380" i="4" s="1"/>
  <c r="AB380" i="4"/>
  <c r="AC245" i="4"/>
  <c r="N245" i="4" s="1"/>
  <c r="AB245" i="4"/>
  <c r="AA372" i="4"/>
  <c r="AC372" i="4" s="1"/>
  <c r="N372" i="4" s="1"/>
  <c r="AA463" i="4"/>
  <c r="AA286" i="4"/>
  <c r="AB286" i="4" s="1"/>
  <c r="AC22" i="4"/>
  <c r="N22" i="4" s="1"/>
  <c r="AB22" i="4"/>
  <c r="AC152" i="4"/>
  <c r="N152" i="4" s="1"/>
  <c r="AB152" i="4"/>
  <c r="AB136" i="4"/>
  <c r="AC136" i="4"/>
  <c r="N136" i="4" s="1"/>
  <c r="AB179" i="4"/>
  <c r="AC179" i="4"/>
  <c r="N179" i="4" s="1"/>
  <c r="AB272" i="4"/>
  <c r="AC272" i="4"/>
  <c r="N272" i="4" s="1"/>
  <c r="AA61" i="4"/>
  <c r="AA362" i="4"/>
  <c r="AB362" i="4" s="1"/>
  <c r="AC214" i="4"/>
  <c r="N214" i="4" s="1"/>
  <c r="AB214" i="4"/>
  <c r="AC162" i="4"/>
  <c r="N162" i="4" s="1"/>
  <c r="AB162" i="4"/>
  <c r="AC498" i="4"/>
  <c r="N498" i="4" s="1"/>
  <c r="AB498" i="4"/>
  <c r="AB369" i="4"/>
  <c r="AC369" i="4"/>
  <c r="N369" i="4" s="1"/>
  <c r="AB186" i="4"/>
  <c r="AC186" i="4"/>
  <c r="N186" i="4" s="1"/>
  <c r="AB434" i="4"/>
  <c r="AC434" i="4"/>
  <c r="N434" i="4" s="1"/>
  <c r="AC154" i="4"/>
  <c r="N154" i="4" s="1"/>
  <c r="AB154" i="4"/>
  <c r="AB438" i="4"/>
  <c r="AC438" i="4"/>
  <c r="N438" i="4" s="1"/>
  <c r="AB409" i="4"/>
  <c r="AC409" i="4"/>
  <c r="N409" i="4" s="1"/>
  <c r="AB246" i="4"/>
  <c r="AC246" i="4"/>
  <c r="N246" i="4" s="1"/>
  <c r="AC267" i="4"/>
  <c r="N267" i="4" s="1"/>
  <c r="AB267" i="4"/>
  <c r="AB502" i="4"/>
  <c r="AC502" i="4"/>
  <c r="N502" i="4" s="1"/>
  <c r="AC283" i="4"/>
  <c r="N283" i="4" s="1"/>
  <c r="AB283" i="4"/>
  <c r="AC378" i="4"/>
  <c r="N378" i="4" s="1"/>
  <c r="AB378" i="4"/>
  <c r="AB27" i="4"/>
  <c r="AC27" i="4"/>
  <c r="N27" i="4" s="1"/>
  <c r="AC316" i="4"/>
  <c r="N316" i="4" s="1"/>
  <c r="AB316" i="4"/>
  <c r="AC293" i="4"/>
  <c r="N293" i="4" s="1"/>
  <c r="AB293" i="4"/>
  <c r="AB484" i="4"/>
  <c r="AC484" i="4"/>
  <c r="N484" i="4" s="1"/>
  <c r="AA205" i="4"/>
  <c r="AC205" i="4" s="1"/>
  <c r="N205" i="4" s="1"/>
  <c r="AB71" i="4"/>
  <c r="AC71" i="4"/>
  <c r="N71" i="4" s="1"/>
  <c r="AB230" i="4"/>
  <c r="AC230" i="4"/>
  <c r="N230" i="4" s="1"/>
  <c r="AC147" i="4"/>
  <c r="N147" i="4" s="1"/>
  <c r="AB147" i="4"/>
  <c r="AC48" i="4"/>
  <c r="N48" i="4" s="1"/>
  <c r="AB48" i="4"/>
  <c r="AC165" i="4"/>
  <c r="N165" i="4" s="1"/>
  <c r="AB165" i="4"/>
  <c r="AC37" i="4"/>
  <c r="N37" i="4" s="1"/>
  <c r="AB37" i="4"/>
  <c r="AC426" i="4"/>
  <c r="N426" i="4" s="1"/>
  <c r="AB426" i="4"/>
  <c r="AC218" i="4"/>
  <c r="N218" i="4" s="1"/>
  <c r="AB218" i="4"/>
  <c r="AB153" i="4"/>
  <c r="AC153" i="4"/>
  <c r="N153" i="4" s="1"/>
  <c r="AB454" i="4"/>
  <c r="AC454" i="4"/>
  <c r="N454" i="4" s="1"/>
  <c r="AB144" i="4"/>
  <c r="AC144" i="4"/>
  <c r="N144" i="4" s="1"/>
  <c r="AC428" i="4"/>
  <c r="N428" i="4" s="1"/>
  <c r="AB428" i="4"/>
  <c r="AB45" i="4"/>
  <c r="AC45" i="4"/>
  <c r="N45" i="4" s="1"/>
  <c r="AB199" i="4"/>
  <c r="AC199" i="4"/>
  <c r="N199" i="4" s="1"/>
  <c r="AC83" i="4"/>
  <c r="N83" i="4" s="1"/>
  <c r="AB83" i="4"/>
  <c r="AA384" i="4"/>
  <c r="AB384" i="4" s="1"/>
  <c r="AB365" i="4"/>
  <c r="AC365" i="4"/>
  <c r="N365" i="4" s="1"/>
  <c r="AC436" i="4"/>
  <c r="N436" i="4" s="1"/>
  <c r="AB436" i="4"/>
  <c r="AB47" i="4"/>
  <c r="AC47" i="4"/>
  <c r="N47" i="4" s="1"/>
  <c r="AB346" i="4"/>
  <c r="AC346" i="4"/>
  <c r="N346" i="4" s="1"/>
  <c r="AB435" i="4"/>
  <c r="AC435" i="4"/>
  <c r="N435" i="4" s="1"/>
  <c r="AB94" i="4"/>
  <c r="AC94" i="4"/>
  <c r="N94" i="4" s="1"/>
  <c r="AB280" i="4"/>
  <c r="AC280" i="4"/>
  <c r="N280" i="4" s="1"/>
  <c r="AB467" i="4"/>
  <c r="AC467" i="4"/>
  <c r="N467" i="4" s="1"/>
  <c r="AB420" i="4"/>
  <c r="AC420" i="4"/>
  <c r="N420" i="4" s="1"/>
  <c r="AC233" i="4"/>
  <c r="N233" i="4" s="1"/>
  <c r="AB233" i="4"/>
  <c r="AB207" i="4"/>
  <c r="AC207" i="4"/>
  <c r="N207" i="4" s="1"/>
  <c r="AB317" i="4"/>
  <c r="AC317" i="4"/>
  <c r="N317" i="4" s="1"/>
  <c r="AB206" i="4"/>
  <c r="AC206" i="4"/>
  <c r="N206" i="4" s="1"/>
  <c r="AC400" i="4"/>
  <c r="N400" i="4" s="1"/>
  <c r="AB400" i="4"/>
  <c r="AC357" i="4"/>
  <c r="N357" i="4" s="1"/>
  <c r="AB357" i="4"/>
  <c r="AB331" i="4"/>
  <c r="AC331" i="4"/>
  <c r="N331" i="4" s="1"/>
  <c r="AB156" i="4"/>
  <c r="AC156" i="4"/>
  <c r="N156" i="4" s="1"/>
  <c r="AB49" i="4"/>
  <c r="AC49" i="4"/>
  <c r="N49" i="4" s="1"/>
  <c r="AC355" i="4"/>
  <c r="N355" i="4" s="1"/>
  <c r="AB355" i="4"/>
  <c r="AC444" i="4"/>
  <c r="N444" i="4" s="1"/>
  <c r="AB444" i="4"/>
  <c r="AC197" i="4"/>
  <c r="N197" i="4" s="1"/>
  <c r="AB197" i="4"/>
  <c r="AC499" i="4"/>
  <c r="N499" i="4" s="1"/>
  <c r="AB499" i="4"/>
  <c r="AB159" i="4"/>
  <c r="AC159" i="4"/>
  <c r="N159" i="4" s="1"/>
  <c r="AC276" i="4"/>
  <c r="N276" i="4" s="1"/>
  <c r="AB276" i="4"/>
  <c r="AB171" i="4"/>
  <c r="AC171" i="4"/>
  <c r="N171" i="4" s="1"/>
  <c r="AB192" i="4"/>
  <c r="AC192" i="4"/>
  <c r="N192" i="4" s="1"/>
  <c r="AB266" i="4"/>
  <c r="AC266" i="4"/>
  <c r="N266" i="4" s="1"/>
  <c r="AB368" i="4"/>
  <c r="AC368" i="4"/>
  <c r="N368" i="4" s="1"/>
  <c r="AC391" i="4"/>
  <c r="N391" i="4" s="1"/>
  <c r="AB391" i="4"/>
  <c r="AC417" i="4"/>
  <c r="N417" i="4" s="1"/>
  <c r="AB417" i="4"/>
  <c r="AC124" i="4"/>
  <c r="N124" i="4" s="1"/>
  <c r="AB124" i="4"/>
  <c r="AB11" i="4"/>
  <c r="AC11" i="4"/>
  <c r="N11" i="4" s="1"/>
  <c r="AB128" i="4"/>
  <c r="AC128" i="4"/>
  <c r="N128" i="4" s="1"/>
  <c r="AB95" i="4"/>
  <c r="AC95" i="4"/>
  <c r="N95" i="4" s="1"/>
  <c r="AC397" i="4"/>
  <c r="N397" i="4" s="1"/>
  <c r="AB397" i="4"/>
  <c r="AB16" i="4"/>
  <c r="AC16" i="4"/>
  <c r="N16" i="4" s="1"/>
  <c r="AC496" i="4"/>
  <c r="N496" i="4" s="1"/>
  <c r="AB496" i="4"/>
  <c r="AB414" i="4"/>
  <c r="AC414" i="4"/>
  <c r="N414" i="4" s="1"/>
  <c r="AC178" i="4"/>
  <c r="N178" i="4" s="1"/>
  <c r="AB178" i="4"/>
  <c r="AB309" i="4"/>
  <c r="AC309" i="4"/>
  <c r="N309" i="4" s="1"/>
  <c r="AB8" i="4"/>
  <c r="AC8" i="4"/>
  <c r="N8" i="4" s="1"/>
  <c r="AB452" i="4"/>
  <c r="AC452" i="4"/>
  <c r="N452" i="4" s="1"/>
  <c r="AB310" i="4"/>
  <c r="AC310" i="4"/>
  <c r="N310" i="4" s="1"/>
  <c r="V338" i="4"/>
  <c r="W338" i="4"/>
  <c r="AB318" i="4"/>
  <c r="AC318" i="4"/>
  <c r="N318" i="4" s="1"/>
  <c r="AB160" i="4"/>
  <c r="AC160" i="4"/>
  <c r="N160" i="4" s="1"/>
  <c r="W117" i="4"/>
  <c r="V117" i="4"/>
  <c r="AA117" i="4"/>
  <c r="W126" i="4"/>
  <c r="V126" i="4"/>
  <c r="AB308" i="4"/>
  <c r="AC308" i="4"/>
  <c r="N308" i="4" s="1"/>
  <c r="AB375" i="4"/>
  <c r="AC375" i="4"/>
  <c r="N375" i="4" s="1"/>
  <c r="AC382" i="4"/>
  <c r="N382" i="4" s="1"/>
  <c r="AB382" i="4"/>
  <c r="V51" i="4"/>
  <c r="W51" i="4"/>
  <c r="AB187" i="4"/>
  <c r="AC187" i="4"/>
  <c r="N187" i="4" s="1"/>
  <c r="AB381" i="4"/>
  <c r="AC381" i="4"/>
  <c r="N381" i="4" s="1"/>
  <c r="W364" i="4"/>
  <c r="V364" i="4"/>
  <c r="AA81" i="4"/>
  <c r="AA343" i="4"/>
  <c r="W183" i="4"/>
  <c r="V183" i="4"/>
  <c r="W241" i="4"/>
  <c r="AA241" i="4"/>
  <c r="V241" i="4"/>
  <c r="AC274" i="4"/>
  <c r="N274" i="4" s="1"/>
  <c r="AB274" i="4"/>
  <c r="AB320" i="4"/>
  <c r="AC320" i="4"/>
  <c r="N320" i="4" s="1"/>
  <c r="V137" i="4"/>
  <c r="W137" i="4"/>
  <c r="AA137" i="4"/>
  <c r="AB17" i="4"/>
  <c r="AB25" i="4"/>
  <c r="AC25" i="4"/>
  <c r="N25" i="4" s="1"/>
  <c r="AC408" i="4"/>
  <c r="N408" i="4" s="1"/>
  <c r="AB408" i="4"/>
  <c r="AB96" i="4"/>
  <c r="AC96" i="4"/>
  <c r="N96" i="4" s="1"/>
  <c r="AC366" i="4"/>
  <c r="N366" i="4" s="1"/>
  <c r="AB366" i="4"/>
  <c r="AC377" i="4"/>
  <c r="N377" i="4" s="1"/>
  <c r="AB377" i="4"/>
  <c r="AC151" i="4"/>
  <c r="N151" i="4" s="1"/>
  <c r="AB151" i="4"/>
  <c r="AB100" i="4"/>
  <c r="AC100" i="4"/>
  <c r="N100" i="4" s="1"/>
  <c r="AB125" i="4"/>
  <c r="AC125" i="4"/>
  <c r="N125" i="4" s="1"/>
  <c r="AC497" i="4"/>
  <c r="N497" i="4" s="1"/>
  <c r="AB497" i="4"/>
  <c r="AC91" i="4"/>
  <c r="N91" i="4" s="1"/>
  <c r="AB91" i="4"/>
  <c r="AB119" i="4"/>
  <c r="AC119" i="4"/>
  <c r="N119" i="4" s="1"/>
  <c r="AB479" i="4"/>
  <c r="AC479" i="4"/>
  <c r="N479" i="4" s="1"/>
  <c r="V32" i="4"/>
  <c r="AA32" i="4"/>
  <c r="W32" i="4"/>
  <c r="AC448" i="4"/>
  <c r="N448" i="4" s="1"/>
  <c r="AB448" i="4"/>
  <c r="AC396" i="4"/>
  <c r="N396" i="4" s="1"/>
  <c r="AB396" i="4"/>
  <c r="V191" i="4"/>
  <c r="W191" i="4"/>
  <c r="AB130" i="4"/>
  <c r="AC130" i="4"/>
  <c r="N130" i="4" s="1"/>
  <c r="W61" i="4"/>
  <c r="V61" i="4"/>
  <c r="V372" i="4"/>
  <c r="W372" i="4"/>
  <c r="AC339" i="4"/>
  <c r="N339" i="4" s="1"/>
  <c r="AB339" i="4"/>
  <c r="AC60" i="4"/>
  <c r="N60" i="4" s="1"/>
  <c r="AB60" i="4"/>
  <c r="V463" i="4"/>
  <c r="W463" i="4"/>
  <c r="V17" i="4"/>
  <c r="W17" i="4"/>
  <c r="AC458" i="4"/>
  <c r="N458" i="4" s="1"/>
  <c r="AB458" i="4"/>
  <c r="AB429" i="4"/>
  <c r="AC429" i="4"/>
  <c r="N429" i="4" s="1"/>
  <c r="AC432" i="4"/>
  <c r="N432" i="4" s="1"/>
  <c r="AB432" i="4"/>
  <c r="AC61" i="4"/>
  <c r="N61" i="4" s="1"/>
  <c r="AB61" i="4"/>
  <c r="V81" i="4"/>
  <c r="W81" i="4"/>
  <c r="AB430" i="4"/>
  <c r="AC430" i="4"/>
  <c r="N430" i="4" s="1"/>
  <c r="AB155" i="4"/>
  <c r="AC155" i="4"/>
  <c r="N155" i="4" s="1"/>
  <c r="AC284" i="4"/>
  <c r="N284" i="4" s="1"/>
  <c r="AB284" i="4"/>
  <c r="AB73" i="4"/>
  <c r="AC73" i="4"/>
  <c r="N73" i="4" s="1"/>
  <c r="AC328" i="4"/>
  <c r="N328" i="4" s="1"/>
  <c r="AB328" i="4"/>
  <c r="AB177" i="4"/>
  <c r="AC177" i="4"/>
  <c r="N177" i="4" s="1"/>
  <c r="AC388" i="4"/>
  <c r="N388" i="4" s="1"/>
  <c r="AB388" i="4"/>
  <c r="AB500" i="4"/>
  <c r="AC500" i="4"/>
  <c r="N500" i="4" s="1"/>
  <c r="AC168" i="4"/>
  <c r="N168" i="4" s="1"/>
  <c r="AB168" i="4"/>
  <c r="AB131" i="4"/>
  <c r="AC131" i="4"/>
  <c r="N131" i="4" s="1"/>
  <c r="AC140" i="4"/>
  <c r="N140" i="4" s="1"/>
  <c r="AB140" i="4"/>
  <c r="AC456" i="4"/>
  <c r="N456" i="4" s="1"/>
  <c r="AB456" i="4"/>
  <c r="AC110" i="4"/>
  <c r="N110" i="4" s="1"/>
  <c r="AB110" i="4"/>
  <c r="AC464" i="4"/>
  <c r="N464" i="4" s="1"/>
  <c r="AB464" i="4"/>
  <c r="AC275" i="4"/>
  <c r="N275" i="4" s="1"/>
  <c r="AB275" i="4"/>
  <c r="AB354" i="4"/>
  <c r="AC354" i="4"/>
  <c r="N354" i="4" s="1"/>
  <c r="AC222" i="4"/>
  <c r="N222" i="4" s="1"/>
  <c r="AB222" i="4"/>
  <c r="AB347" i="4"/>
  <c r="AC347" i="4"/>
  <c r="N347" i="4" s="1"/>
  <c r="AA239" i="4"/>
  <c r="AA141" i="4"/>
  <c r="AC182" i="4"/>
  <c r="N182" i="4" s="1"/>
  <c r="AB182" i="4"/>
  <c r="W130" i="4"/>
  <c r="V130" i="4"/>
  <c r="AA488" i="4"/>
  <c r="AA469" i="4"/>
  <c r="AA185" i="4"/>
  <c r="AA219" i="4"/>
  <c r="W286" i="4"/>
  <c r="V286" i="4"/>
  <c r="V181" i="4"/>
  <c r="W181" i="4"/>
  <c r="AC225" i="4"/>
  <c r="N225" i="4" s="1"/>
  <c r="AB225" i="4"/>
  <c r="AB360" i="4"/>
  <c r="AC360" i="4"/>
  <c r="N360" i="4" s="1"/>
  <c r="AC463" i="4"/>
  <c r="N463" i="4" s="1"/>
  <c r="AB463" i="4"/>
  <c r="AC412" i="4"/>
  <c r="N412" i="4" s="1"/>
  <c r="AB412" i="4"/>
  <c r="AB114" i="4"/>
  <c r="AC114" i="4"/>
  <c r="N114" i="4" s="1"/>
  <c r="AB89" i="4"/>
  <c r="AC89" i="4"/>
  <c r="N89" i="4" s="1"/>
  <c r="AB134" i="4"/>
  <c r="AC134" i="4"/>
  <c r="N134" i="4" s="1"/>
  <c r="AC390" i="4"/>
  <c r="N390" i="4" s="1"/>
  <c r="AB390" i="4"/>
  <c r="AB472" i="4"/>
  <c r="AC472" i="4"/>
  <c r="N472" i="4" s="1"/>
  <c r="AC361" i="4"/>
  <c r="N361" i="4" s="1"/>
  <c r="AB361" i="4"/>
  <c r="AB24" i="4"/>
  <c r="AC24" i="4"/>
  <c r="N24" i="4" s="1"/>
  <c r="AC465" i="4"/>
  <c r="N465" i="4" s="1"/>
  <c r="AB465" i="4"/>
  <c r="AC376" i="4"/>
  <c r="N376" i="4" s="1"/>
  <c r="AB376" i="4"/>
  <c r="AB392" i="4"/>
  <c r="AC392" i="4"/>
  <c r="N392" i="4" s="1"/>
  <c r="AB173" i="4"/>
  <c r="AC173" i="4"/>
  <c r="N173" i="4" s="1"/>
  <c r="AB180" i="4"/>
  <c r="AC180" i="4"/>
  <c r="N180" i="4" s="1"/>
  <c r="AC76" i="4"/>
  <c r="N76" i="4" s="1"/>
  <c r="AB76" i="4"/>
  <c r="AC242" i="4"/>
  <c r="N242" i="4" s="1"/>
  <c r="AB242" i="4"/>
  <c r="W239" i="4"/>
  <c r="V239" i="4"/>
  <c r="V141" i="4"/>
  <c r="W141" i="4"/>
  <c r="AC439" i="4"/>
  <c r="N439" i="4" s="1"/>
  <c r="AB439" i="4"/>
  <c r="V488" i="4"/>
  <c r="W488" i="4"/>
  <c r="W469" i="4"/>
  <c r="V469" i="4"/>
  <c r="AB58" i="4"/>
  <c r="AC58" i="4"/>
  <c r="N58" i="4" s="1"/>
  <c r="AA487" i="4"/>
  <c r="W487" i="4"/>
  <c r="V487" i="4"/>
  <c r="AC440" i="4"/>
  <c r="N440" i="4" s="1"/>
  <c r="AB440" i="4"/>
  <c r="V185" i="4"/>
  <c r="W185" i="4"/>
  <c r="V219" i="4"/>
  <c r="W219" i="4"/>
  <c r="AC302" i="4"/>
  <c r="N302" i="4" s="1"/>
  <c r="AB302" i="4"/>
  <c r="AB410" i="4"/>
  <c r="AC410" i="4"/>
  <c r="N410" i="4" s="1"/>
  <c r="AC311" i="4"/>
  <c r="N311" i="4" s="1"/>
  <c r="AB311" i="4"/>
  <c r="V343" i="4"/>
  <c r="W343" i="4"/>
  <c r="AC401" i="4"/>
  <c r="N401" i="4" s="1"/>
  <c r="AB401" i="4"/>
  <c r="AC427" i="4"/>
  <c r="N427" i="4" s="1"/>
  <c r="AB427" i="4"/>
  <c r="AB326" i="4"/>
  <c r="AC326" i="4"/>
  <c r="N326" i="4" s="1"/>
  <c r="AB20" i="4"/>
  <c r="AC20" i="4"/>
  <c r="N20" i="4" s="1"/>
  <c r="AB281" i="4"/>
  <c r="AC281" i="4"/>
  <c r="N281" i="4" s="1"/>
  <c r="AC449" i="4"/>
  <c r="N449" i="4" s="1"/>
  <c r="AB449" i="4"/>
  <c r="AC424" i="4"/>
  <c r="N424" i="4" s="1"/>
  <c r="AB424" i="4"/>
  <c r="AC33" i="4"/>
  <c r="N33" i="4" s="1"/>
  <c r="AB33" i="4"/>
  <c r="AC262" i="4"/>
  <c r="N262" i="4" s="1"/>
  <c r="AB262" i="4"/>
  <c r="AC174" i="4"/>
  <c r="N174" i="4" s="1"/>
  <c r="AB174" i="4"/>
  <c r="AB332" i="4"/>
  <c r="AC332" i="4"/>
  <c r="N332" i="4" s="1"/>
  <c r="AB224" i="4"/>
  <c r="AC224" i="4"/>
  <c r="N224" i="4" s="1"/>
  <c r="AC201" i="4"/>
  <c r="N201" i="4" s="1"/>
  <c r="AB201" i="4"/>
  <c r="AB167" i="4"/>
  <c r="AC167" i="4"/>
  <c r="N167" i="4" s="1"/>
  <c r="AB471" i="4"/>
  <c r="AC471" i="4"/>
  <c r="N471" i="4" s="1"/>
  <c r="AA18" i="4"/>
  <c r="AA492" i="4"/>
  <c r="V269" i="4"/>
  <c r="AA269" i="4"/>
  <c r="W269" i="4"/>
  <c r="AC489" i="4"/>
  <c r="N489" i="4" s="1"/>
  <c r="AB489" i="4"/>
  <c r="V437" i="4"/>
  <c r="W437" i="4"/>
  <c r="AB273" i="4"/>
  <c r="AC273" i="4"/>
  <c r="N273" i="4" s="1"/>
  <c r="AA38" i="4"/>
  <c r="V38" i="4"/>
  <c r="W38" i="4"/>
  <c r="V362" i="4"/>
  <c r="W362" i="4"/>
  <c r="AB371" i="4"/>
  <c r="AC371" i="4"/>
  <c r="N371" i="4" s="1"/>
  <c r="AC195" i="4"/>
  <c r="N195" i="4" s="1"/>
  <c r="AB195" i="4"/>
  <c r="AC29" i="4"/>
  <c r="N29" i="4" s="1"/>
  <c r="AB29" i="4"/>
  <c r="AC19" i="4"/>
  <c r="N19" i="4" s="1"/>
  <c r="AB19" i="4"/>
  <c r="AC228" i="4"/>
  <c r="N228" i="4" s="1"/>
  <c r="AB228" i="4"/>
  <c r="AC294" i="4"/>
  <c r="N294" i="4" s="1"/>
  <c r="AB294" i="4"/>
  <c r="AB495" i="4"/>
  <c r="AC495" i="4"/>
  <c r="N495" i="4" s="1"/>
  <c r="AB423" i="4"/>
  <c r="AC423" i="4"/>
  <c r="N423" i="4" s="1"/>
  <c r="AC493" i="4"/>
  <c r="N493" i="4" s="1"/>
  <c r="AB493" i="4"/>
  <c r="AB53" i="4"/>
  <c r="AC53" i="4"/>
  <c r="N53" i="4" s="1"/>
  <c r="AB202" i="4"/>
  <c r="AC202" i="4"/>
  <c r="N202" i="4" s="1"/>
  <c r="AB161" i="4"/>
  <c r="AC161" i="4"/>
  <c r="N161" i="4" s="1"/>
  <c r="W18" i="4"/>
  <c r="V18" i="4"/>
  <c r="AC265" i="4"/>
  <c r="N265" i="4" s="1"/>
  <c r="AB265" i="4"/>
  <c r="W492" i="4"/>
  <c r="V492" i="4"/>
  <c r="AA315" i="4"/>
  <c r="AC270" i="4"/>
  <c r="N270" i="4" s="1"/>
  <c r="AB270" i="4"/>
  <c r="AA59" i="4"/>
  <c r="AB404" i="4"/>
  <c r="AC404" i="4"/>
  <c r="N404" i="4" s="1"/>
  <c r="W205" i="4"/>
  <c r="V205" i="4"/>
  <c r="AA217" i="4"/>
  <c r="V273" i="4"/>
  <c r="W273" i="4"/>
  <c r="AA7" i="4"/>
  <c r="AC79" i="4"/>
  <c r="N79" i="4" s="1"/>
  <c r="AB79" i="4"/>
  <c r="AB204" i="4"/>
  <c r="AC204" i="4"/>
  <c r="N204" i="4" s="1"/>
  <c r="AB72" i="4"/>
  <c r="AC72" i="4"/>
  <c r="N72" i="4" s="1"/>
  <c r="AC109" i="4"/>
  <c r="N109" i="4" s="1"/>
  <c r="AB109" i="4"/>
  <c r="AB474" i="4"/>
  <c r="AC474" i="4"/>
  <c r="N474" i="4" s="1"/>
  <c r="AC5" i="4"/>
  <c r="N5" i="4" s="1"/>
  <c r="AB5" i="4"/>
  <c r="AB216" i="4"/>
  <c r="AC216" i="4"/>
  <c r="N216" i="4" s="1"/>
  <c r="AB441" i="4"/>
  <c r="AC441" i="4"/>
  <c r="N441" i="4" s="1"/>
  <c r="AC352" i="4"/>
  <c r="N352" i="4" s="1"/>
  <c r="AB352" i="4"/>
  <c r="AC373" i="4"/>
  <c r="N373" i="4" s="1"/>
  <c r="AB373" i="4"/>
  <c r="W315" i="4"/>
  <c r="V315" i="4"/>
  <c r="W59" i="4"/>
  <c r="V59" i="4"/>
  <c r="AC118" i="4"/>
  <c r="N118" i="4" s="1"/>
  <c r="AB118" i="4"/>
  <c r="V217" i="4"/>
  <c r="W217" i="4"/>
  <c r="AC490" i="4"/>
  <c r="N490" i="4" s="1"/>
  <c r="AB490" i="4"/>
  <c r="AA148" i="4"/>
  <c r="AB158" i="4"/>
  <c r="AC158" i="4"/>
  <c r="N158" i="4" s="1"/>
  <c r="V7" i="4"/>
  <c r="W7" i="4"/>
  <c r="AC254" i="4"/>
  <c r="N254" i="4" s="1"/>
  <c r="AB254" i="4"/>
  <c r="AB462" i="4"/>
  <c r="AC462" i="4"/>
  <c r="N462" i="4" s="1"/>
  <c r="AC68" i="4"/>
  <c r="N68" i="4" s="1"/>
  <c r="AB68" i="4"/>
  <c r="AB258" i="4"/>
  <c r="AC258" i="4"/>
  <c r="N258" i="4" s="1"/>
  <c r="AB451" i="4"/>
  <c r="AC451" i="4"/>
  <c r="N451" i="4" s="1"/>
  <c r="AC504" i="4"/>
  <c r="N504" i="4" s="1"/>
  <c r="AB504" i="4"/>
  <c r="AC312" i="4"/>
  <c r="N312" i="4" s="1"/>
  <c r="AB312" i="4"/>
  <c r="AC287" i="4"/>
  <c r="N287" i="4" s="1"/>
  <c r="AB287" i="4"/>
  <c r="AC277" i="4"/>
  <c r="N277" i="4" s="1"/>
  <c r="AB277" i="4"/>
  <c r="AB209" i="4"/>
  <c r="AC209" i="4"/>
  <c r="N209" i="4" s="1"/>
  <c r="AC98" i="4"/>
  <c r="N98" i="4" s="1"/>
  <c r="AB98" i="4"/>
  <c r="AB387" i="4"/>
  <c r="AC387" i="4"/>
  <c r="N387" i="4" s="1"/>
  <c r="AC379" i="4"/>
  <c r="N379" i="4" s="1"/>
  <c r="AB379" i="4"/>
  <c r="AB227" i="4"/>
  <c r="AC227" i="4"/>
  <c r="N227" i="4" s="1"/>
  <c r="W101" i="4"/>
  <c r="V101" i="4"/>
  <c r="W210" i="4"/>
  <c r="V210" i="4"/>
  <c r="AB87" i="4"/>
  <c r="AC87" i="4"/>
  <c r="N87" i="4" s="1"/>
  <c r="V148" i="4"/>
  <c r="W148" i="4"/>
  <c r="AA271" i="4"/>
  <c r="AC457" i="4"/>
  <c r="N457" i="4" s="1"/>
  <c r="AB457" i="4"/>
  <c r="AB77" i="4"/>
  <c r="AC77" i="4"/>
  <c r="N77" i="4" s="1"/>
  <c r="AB419" i="4"/>
  <c r="AC419" i="4"/>
  <c r="N419" i="4" s="1"/>
  <c r="AB21" i="4"/>
  <c r="AC21" i="4"/>
  <c r="N21" i="4" s="1"/>
  <c r="AB433" i="4"/>
  <c r="AC433" i="4"/>
  <c r="N433" i="4" s="1"/>
  <c r="AC121" i="4"/>
  <c r="N121" i="4" s="1"/>
  <c r="AB121" i="4"/>
  <c r="AC115" i="4"/>
  <c r="N115" i="4" s="1"/>
  <c r="AB115" i="4"/>
  <c r="AC123" i="4"/>
  <c r="N123" i="4" s="1"/>
  <c r="AB123" i="4"/>
  <c r="AC105" i="4"/>
  <c r="N105" i="4" s="1"/>
  <c r="AB105" i="4"/>
  <c r="AC211" i="4"/>
  <c r="N211" i="4" s="1"/>
  <c r="AB211" i="4"/>
  <c r="AC358" i="4"/>
  <c r="N358" i="4" s="1"/>
  <c r="AB358" i="4"/>
  <c r="AB133" i="4"/>
  <c r="AC133" i="4"/>
  <c r="N133" i="4" s="1"/>
  <c r="AB386" i="4"/>
  <c r="AC386" i="4"/>
  <c r="N386" i="4" s="1"/>
  <c r="AB103" i="4"/>
  <c r="AC103" i="4"/>
  <c r="N103" i="4" s="1"/>
  <c r="AC324" i="4"/>
  <c r="N324" i="4" s="1"/>
  <c r="AB324" i="4"/>
  <c r="AC445" i="4"/>
  <c r="N445" i="4" s="1"/>
  <c r="AB445" i="4"/>
  <c r="AC446" i="4"/>
  <c r="N446" i="4" s="1"/>
  <c r="AB446" i="4"/>
  <c r="AB184" i="4"/>
  <c r="AC184" i="4"/>
  <c r="N184" i="4" s="1"/>
  <c r="AB238" i="4"/>
  <c r="AC238" i="4"/>
  <c r="N238" i="4" s="1"/>
  <c r="AB461" i="4"/>
  <c r="AC461" i="4"/>
  <c r="N461" i="4" s="1"/>
  <c r="AB482" i="4"/>
  <c r="AC482" i="4"/>
  <c r="N482" i="4" s="1"/>
  <c r="AB411" i="4"/>
  <c r="AC411" i="4"/>
  <c r="N411" i="4" s="1"/>
  <c r="W344" i="4"/>
  <c r="V344" i="4"/>
  <c r="W251" i="4"/>
  <c r="V251" i="4"/>
  <c r="AA340" i="4"/>
  <c r="W345" i="4"/>
  <c r="AA345" i="4"/>
  <c r="V345" i="4"/>
  <c r="AC289" i="4"/>
  <c r="N289" i="4" s="1"/>
  <c r="AB289" i="4"/>
  <c r="W111" i="4"/>
  <c r="V111" i="4"/>
  <c r="V384" i="4"/>
  <c r="W384" i="4"/>
  <c r="AA43" i="4"/>
  <c r="W43" i="4"/>
  <c r="V43" i="4"/>
  <c r="W194" i="4"/>
  <c r="V194" i="4"/>
  <c r="W271" i="4"/>
  <c r="V271" i="4"/>
  <c r="AC189" i="4"/>
  <c r="N189" i="4" s="1"/>
  <c r="AB189" i="4"/>
  <c r="V457" i="4"/>
  <c r="W457" i="4"/>
  <c r="AC6" i="4"/>
  <c r="N6" i="4" s="1"/>
  <c r="AB6" i="4"/>
  <c r="AB325" i="4"/>
  <c r="AC325" i="4"/>
  <c r="N325" i="4" s="1"/>
  <c r="AC12" i="4"/>
  <c r="N12" i="4" s="1"/>
  <c r="AB12" i="4"/>
  <c r="AB447" i="4"/>
  <c r="AC447" i="4"/>
  <c r="N447" i="4" s="1"/>
  <c r="AC307" i="4"/>
  <c r="N307" i="4" s="1"/>
  <c r="AB307" i="4"/>
  <c r="AC319" i="4"/>
  <c r="N319" i="4" s="1"/>
  <c r="AB319" i="4"/>
  <c r="AB10" i="4"/>
  <c r="AC10" i="4"/>
  <c r="N10" i="4" s="1"/>
  <c r="AC306" i="4"/>
  <c r="N306" i="4" s="1"/>
  <c r="AB306" i="4"/>
  <c r="AB129" i="4"/>
  <c r="AC129" i="4"/>
  <c r="N129" i="4" s="1"/>
  <c r="AB363" i="4"/>
  <c r="AC363" i="4"/>
  <c r="N363" i="4" s="1"/>
  <c r="AB55" i="4"/>
  <c r="AC55" i="4"/>
  <c r="N55" i="4" s="1"/>
  <c r="AC349" i="4"/>
  <c r="N349" i="4" s="1"/>
  <c r="AB349" i="4"/>
  <c r="AB394" i="4"/>
  <c r="AC394" i="4"/>
  <c r="N394" i="4" s="1"/>
  <c r="AB85" i="4"/>
  <c r="AC85" i="4"/>
  <c r="N85" i="4" s="1"/>
  <c r="AC142" i="4"/>
  <c r="N142" i="4" s="1"/>
  <c r="AB142" i="4"/>
  <c r="AC342" i="4"/>
  <c r="N342" i="4" s="1"/>
  <c r="AB342" i="4"/>
  <c r="AA477" i="4"/>
  <c r="AB120" i="4"/>
  <c r="AC120" i="4"/>
  <c r="N120" i="4" s="1"/>
  <c r="AA63" i="4"/>
  <c r="W340" i="4"/>
  <c r="V340" i="4"/>
  <c r="AB337" i="4"/>
  <c r="AC337" i="4"/>
  <c r="N337" i="4" s="1"/>
  <c r="AA80" i="4"/>
  <c r="AA494" i="4"/>
  <c r="AC322" i="4"/>
  <c r="N322" i="4" s="1"/>
  <c r="AB322" i="4"/>
  <c r="AB455" i="4"/>
  <c r="AC455" i="4"/>
  <c r="N455" i="4" s="1"/>
  <c r="V188" i="4"/>
  <c r="W188" i="4"/>
  <c r="AA188" i="4"/>
  <c r="AC203" i="4"/>
  <c r="N203" i="4" s="1"/>
  <c r="AB203" i="4"/>
  <c r="AA84" i="4"/>
  <c r="AA247" i="4"/>
  <c r="W189" i="4"/>
  <c r="V189" i="4"/>
  <c r="AC86" i="4"/>
  <c r="N86" i="4" s="1"/>
  <c r="AB86" i="4"/>
  <c r="AB297" i="4"/>
  <c r="AC297" i="4"/>
  <c r="N297" i="4" s="1"/>
  <c r="AB353" i="4"/>
  <c r="AC353" i="4"/>
  <c r="N353" i="4" s="1"/>
  <c r="AB143" i="4"/>
  <c r="AC143" i="4"/>
  <c r="N143" i="4" s="1"/>
  <c r="AB413" i="4"/>
  <c r="AC413" i="4"/>
  <c r="N413" i="4" s="1"/>
  <c r="AC350" i="4"/>
  <c r="N350" i="4" s="1"/>
  <c r="AB350" i="4"/>
  <c r="AC74" i="4"/>
  <c r="N74" i="4" s="1"/>
  <c r="AB74" i="4"/>
  <c r="AB223" i="4"/>
  <c r="AC223" i="4"/>
  <c r="N223" i="4" s="1"/>
  <c r="AC78" i="4"/>
  <c r="N78" i="4" s="1"/>
  <c r="AB78" i="4"/>
  <c r="AB398" i="4"/>
  <c r="AC398" i="4"/>
  <c r="N398" i="4" s="1"/>
  <c r="AB279" i="4"/>
  <c r="AC279" i="4"/>
  <c r="N279" i="4" s="1"/>
  <c r="AC301" i="4"/>
  <c r="N301" i="4" s="1"/>
  <c r="AB301" i="4"/>
  <c r="AB35" i="4"/>
  <c r="AC35" i="4"/>
  <c r="N35" i="4" s="1"/>
  <c r="V477" i="4"/>
  <c r="W477" i="4"/>
  <c r="V63" i="4"/>
  <c r="W63" i="4"/>
  <c r="AB126" i="4"/>
  <c r="AC126" i="4"/>
  <c r="N126" i="4" s="1"/>
  <c r="W80" i="4"/>
  <c r="V80" i="4"/>
  <c r="V494" i="4"/>
  <c r="W494" i="4"/>
  <c r="AB51" i="4"/>
  <c r="AC51" i="4"/>
  <c r="N51" i="4" s="1"/>
  <c r="AB364" i="4"/>
  <c r="AC364" i="4"/>
  <c r="N364" i="4" s="1"/>
  <c r="AC486" i="4"/>
  <c r="N486" i="4" s="1"/>
  <c r="AB486" i="4"/>
  <c r="AC264" i="4"/>
  <c r="N264" i="4" s="1"/>
  <c r="AB264" i="4"/>
  <c r="AC443" i="4"/>
  <c r="N443" i="4" s="1"/>
  <c r="AB443" i="4"/>
  <c r="W84" i="4"/>
  <c r="V84" i="4"/>
  <c r="V247" i="4"/>
  <c r="W247" i="4"/>
  <c r="AC183" i="4"/>
  <c r="N183" i="4" s="1"/>
  <c r="AB183" i="4"/>
  <c r="V252" i="4"/>
  <c r="W252" i="4"/>
  <c r="AA252" i="4"/>
  <c r="AC251" i="4" l="1"/>
  <c r="N251" i="4" s="1"/>
  <c r="AC181" i="4"/>
  <c r="N181" i="4" s="1"/>
  <c r="AC111" i="4"/>
  <c r="N111" i="4" s="1"/>
  <c r="AC344" i="4"/>
  <c r="N344" i="4" s="1"/>
  <c r="AC101" i="4"/>
  <c r="N101" i="4" s="1"/>
  <c r="AC286" i="4"/>
  <c r="N286" i="4" s="1"/>
  <c r="AC362" i="4"/>
  <c r="N362" i="4" s="1"/>
  <c r="AC194" i="4"/>
  <c r="N194" i="4" s="1"/>
  <c r="AC338" i="4"/>
  <c r="N338" i="4" s="1"/>
  <c r="AB372" i="4"/>
  <c r="AB210" i="4"/>
  <c r="AB191" i="4"/>
  <c r="AB205" i="4"/>
  <c r="AB437" i="4"/>
  <c r="AC384" i="4"/>
  <c r="N384" i="4" s="1"/>
  <c r="D168" i="1"/>
  <c r="D169" i="1" s="1"/>
  <c r="D171" i="1" s="1"/>
  <c r="E171" i="1" s="1"/>
  <c r="D172" i="1" s="1"/>
  <c r="D176" i="1" s="1"/>
  <c r="E176" i="1" s="1"/>
  <c r="AC63" i="4"/>
  <c r="N63" i="4" s="1"/>
  <c r="AB63" i="4"/>
  <c r="AC148" i="4"/>
  <c r="N148" i="4" s="1"/>
  <c r="AB148" i="4"/>
  <c r="AB18" i="4"/>
  <c r="AC18" i="4"/>
  <c r="N18" i="4" s="1"/>
  <c r="AC469" i="4"/>
  <c r="N469" i="4" s="1"/>
  <c r="AB469" i="4"/>
  <c r="AC81" i="4"/>
  <c r="N81" i="4" s="1"/>
  <c r="AB81" i="4"/>
  <c r="AB219" i="4"/>
  <c r="AC219" i="4"/>
  <c r="N219" i="4" s="1"/>
  <c r="AB38" i="4"/>
  <c r="AC38" i="4"/>
  <c r="N38" i="4" s="1"/>
  <c r="AB343" i="4"/>
  <c r="AC343" i="4"/>
  <c r="N343" i="4" s="1"/>
  <c r="AB488" i="4"/>
  <c r="AC488" i="4"/>
  <c r="N488" i="4" s="1"/>
  <c r="AC43" i="4"/>
  <c r="N43" i="4" s="1"/>
  <c r="AB43" i="4"/>
  <c r="AB185" i="4"/>
  <c r="AC185" i="4"/>
  <c r="N185" i="4" s="1"/>
  <c r="AB217" i="4"/>
  <c r="AC217" i="4"/>
  <c r="N217" i="4" s="1"/>
  <c r="AC315" i="4"/>
  <c r="N315" i="4" s="1"/>
  <c r="AB315" i="4"/>
  <c r="AB7" i="4"/>
  <c r="AC7" i="4"/>
  <c r="N7" i="4" s="1"/>
  <c r="AC477" i="4"/>
  <c r="N477" i="4" s="1"/>
  <c r="AB477" i="4"/>
  <c r="AC487" i="4"/>
  <c r="N487" i="4" s="1"/>
  <c r="AB487" i="4"/>
  <c r="AB492" i="4"/>
  <c r="AC492" i="4"/>
  <c r="N492" i="4" s="1"/>
  <c r="AC137" i="4"/>
  <c r="N137" i="4" s="1"/>
  <c r="AB137" i="4"/>
  <c r="AC117" i="4"/>
  <c r="N117" i="4" s="1"/>
  <c r="AB117" i="4"/>
  <c r="AB188" i="4"/>
  <c r="AC188" i="4"/>
  <c r="N188" i="4" s="1"/>
  <c r="AC494" i="4"/>
  <c r="N494" i="4" s="1"/>
  <c r="AB494" i="4"/>
  <c r="AC345" i="4"/>
  <c r="N345" i="4" s="1"/>
  <c r="AB345" i="4"/>
  <c r="AC141" i="4"/>
  <c r="N141" i="4" s="1"/>
  <c r="AB141" i="4"/>
  <c r="AC247" i="4"/>
  <c r="N247" i="4" s="1"/>
  <c r="AB247" i="4"/>
  <c r="AB59" i="4"/>
  <c r="AC59" i="4"/>
  <c r="N59" i="4" s="1"/>
  <c r="AB239" i="4"/>
  <c r="AC239" i="4"/>
  <c r="N239" i="4" s="1"/>
  <c r="AB32" i="4"/>
  <c r="AC32" i="4"/>
  <c r="N32" i="4" s="1"/>
  <c r="AC241" i="4"/>
  <c r="N241" i="4" s="1"/>
  <c r="AB241" i="4"/>
  <c r="AB80" i="4"/>
  <c r="AC80" i="4"/>
  <c r="N80" i="4" s="1"/>
  <c r="AB84" i="4"/>
  <c r="AC84" i="4"/>
  <c r="N84" i="4" s="1"/>
  <c r="AC340" i="4"/>
  <c r="N340" i="4" s="1"/>
  <c r="AB340" i="4"/>
  <c r="AC252" i="4"/>
  <c r="N252" i="4" s="1"/>
  <c r="AB252" i="4"/>
  <c r="AB271" i="4"/>
  <c r="AC271" i="4"/>
  <c r="N271" i="4" s="1"/>
  <c r="AB269" i="4"/>
  <c r="AC269" i="4"/>
  <c r="N269" i="4" s="1"/>
  <c r="D175" i="1" l="1"/>
  <c r="E175" i="1" s="1"/>
  <c r="D177" i="1" s="1"/>
  <c r="C12" i="4" s="1"/>
  <c r="D35" i="1"/>
  <c r="C10" i="4"/>
  <c r="F10" i="4"/>
  <c r="D173" i="1"/>
  <c r="E173" i="1" s="1"/>
  <c r="D174" i="1" s="1"/>
  <c r="D179" i="1" s="1"/>
  <c r="C60" i="4"/>
  <c r="C52" i="4" s="1"/>
  <c r="D52" i="4" s="1"/>
  <c r="C50" i="4" s="1"/>
  <c r="D178" i="1" l="1"/>
  <c r="C11" i="4"/>
  <c r="F12" i="4"/>
  <c r="F11" i="4"/>
  <c r="D22" i="1"/>
  <c r="D180" i="1"/>
  <c r="D24" i="1"/>
  <c r="C53" i="4"/>
  <c r="D53" i="4" s="1"/>
  <c r="C51" i="4" s="1"/>
  <c r="AH121" i="4" s="1"/>
  <c r="AD121" i="4" l="1"/>
  <c r="AF121" i="4" s="1"/>
  <c r="P121" i="4" s="1"/>
  <c r="AE121" i="4"/>
  <c r="AG121" i="4" s="1"/>
  <c r="O121" i="4" s="1"/>
  <c r="AH9" i="4"/>
  <c r="AH29" i="4"/>
  <c r="AH335" i="4"/>
  <c r="AH25" i="4"/>
  <c r="AH224" i="4"/>
  <c r="AH310" i="4"/>
  <c r="AH385" i="4"/>
  <c r="AH41" i="4"/>
  <c r="AH389" i="4"/>
  <c r="AH155" i="4"/>
  <c r="AH126" i="4"/>
  <c r="AH242" i="4"/>
  <c r="AH191" i="4"/>
  <c r="AH368" i="4"/>
  <c r="AH358" i="4"/>
  <c r="AH194" i="4"/>
  <c r="AH204" i="4"/>
  <c r="AH237" i="4"/>
  <c r="AH55" i="4"/>
  <c r="AH201" i="4"/>
  <c r="AH502" i="4"/>
  <c r="AH357" i="4"/>
  <c r="AH217" i="4"/>
  <c r="AH188" i="4"/>
  <c r="AH257" i="4"/>
  <c r="AH189" i="4"/>
  <c r="AH465" i="4"/>
  <c r="AH406" i="4"/>
  <c r="AH144" i="4"/>
  <c r="AH72" i="4"/>
  <c r="AH202" i="4"/>
  <c r="AH199" i="4"/>
  <c r="AH20" i="4"/>
  <c r="AH14" i="4"/>
  <c r="AH99" i="4"/>
  <c r="AH89" i="4"/>
  <c r="AH400" i="4"/>
  <c r="AH222" i="4"/>
  <c r="AH455" i="4"/>
  <c r="AH88" i="4"/>
  <c r="AH43" i="4"/>
  <c r="AH54" i="4"/>
  <c r="AH461" i="4"/>
  <c r="AH407" i="4"/>
  <c r="AH414" i="4"/>
  <c r="AH377" i="4"/>
  <c r="AH361" i="4"/>
  <c r="AH77" i="4"/>
  <c r="AH163" i="4"/>
  <c r="AH190" i="4"/>
  <c r="AH8" i="4"/>
  <c r="AH134" i="4"/>
  <c r="AH110" i="4"/>
  <c r="AH195" i="4"/>
  <c r="AH56" i="4"/>
  <c r="AH205" i="4"/>
  <c r="AH378" i="4"/>
  <c r="AH107" i="4"/>
  <c r="AH472" i="4"/>
  <c r="AH325" i="4"/>
  <c r="AH220" i="4"/>
  <c r="AH178" i="4"/>
  <c r="AH320" i="4"/>
  <c r="AH308" i="4"/>
  <c r="AH487" i="4"/>
  <c r="AH193" i="4"/>
  <c r="AH213" i="4"/>
  <c r="AH173" i="4"/>
  <c r="AH422" i="4"/>
  <c r="AH309" i="4"/>
  <c r="AH488" i="4"/>
  <c r="AH136" i="4"/>
  <c r="AH206" i="4"/>
  <c r="AH46" i="4"/>
  <c r="AH31" i="4"/>
  <c r="AH318" i="4"/>
  <c r="AH184" i="4"/>
  <c r="AH255" i="4"/>
  <c r="AH51" i="4"/>
  <c r="AH299" i="4"/>
  <c r="AH413" i="4"/>
  <c r="AH140" i="4"/>
  <c r="AH142" i="4"/>
  <c r="AH120" i="4"/>
  <c r="AH114" i="4"/>
  <c r="AH87" i="4"/>
  <c r="AH60" i="4"/>
  <c r="AH62" i="4"/>
  <c r="AH162" i="4"/>
  <c r="AH116" i="4"/>
  <c r="AH419" i="4"/>
  <c r="AH323" i="4"/>
  <c r="AH101" i="4"/>
  <c r="AH363" i="4"/>
  <c r="AH93" i="4"/>
  <c r="AH448" i="4"/>
  <c r="AH338" i="4"/>
  <c r="AH32" i="4"/>
  <c r="AH236" i="4"/>
  <c r="AH64" i="4"/>
  <c r="AH63" i="4"/>
  <c r="AH35" i="4"/>
  <c r="AH97" i="4"/>
  <c r="AH380" i="4"/>
  <c r="AH304" i="4"/>
  <c r="AH424" i="4"/>
  <c r="AH263" i="4"/>
  <c r="AH159" i="4"/>
  <c r="AH102" i="4"/>
  <c r="AH423" i="4"/>
  <c r="AH75" i="4"/>
  <c r="AH428" i="4"/>
  <c r="AH276" i="4"/>
  <c r="AH139" i="4"/>
  <c r="AH408" i="4"/>
  <c r="AH330" i="4"/>
  <c r="AH431" i="4"/>
  <c r="AH367" i="4"/>
  <c r="AH129" i="4"/>
  <c r="AH153" i="4"/>
  <c r="AH39" i="4"/>
  <c r="AH344" i="4"/>
  <c r="AH306" i="4"/>
  <c r="AH233" i="4"/>
  <c r="AH240" i="4"/>
  <c r="AH226" i="4"/>
  <c r="AH331" i="4"/>
  <c r="AH131" i="4"/>
  <c r="AH37" i="4"/>
  <c r="AH375" i="4"/>
  <c r="AH267" i="4"/>
  <c r="AH119" i="4"/>
  <c r="AH387" i="4"/>
  <c r="AH373" i="4"/>
  <c r="AH112" i="4"/>
  <c r="AH219" i="4"/>
  <c r="AH223" i="4"/>
  <c r="AH332" i="4"/>
  <c r="AH69" i="4"/>
  <c r="AH251" i="4"/>
  <c r="AH446" i="4"/>
  <c r="AH440" i="4"/>
  <c r="AH218" i="4"/>
  <c r="AH181" i="4"/>
  <c r="AH148" i="4"/>
  <c r="AH275" i="4"/>
  <c r="AH489" i="4"/>
  <c r="AH416" i="4"/>
  <c r="AH493" i="4"/>
  <c r="AH316" i="4"/>
  <c r="AH248" i="4"/>
  <c r="AH473" i="4"/>
  <c r="AH490" i="4"/>
  <c r="AH494" i="4"/>
  <c r="AH381" i="4"/>
  <c r="AH42" i="4"/>
  <c r="AH19" i="4"/>
  <c r="AH124" i="4"/>
  <c r="AH435" i="4"/>
  <c r="AH456" i="4"/>
  <c r="AH290" i="4"/>
  <c r="AH130" i="4"/>
  <c r="AH402" i="4"/>
  <c r="AH250" i="4"/>
  <c r="AH305" i="4"/>
  <c r="AH12" i="4"/>
  <c r="AH274" i="4"/>
  <c r="AH479" i="4"/>
  <c r="AH208" i="4"/>
  <c r="AH238" i="4"/>
  <c r="AH232" i="4"/>
  <c r="AH169" i="4"/>
  <c r="AH53" i="4"/>
  <c r="AH471" i="4"/>
  <c r="AH16" i="4"/>
  <c r="AH279" i="4"/>
  <c r="AH260" i="4"/>
  <c r="AH245" i="4"/>
  <c r="AH393" i="4"/>
  <c r="AH410" i="4"/>
  <c r="AH246" i="4"/>
  <c r="AH230" i="4"/>
  <c r="AH179" i="4"/>
  <c r="AH324" i="4"/>
  <c r="AH235" i="4"/>
  <c r="AH429" i="4"/>
  <c r="AH394" i="4"/>
  <c r="AH283" i="4"/>
  <c r="AH154" i="4"/>
  <c r="AH216" i="4"/>
  <c r="AH351" i="4"/>
  <c r="AH156" i="4"/>
  <c r="AH262" i="4"/>
  <c r="AH171" i="4"/>
  <c r="AH227" i="4"/>
  <c r="AH460" i="4"/>
  <c r="AH167" i="4"/>
  <c r="AH231" i="4"/>
  <c r="AH496" i="4"/>
  <c r="AH278" i="4"/>
  <c r="AH294" i="4"/>
  <c r="AH266" i="4"/>
  <c r="AH454" i="4"/>
  <c r="AH280" i="4"/>
  <c r="AH396" i="4"/>
  <c r="AH334" i="4"/>
  <c r="AH482" i="4"/>
  <c r="AH430" i="4"/>
  <c r="AH284" i="4"/>
  <c r="AH261" i="4"/>
  <c r="AH281" i="4"/>
  <c r="AH50" i="4"/>
  <c r="AH386" i="4"/>
  <c r="AH383" i="4"/>
  <c r="AH364" i="4"/>
  <c r="AH28" i="4"/>
  <c r="AH392" i="4"/>
  <c r="AH61" i="4"/>
  <c r="AH483" i="4"/>
  <c r="AH439" i="4"/>
  <c r="AH365" i="4"/>
  <c r="AH185" i="4"/>
  <c r="AH421" i="4"/>
  <c r="AH143" i="4"/>
  <c r="AH225" i="4"/>
  <c r="AH282" i="4"/>
  <c r="AH293" i="4"/>
  <c r="AH74" i="4"/>
  <c r="AH253" i="4"/>
  <c r="AH70" i="4"/>
  <c r="AH108" i="4"/>
  <c r="AH200" i="4"/>
  <c r="AH390" i="4"/>
  <c r="AH83" i="4"/>
  <c r="AH287" i="4"/>
  <c r="AH198" i="4"/>
  <c r="AH340" i="4"/>
  <c r="AH23" i="4"/>
  <c r="AH397" i="4"/>
  <c r="AH329" i="4"/>
  <c r="AH96" i="4"/>
  <c r="AH111" i="4"/>
  <c r="AH15" i="4"/>
  <c r="AH94" i="4"/>
  <c r="AH106" i="4"/>
  <c r="AH33" i="4"/>
  <c r="AH345" i="4"/>
  <c r="AH437" i="4"/>
  <c r="AH500" i="4"/>
  <c r="AH411" i="4"/>
  <c r="AH292" i="4"/>
  <c r="AH463" i="4"/>
  <c r="AH444" i="4"/>
  <c r="AH207" i="4"/>
  <c r="AH359" i="4"/>
  <c r="AH113" i="4"/>
  <c r="AH384" i="4"/>
  <c r="AH315" i="4"/>
  <c r="AH481" i="4"/>
  <c r="AH418" i="4"/>
  <c r="AH86" i="4"/>
  <c r="AH13" i="4"/>
  <c r="AH149" i="4"/>
  <c r="AH417" i="4"/>
  <c r="AH180" i="4"/>
  <c r="AH313" i="4"/>
  <c r="AH175" i="4"/>
  <c r="AH336" i="4"/>
  <c r="AH158" i="4"/>
  <c r="AH376" i="4"/>
  <c r="AH399" i="4"/>
  <c r="AH443" i="4"/>
  <c r="AH132" i="4"/>
  <c r="AH165" i="4"/>
  <c r="AH459" i="4"/>
  <c r="AH286" i="4"/>
  <c r="AH366" i="4"/>
  <c r="AH24" i="4"/>
  <c r="AH401" i="4"/>
  <c r="AH137" i="4"/>
  <c r="AH81" i="4"/>
  <c r="AH474" i="4"/>
  <c r="AH168" i="4"/>
  <c r="AH234" i="4"/>
  <c r="AH256" i="4"/>
  <c r="AH339" i="4"/>
  <c r="AH438" i="4"/>
  <c r="AH497" i="4"/>
  <c r="AH92" i="4"/>
  <c r="AH65" i="4"/>
  <c r="AH343" i="4"/>
  <c r="AH104" i="4"/>
  <c r="AH333" i="4"/>
  <c r="AH270" i="4"/>
  <c r="AH78" i="4"/>
  <c r="AH80" i="4"/>
  <c r="AH241" i="4"/>
  <c r="AH495" i="4"/>
  <c r="AH21" i="4"/>
  <c r="AH66" i="4"/>
  <c r="AH314" i="4"/>
  <c r="AH58" i="4"/>
  <c r="AH328" i="4"/>
  <c r="AH317" i="4"/>
  <c r="AH247" i="4"/>
  <c r="AH296" i="4"/>
  <c r="AH452" i="4"/>
  <c r="AH298" i="4"/>
  <c r="AH388" i="4"/>
  <c r="AH485" i="4"/>
  <c r="AH374" i="4"/>
  <c r="AH22" i="4"/>
  <c r="AH426" i="4"/>
  <c r="AH10" i="4"/>
  <c r="AH341" i="4"/>
  <c r="AH105" i="4"/>
  <c r="AH127" i="4"/>
  <c r="AH382" i="4"/>
  <c r="AH151" i="4"/>
  <c r="AH146" i="4"/>
  <c r="AH372" i="4"/>
  <c r="AH71" i="4"/>
  <c r="AH415" i="4"/>
  <c r="AH265" i="4"/>
  <c r="AH449" i="4"/>
  <c r="AH300" i="4"/>
  <c r="AH103" i="4"/>
  <c r="AH467" i="4"/>
  <c r="AH269" i="4"/>
  <c r="AH133" i="4"/>
  <c r="AH6" i="4"/>
  <c r="AH174" i="4"/>
  <c r="AH360" i="4"/>
  <c r="AH145" i="4"/>
  <c r="AH48" i="4"/>
  <c r="AH252" i="4"/>
  <c r="AH307" i="4"/>
  <c r="AH95" i="4"/>
  <c r="AH259" i="4"/>
  <c r="AH442" i="4"/>
  <c r="AH59" i="4"/>
  <c r="AH484" i="4"/>
  <c r="AH177" i="4"/>
  <c r="AH321" i="4"/>
  <c r="AH268" i="4"/>
  <c r="AH18" i="4"/>
  <c r="AH196" i="4"/>
  <c r="AH38" i="4"/>
  <c r="AH427" i="4"/>
  <c r="AH239" i="4"/>
  <c r="AH141" i="4"/>
  <c r="AH186" i="4"/>
  <c r="AH354" i="4"/>
  <c r="AH447" i="4"/>
  <c r="AH150" i="4"/>
  <c r="AH85" i="4"/>
  <c r="AH466" i="4"/>
  <c r="AH409" i="4"/>
  <c r="AH346" i="4"/>
  <c r="AH212" i="4"/>
  <c r="AH425" i="4"/>
  <c r="AH100" i="4"/>
  <c r="AH457" i="4"/>
  <c r="AH478" i="4"/>
  <c r="AH499" i="4"/>
  <c r="AH501" i="4"/>
  <c r="AH436" i="4"/>
  <c r="AH254" i="4"/>
  <c r="AH49" i="4"/>
  <c r="AH160" i="4"/>
  <c r="AH214" i="4"/>
  <c r="AH57" i="4"/>
  <c r="AH475" i="4"/>
  <c r="AH228" i="4"/>
  <c r="AH211" i="4"/>
  <c r="AH441" i="4"/>
  <c r="AH229" i="4"/>
  <c r="AH36" i="4"/>
  <c r="AH476" i="4"/>
  <c r="AH352" i="4"/>
  <c r="AH123" i="4"/>
  <c r="AH221" i="4"/>
  <c r="AH7" i="4"/>
  <c r="AH468" i="4"/>
  <c r="AH277" i="4"/>
  <c r="AH115" i="4"/>
  <c r="AH291" i="4"/>
  <c r="AH161" i="4"/>
  <c r="AH349" i="4"/>
  <c r="AH249" i="4"/>
  <c r="AH350" i="4"/>
  <c r="AH289" i="4"/>
  <c r="AH5" i="4"/>
  <c r="AH303" i="4"/>
  <c r="AH73" i="4"/>
  <c r="AH347" i="4"/>
  <c r="AH319" i="4"/>
  <c r="AH138" i="4"/>
  <c r="AH405" i="4"/>
  <c r="AH67" i="4"/>
  <c r="AH215" i="4"/>
  <c r="AH147" i="4"/>
  <c r="AH450" i="4"/>
  <c r="AH30" i="4"/>
  <c r="AH170" i="4"/>
  <c r="AH362" i="4"/>
  <c r="AH504" i="4"/>
  <c r="AH353" i="4"/>
  <c r="AH453" i="4"/>
  <c r="AH45" i="4"/>
  <c r="AH371" i="4"/>
  <c r="AH445" i="4"/>
  <c r="AH433" i="4"/>
  <c r="AH295" i="4"/>
  <c r="AH464" i="4"/>
  <c r="AH210" i="4"/>
  <c r="AH492" i="4"/>
  <c r="AH243" i="4"/>
  <c r="AH47" i="4"/>
  <c r="AH404" i="4"/>
  <c r="AH209" i="4"/>
  <c r="AH285" i="4"/>
  <c r="AH327" i="4"/>
  <c r="AH342" i="4"/>
  <c r="AH498" i="4"/>
  <c r="AH164" i="4"/>
  <c r="AH462" i="4"/>
  <c r="AH203" i="4"/>
  <c r="AH90" i="4"/>
  <c r="AH301" i="4"/>
  <c r="AH312" i="4"/>
  <c r="AH356" i="4"/>
  <c r="AH128" i="4"/>
  <c r="AH258" i="4"/>
  <c r="AH84" i="4"/>
  <c r="AH98" i="4"/>
  <c r="AH26" i="4"/>
  <c r="AH288" i="4"/>
  <c r="AH152" i="4"/>
  <c r="AH182" i="4"/>
  <c r="AH420" i="4"/>
  <c r="AH11" i="4"/>
  <c r="AH27" i="4"/>
  <c r="AH486" i="4"/>
  <c r="AH264" i="4"/>
  <c r="AH370" i="4"/>
  <c r="AH458" i="4"/>
  <c r="AH183" i="4"/>
  <c r="AH79" i="4"/>
  <c r="AH470" i="4"/>
  <c r="AH412" i="4"/>
  <c r="AH176" i="4"/>
  <c r="AH197" i="4"/>
  <c r="AH172" i="4"/>
  <c r="AH369" i="4"/>
  <c r="AH118" i="4"/>
  <c r="AH491" i="4"/>
  <c r="AH244" i="4"/>
  <c r="AH451" i="4"/>
  <c r="AH135" i="4"/>
  <c r="AH311" i="4"/>
  <c r="AH302" i="4"/>
  <c r="AH52" i="4"/>
  <c r="AH187" i="4"/>
  <c r="AH40" i="4"/>
  <c r="AH76" i="4"/>
  <c r="AH91" i="4"/>
  <c r="AH398" i="4"/>
  <c r="AH34" i="4"/>
  <c r="AH326" i="4"/>
  <c r="AH434" i="4"/>
  <c r="AH109" i="4"/>
  <c r="AH469" i="4"/>
  <c r="AH68" i="4"/>
  <c r="AH117" i="4"/>
  <c r="AH192" i="4"/>
  <c r="AH82" i="4"/>
  <c r="AH272" i="4"/>
  <c r="AH17" i="4"/>
  <c r="AH157" i="4"/>
  <c r="AH322" i="4"/>
  <c r="AH480" i="4"/>
  <c r="AH337" i="4"/>
  <c r="AH4" i="4"/>
  <c r="AH44" i="4"/>
  <c r="AH403" i="4"/>
  <c r="AH391" i="4"/>
  <c r="AH122" i="4"/>
  <c r="AH166" i="4"/>
  <c r="AH503" i="4"/>
  <c r="AH395" i="4"/>
  <c r="AH273" i="4"/>
  <c r="AH432" i="4"/>
  <c r="AH271" i="4"/>
  <c r="AH477" i="4"/>
  <c r="AH348" i="4"/>
  <c r="AH125" i="4"/>
  <c r="AH379" i="4"/>
  <c r="AH297" i="4"/>
  <c r="AH355" i="4"/>
  <c r="AE152" i="4" l="1"/>
  <c r="AG152" i="4" s="1"/>
  <c r="O152" i="4" s="1"/>
  <c r="AD152" i="4"/>
  <c r="AF152" i="4" s="1"/>
  <c r="P152" i="4" s="1"/>
  <c r="AE452" i="4"/>
  <c r="AG452" i="4" s="1"/>
  <c r="O452" i="4" s="1"/>
  <c r="AD452" i="4"/>
  <c r="AF452" i="4" s="1"/>
  <c r="P452" i="4" s="1"/>
  <c r="AE16" i="4"/>
  <c r="AG16" i="4" s="1"/>
  <c r="O16" i="4" s="1"/>
  <c r="AD16" i="4"/>
  <c r="AF16" i="4" s="1"/>
  <c r="P16" i="4" s="1"/>
  <c r="AD44" i="4"/>
  <c r="AF44" i="4" s="1"/>
  <c r="P44" i="4" s="1"/>
  <c r="AE44" i="4"/>
  <c r="AG44" i="4" s="1"/>
  <c r="O44" i="4" s="1"/>
  <c r="AD337" i="4"/>
  <c r="AF337" i="4" s="1"/>
  <c r="P337" i="4" s="1"/>
  <c r="AE337" i="4"/>
  <c r="AG337" i="4" s="1"/>
  <c r="O337" i="4" s="1"/>
  <c r="AE244" i="4"/>
  <c r="AG244" i="4" s="1"/>
  <c r="O244" i="4" s="1"/>
  <c r="AD244" i="4"/>
  <c r="AF244" i="4" s="1"/>
  <c r="P244" i="4" s="1"/>
  <c r="AE273" i="4"/>
  <c r="AG273" i="4" s="1"/>
  <c r="O273" i="4" s="1"/>
  <c r="AD273" i="4"/>
  <c r="AF273" i="4" s="1"/>
  <c r="P273" i="4" s="1"/>
  <c r="AE503" i="4"/>
  <c r="AG503" i="4" s="1"/>
  <c r="O503" i="4" s="1"/>
  <c r="AD503" i="4"/>
  <c r="AF503" i="4" s="1"/>
  <c r="P503" i="4" s="1"/>
  <c r="AE272" i="4"/>
  <c r="AG272" i="4" s="1"/>
  <c r="O272" i="4" s="1"/>
  <c r="AD272" i="4"/>
  <c r="AF272" i="4" s="1"/>
  <c r="P272" i="4" s="1"/>
  <c r="AE76" i="4"/>
  <c r="AG76" i="4" s="1"/>
  <c r="O76" i="4" s="1"/>
  <c r="AD76" i="4"/>
  <c r="AF76" i="4" s="1"/>
  <c r="P76" i="4" s="1"/>
  <c r="AD172" i="4"/>
  <c r="AF172" i="4" s="1"/>
  <c r="P172" i="4" s="1"/>
  <c r="AE172" i="4"/>
  <c r="AG172" i="4" s="1"/>
  <c r="O172" i="4" s="1"/>
  <c r="AD11" i="4"/>
  <c r="AF11" i="4" s="1"/>
  <c r="P11" i="4" s="1"/>
  <c r="AE11" i="4"/>
  <c r="AG11" i="4" s="1"/>
  <c r="O11" i="4" s="1"/>
  <c r="AE301" i="4"/>
  <c r="AG301" i="4" s="1"/>
  <c r="O301" i="4" s="1"/>
  <c r="AD301" i="4"/>
  <c r="AF301" i="4" s="1"/>
  <c r="P301" i="4" s="1"/>
  <c r="AD243" i="4"/>
  <c r="AF243" i="4" s="1"/>
  <c r="P243" i="4" s="1"/>
  <c r="AE243" i="4"/>
  <c r="AG243" i="4" s="1"/>
  <c r="O243" i="4" s="1"/>
  <c r="AD362" i="4"/>
  <c r="AF362" i="4" s="1"/>
  <c r="P362" i="4" s="1"/>
  <c r="AE362" i="4"/>
  <c r="AG362" i="4" s="1"/>
  <c r="O362" i="4" s="1"/>
  <c r="AD303" i="4"/>
  <c r="AF303" i="4" s="1"/>
  <c r="P303" i="4" s="1"/>
  <c r="AE303" i="4"/>
  <c r="AG303" i="4" s="1"/>
  <c r="O303" i="4" s="1"/>
  <c r="AD221" i="4"/>
  <c r="AF221" i="4" s="1"/>
  <c r="P221" i="4" s="1"/>
  <c r="AE221" i="4"/>
  <c r="AG221" i="4" s="1"/>
  <c r="O221" i="4" s="1"/>
  <c r="AE160" i="4"/>
  <c r="AG160" i="4" s="1"/>
  <c r="O160" i="4" s="1"/>
  <c r="AD160" i="4"/>
  <c r="AF160" i="4" s="1"/>
  <c r="P160" i="4" s="1"/>
  <c r="AD409" i="4"/>
  <c r="AF409" i="4" s="1"/>
  <c r="P409" i="4" s="1"/>
  <c r="AE409" i="4"/>
  <c r="AG409" i="4" s="1"/>
  <c r="O409" i="4" s="1"/>
  <c r="AE18" i="4"/>
  <c r="AG18" i="4" s="1"/>
  <c r="O18" i="4" s="1"/>
  <c r="AD18" i="4"/>
  <c r="AF18" i="4" s="1"/>
  <c r="P18" i="4" s="1"/>
  <c r="AD145" i="4"/>
  <c r="AF145" i="4" s="1"/>
  <c r="P145" i="4" s="1"/>
  <c r="AE145" i="4"/>
  <c r="AG145" i="4" s="1"/>
  <c r="O145" i="4" s="1"/>
  <c r="AD71" i="4"/>
  <c r="AF71" i="4" s="1"/>
  <c r="P71" i="4" s="1"/>
  <c r="AE71" i="4"/>
  <c r="AG71" i="4" s="1"/>
  <c r="O71" i="4" s="1"/>
  <c r="AD485" i="4"/>
  <c r="AF485" i="4" s="1"/>
  <c r="P485" i="4" s="1"/>
  <c r="AE485" i="4"/>
  <c r="AG485" i="4" s="1"/>
  <c r="O485" i="4" s="1"/>
  <c r="AE495" i="4"/>
  <c r="AG495" i="4" s="1"/>
  <c r="O495" i="4" s="1"/>
  <c r="AD495" i="4"/>
  <c r="AF495" i="4" s="1"/>
  <c r="P495" i="4" s="1"/>
  <c r="AE339" i="4"/>
  <c r="AG339" i="4" s="1"/>
  <c r="O339" i="4" s="1"/>
  <c r="AD339" i="4"/>
  <c r="AF339" i="4" s="1"/>
  <c r="P339" i="4" s="1"/>
  <c r="AD165" i="4"/>
  <c r="AF165" i="4" s="1"/>
  <c r="P165" i="4" s="1"/>
  <c r="AE165" i="4"/>
  <c r="AG165" i="4" s="1"/>
  <c r="O165" i="4" s="1"/>
  <c r="AE13" i="4"/>
  <c r="AG13" i="4" s="1"/>
  <c r="O13" i="4" s="1"/>
  <c r="AD13" i="4"/>
  <c r="AF13" i="4" s="1"/>
  <c r="P13" i="4" s="1"/>
  <c r="AE411" i="4"/>
  <c r="AG411" i="4" s="1"/>
  <c r="O411" i="4" s="1"/>
  <c r="AD411" i="4"/>
  <c r="AF411" i="4" s="1"/>
  <c r="P411" i="4" s="1"/>
  <c r="AE23" i="4"/>
  <c r="AG23" i="4" s="1"/>
  <c r="O23" i="4" s="1"/>
  <c r="AD23" i="4"/>
  <c r="AF23" i="4" s="1"/>
  <c r="P23" i="4" s="1"/>
  <c r="AD282" i="4"/>
  <c r="AF282" i="4" s="1"/>
  <c r="P282" i="4" s="1"/>
  <c r="AE282" i="4"/>
  <c r="AG282" i="4" s="1"/>
  <c r="O282" i="4" s="1"/>
  <c r="AE383" i="4"/>
  <c r="AG383" i="4" s="1"/>
  <c r="O383" i="4" s="1"/>
  <c r="AD383" i="4"/>
  <c r="AF383" i="4" s="1"/>
  <c r="P383" i="4" s="1"/>
  <c r="AE266" i="4"/>
  <c r="AG266" i="4" s="1"/>
  <c r="O266" i="4" s="1"/>
  <c r="AD266" i="4"/>
  <c r="AF266" i="4" s="1"/>
  <c r="P266" i="4" s="1"/>
  <c r="AE216" i="4"/>
  <c r="AG216" i="4" s="1"/>
  <c r="O216" i="4" s="1"/>
  <c r="AD216" i="4"/>
  <c r="AF216" i="4" s="1"/>
  <c r="P216" i="4" s="1"/>
  <c r="AD245" i="4"/>
  <c r="AF245" i="4" s="1"/>
  <c r="P245" i="4" s="1"/>
  <c r="AE245" i="4"/>
  <c r="AG245" i="4" s="1"/>
  <c r="O245" i="4" s="1"/>
  <c r="AD12" i="4"/>
  <c r="AF12" i="4" s="1"/>
  <c r="P12" i="4" s="1"/>
  <c r="AE12" i="4"/>
  <c r="AG12" i="4" s="1"/>
  <c r="O12" i="4" s="1"/>
  <c r="AE494" i="4"/>
  <c r="AG494" i="4" s="1"/>
  <c r="O494" i="4" s="1"/>
  <c r="AD494" i="4"/>
  <c r="AF494" i="4" s="1"/>
  <c r="P494" i="4" s="1"/>
  <c r="AE440" i="4"/>
  <c r="AG440" i="4" s="1"/>
  <c r="O440" i="4" s="1"/>
  <c r="AD440" i="4"/>
  <c r="AF440" i="4" s="1"/>
  <c r="P440" i="4" s="1"/>
  <c r="AE375" i="4"/>
  <c r="AG375" i="4" s="1"/>
  <c r="O375" i="4" s="1"/>
  <c r="AD375" i="4"/>
  <c r="AF375" i="4" s="1"/>
  <c r="P375" i="4" s="1"/>
  <c r="AD367" i="4"/>
  <c r="AF367" i="4" s="1"/>
  <c r="P367" i="4" s="1"/>
  <c r="AE367" i="4"/>
  <c r="AG367" i="4" s="1"/>
  <c r="O367" i="4" s="1"/>
  <c r="AE424" i="4"/>
  <c r="AG424" i="4" s="1"/>
  <c r="O424" i="4" s="1"/>
  <c r="AD424" i="4"/>
  <c r="AF424" i="4" s="1"/>
  <c r="P424" i="4" s="1"/>
  <c r="AD363" i="4"/>
  <c r="AF363" i="4" s="1"/>
  <c r="P363" i="4" s="1"/>
  <c r="AE363" i="4"/>
  <c r="AG363" i="4" s="1"/>
  <c r="O363" i="4" s="1"/>
  <c r="AD140" i="4"/>
  <c r="AF140" i="4" s="1"/>
  <c r="P140" i="4" s="1"/>
  <c r="AE140" i="4"/>
  <c r="AG140" i="4" s="1"/>
  <c r="O140" i="4" s="1"/>
  <c r="AE309" i="4"/>
  <c r="AG309" i="4" s="1"/>
  <c r="O309" i="4" s="1"/>
  <c r="AD309" i="4"/>
  <c r="AF309" i="4" s="1"/>
  <c r="P309" i="4" s="1"/>
  <c r="AD107" i="4"/>
  <c r="AF107" i="4" s="1"/>
  <c r="P107" i="4" s="1"/>
  <c r="AE107" i="4"/>
  <c r="AG107" i="4" s="1"/>
  <c r="O107" i="4" s="1"/>
  <c r="AE377" i="4"/>
  <c r="AG377" i="4" s="1"/>
  <c r="O377" i="4" s="1"/>
  <c r="AD377" i="4"/>
  <c r="AF377" i="4" s="1"/>
  <c r="P377" i="4" s="1"/>
  <c r="AD14" i="4"/>
  <c r="AF14" i="4" s="1"/>
  <c r="P14" i="4" s="1"/>
  <c r="AE14" i="4"/>
  <c r="AG14" i="4" s="1"/>
  <c r="O14" i="4" s="1"/>
  <c r="AD357" i="4"/>
  <c r="AF357" i="4" s="1"/>
  <c r="P357" i="4" s="1"/>
  <c r="AE357" i="4"/>
  <c r="AG357" i="4" s="1"/>
  <c r="O357" i="4" s="1"/>
  <c r="AD155" i="4"/>
  <c r="AF155" i="4" s="1"/>
  <c r="P155" i="4" s="1"/>
  <c r="AE155" i="4"/>
  <c r="AG155" i="4" s="1"/>
  <c r="O155" i="4" s="1"/>
  <c r="AD436" i="4"/>
  <c r="AF436" i="4" s="1"/>
  <c r="P436" i="4" s="1"/>
  <c r="AE436" i="4"/>
  <c r="AG436" i="4" s="1"/>
  <c r="O436" i="4" s="1"/>
  <c r="AE281" i="4"/>
  <c r="AG281" i="4" s="1"/>
  <c r="O281" i="4" s="1"/>
  <c r="AD281" i="4"/>
  <c r="AF281" i="4" s="1"/>
  <c r="P281" i="4" s="1"/>
  <c r="AE51" i="4"/>
  <c r="AG51" i="4" s="1"/>
  <c r="O51" i="4" s="1"/>
  <c r="AD51" i="4"/>
  <c r="AF51" i="4" s="1"/>
  <c r="P51" i="4" s="1"/>
  <c r="AD477" i="4"/>
  <c r="AF477" i="4" s="1"/>
  <c r="P477" i="4" s="1"/>
  <c r="AE477" i="4"/>
  <c r="AG477" i="4" s="1"/>
  <c r="O477" i="4" s="1"/>
  <c r="AD480" i="4"/>
  <c r="AF480" i="4" s="1"/>
  <c r="P480" i="4" s="1"/>
  <c r="AE480" i="4"/>
  <c r="AG480" i="4" s="1"/>
  <c r="O480" i="4" s="1"/>
  <c r="AE166" i="4"/>
  <c r="AG166" i="4" s="1"/>
  <c r="O166" i="4" s="1"/>
  <c r="AD166" i="4"/>
  <c r="AF166" i="4" s="1"/>
  <c r="P166" i="4" s="1"/>
  <c r="AE82" i="4"/>
  <c r="AG82" i="4" s="1"/>
  <c r="O82" i="4" s="1"/>
  <c r="AD82" i="4"/>
  <c r="AF82" i="4" s="1"/>
  <c r="P82" i="4" s="1"/>
  <c r="AE40" i="4"/>
  <c r="AG40" i="4" s="1"/>
  <c r="O40" i="4" s="1"/>
  <c r="AD40" i="4"/>
  <c r="AF40" i="4" s="1"/>
  <c r="P40" i="4" s="1"/>
  <c r="AD197" i="4"/>
  <c r="AF197" i="4" s="1"/>
  <c r="P197" i="4" s="1"/>
  <c r="AE197" i="4"/>
  <c r="AG197" i="4" s="1"/>
  <c r="O197" i="4" s="1"/>
  <c r="AE420" i="4"/>
  <c r="AG420" i="4" s="1"/>
  <c r="O420" i="4" s="1"/>
  <c r="AD420" i="4"/>
  <c r="AF420" i="4" s="1"/>
  <c r="P420" i="4" s="1"/>
  <c r="AE90" i="4"/>
  <c r="AG90" i="4" s="1"/>
  <c r="O90" i="4" s="1"/>
  <c r="AD90" i="4"/>
  <c r="AF90" i="4" s="1"/>
  <c r="P90" i="4" s="1"/>
  <c r="AD492" i="4"/>
  <c r="AF492" i="4" s="1"/>
  <c r="P492" i="4" s="1"/>
  <c r="AE492" i="4"/>
  <c r="AG492" i="4" s="1"/>
  <c r="O492" i="4" s="1"/>
  <c r="AE170" i="4"/>
  <c r="AG170" i="4" s="1"/>
  <c r="O170" i="4" s="1"/>
  <c r="AD170" i="4"/>
  <c r="AF170" i="4" s="1"/>
  <c r="P170" i="4" s="1"/>
  <c r="AE5" i="4"/>
  <c r="AG5" i="4" s="1"/>
  <c r="O5" i="4" s="1"/>
  <c r="AD5" i="4"/>
  <c r="AF5" i="4" s="1"/>
  <c r="P5" i="4" s="1"/>
  <c r="AE123" i="4"/>
  <c r="AG123" i="4" s="1"/>
  <c r="O123" i="4" s="1"/>
  <c r="AD123" i="4"/>
  <c r="AF123" i="4" s="1"/>
  <c r="P123" i="4" s="1"/>
  <c r="AE49" i="4"/>
  <c r="AG49" i="4" s="1"/>
  <c r="O49" i="4" s="1"/>
  <c r="AD49" i="4"/>
  <c r="AF49" i="4" s="1"/>
  <c r="P49" i="4" s="1"/>
  <c r="AD466" i="4"/>
  <c r="AF466" i="4" s="1"/>
  <c r="P466" i="4" s="1"/>
  <c r="AE466" i="4"/>
  <c r="AG466" i="4" s="1"/>
  <c r="O466" i="4" s="1"/>
  <c r="AE268" i="4"/>
  <c r="AG268" i="4" s="1"/>
  <c r="O268" i="4" s="1"/>
  <c r="AD268" i="4"/>
  <c r="AF268" i="4" s="1"/>
  <c r="P268" i="4" s="1"/>
  <c r="AE360" i="4"/>
  <c r="AG360" i="4" s="1"/>
  <c r="O360" i="4" s="1"/>
  <c r="AD360" i="4"/>
  <c r="AF360" i="4" s="1"/>
  <c r="P360" i="4" s="1"/>
  <c r="AD372" i="4"/>
  <c r="AF372" i="4" s="1"/>
  <c r="P372" i="4" s="1"/>
  <c r="AE372" i="4"/>
  <c r="AG372" i="4" s="1"/>
  <c r="O372" i="4" s="1"/>
  <c r="AE388" i="4"/>
  <c r="AG388" i="4" s="1"/>
  <c r="O388" i="4" s="1"/>
  <c r="AD388" i="4"/>
  <c r="AF388" i="4" s="1"/>
  <c r="P388" i="4" s="1"/>
  <c r="AE241" i="4"/>
  <c r="AG241" i="4" s="1"/>
  <c r="O241" i="4" s="1"/>
  <c r="AD241" i="4"/>
  <c r="AF241" i="4" s="1"/>
  <c r="P241" i="4" s="1"/>
  <c r="AE256" i="4"/>
  <c r="AG256" i="4" s="1"/>
  <c r="O256" i="4" s="1"/>
  <c r="AD256" i="4"/>
  <c r="AF256" i="4" s="1"/>
  <c r="P256" i="4" s="1"/>
  <c r="AD132" i="4"/>
  <c r="AF132" i="4" s="1"/>
  <c r="P132" i="4" s="1"/>
  <c r="AE132" i="4"/>
  <c r="AG132" i="4" s="1"/>
  <c r="O132" i="4" s="1"/>
  <c r="AE86" i="4"/>
  <c r="AG86" i="4" s="1"/>
  <c r="O86" i="4" s="1"/>
  <c r="AD86" i="4"/>
  <c r="AF86" i="4" s="1"/>
  <c r="P86" i="4" s="1"/>
  <c r="AD500" i="4"/>
  <c r="AF500" i="4" s="1"/>
  <c r="P500" i="4" s="1"/>
  <c r="AE500" i="4"/>
  <c r="AG500" i="4" s="1"/>
  <c r="O500" i="4" s="1"/>
  <c r="AD340" i="4"/>
  <c r="AF340" i="4" s="1"/>
  <c r="P340" i="4" s="1"/>
  <c r="AE340" i="4"/>
  <c r="AG340" i="4" s="1"/>
  <c r="O340" i="4" s="1"/>
  <c r="AD225" i="4"/>
  <c r="AF225" i="4" s="1"/>
  <c r="P225" i="4" s="1"/>
  <c r="AE225" i="4"/>
  <c r="AG225" i="4" s="1"/>
  <c r="O225" i="4" s="1"/>
  <c r="AD386" i="4"/>
  <c r="AF386" i="4" s="1"/>
  <c r="P386" i="4" s="1"/>
  <c r="AE386" i="4"/>
  <c r="AG386" i="4" s="1"/>
  <c r="O386" i="4" s="1"/>
  <c r="AD294" i="4"/>
  <c r="AF294" i="4" s="1"/>
  <c r="P294" i="4" s="1"/>
  <c r="AE294" i="4"/>
  <c r="AG294" i="4" s="1"/>
  <c r="O294" i="4" s="1"/>
  <c r="AE154" i="4"/>
  <c r="AG154" i="4" s="1"/>
  <c r="O154" i="4" s="1"/>
  <c r="AD154" i="4"/>
  <c r="AF154" i="4" s="1"/>
  <c r="P154" i="4" s="1"/>
  <c r="AD260" i="4"/>
  <c r="AF260" i="4" s="1"/>
  <c r="P260" i="4" s="1"/>
  <c r="AE260" i="4"/>
  <c r="AG260" i="4" s="1"/>
  <c r="O260" i="4" s="1"/>
  <c r="AE305" i="4"/>
  <c r="AG305" i="4" s="1"/>
  <c r="O305" i="4" s="1"/>
  <c r="AD305" i="4"/>
  <c r="AF305" i="4" s="1"/>
  <c r="P305" i="4" s="1"/>
  <c r="AD490" i="4"/>
  <c r="AF490" i="4" s="1"/>
  <c r="P490" i="4" s="1"/>
  <c r="AE490" i="4"/>
  <c r="AG490" i="4" s="1"/>
  <c r="O490" i="4" s="1"/>
  <c r="AD446" i="4"/>
  <c r="AF446" i="4" s="1"/>
  <c r="P446" i="4" s="1"/>
  <c r="AE446" i="4"/>
  <c r="AG446" i="4" s="1"/>
  <c r="O446" i="4" s="1"/>
  <c r="AE37" i="4"/>
  <c r="AG37" i="4" s="1"/>
  <c r="O37" i="4" s="1"/>
  <c r="AD37" i="4"/>
  <c r="AF37" i="4" s="1"/>
  <c r="P37" i="4" s="1"/>
  <c r="AE431" i="4"/>
  <c r="AG431" i="4" s="1"/>
  <c r="O431" i="4" s="1"/>
  <c r="AD431" i="4"/>
  <c r="AF431" i="4" s="1"/>
  <c r="P431" i="4" s="1"/>
  <c r="AD304" i="4"/>
  <c r="AF304" i="4" s="1"/>
  <c r="P304" i="4" s="1"/>
  <c r="AE304" i="4"/>
  <c r="AG304" i="4" s="1"/>
  <c r="O304" i="4" s="1"/>
  <c r="AD101" i="4"/>
  <c r="AF101" i="4" s="1"/>
  <c r="P101" i="4" s="1"/>
  <c r="AE101" i="4"/>
  <c r="AG101" i="4" s="1"/>
  <c r="O101" i="4" s="1"/>
  <c r="AD413" i="4"/>
  <c r="AF413" i="4" s="1"/>
  <c r="P413" i="4" s="1"/>
  <c r="AE413" i="4"/>
  <c r="AG413" i="4" s="1"/>
  <c r="O413" i="4" s="1"/>
  <c r="AD422" i="4"/>
  <c r="AF422" i="4" s="1"/>
  <c r="P422" i="4" s="1"/>
  <c r="AE422" i="4"/>
  <c r="AG422" i="4" s="1"/>
  <c r="O422" i="4" s="1"/>
  <c r="AE378" i="4"/>
  <c r="AG378" i="4" s="1"/>
  <c r="O378" i="4" s="1"/>
  <c r="AD378" i="4"/>
  <c r="AF378" i="4" s="1"/>
  <c r="P378" i="4" s="1"/>
  <c r="AD414" i="4"/>
  <c r="AF414" i="4" s="1"/>
  <c r="P414" i="4" s="1"/>
  <c r="AE414" i="4"/>
  <c r="AG414" i="4" s="1"/>
  <c r="O414" i="4" s="1"/>
  <c r="AE20" i="4"/>
  <c r="AG20" i="4" s="1"/>
  <c r="O20" i="4" s="1"/>
  <c r="AD20" i="4"/>
  <c r="AF20" i="4" s="1"/>
  <c r="P20" i="4" s="1"/>
  <c r="AD502" i="4"/>
  <c r="AF502" i="4" s="1"/>
  <c r="P502" i="4" s="1"/>
  <c r="AE502" i="4"/>
  <c r="AG502" i="4" s="1"/>
  <c r="O502" i="4" s="1"/>
  <c r="AD389" i="4"/>
  <c r="AF389" i="4" s="1"/>
  <c r="P389" i="4" s="1"/>
  <c r="AE389" i="4"/>
  <c r="AG389" i="4" s="1"/>
  <c r="O389" i="4" s="1"/>
  <c r="AD462" i="4"/>
  <c r="AF462" i="4" s="1"/>
  <c r="P462" i="4" s="1"/>
  <c r="AE462" i="4"/>
  <c r="AG462" i="4" s="1"/>
  <c r="O462" i="4" s="1"/>
  <c r="AD78" i="4"/>
  <c r="AF78" i="4" s="1"/>
  <c r="P78" i="4" s="1"/>
  <c r="AE78" i="4"/>
  <c r="AG78" i="4" s="1"/>
  <c r="O78" i="4" s="1"/>
  <c r="AD402" i="4"/>
  <c r="AF402" i="4" s="1"/>
  <c r="P402" i="4" s="1"/>
  <c r="AE402" i="4"/>
  <c r="AG402" i="4" s="1"/>
  <c r="O402" i="4" s="1"/>
  <c r="AD355" i="4"/>
  <c r="AF355" i="4" s="1"/>
  <c r="P355" i="4" s="1"/>
  <c r="AE355" i="4"/>
  <c r="AG355" i="4" s="1"/>
  <c r="O355" i="4" s="1"/>
  <c r="AD122" i="4"/>
  <c r="AF122" i="4" s="1"/>
  <c r="P122" i="4" s="1"/>
  <c r="AE122" i="4"/>
  <c r="AG122" i="4" s="1"/>
  <c r="O122" i="4" s="1"/>
  <c r="AE192" i="4"/>
  <c r="AG192" i="4" s="1"/>
  <c r="O192" i="4" s="1"/>
  <c r="AD192" i="4"/>
  <c r="AF192" i="4" s="1"/>
  <c r="P192" i="4" s="1"/>
  <c r="AE187" i="4"/>
  <c r="AG187" i="4" s="1"/>
  <c r="O187" i="4" s="1"/>
  <c r="AD187" i="4"/>
  <c r="AF187" i="4" s="1"/>
  <c r="P187" i="4" s="1"/>
  <c r="AD176" i="4"/>
  <c r="AF176" i="4" s="1"/>
  <c r="P176" i="4" s="1"/>
  <c r="AE176" i="4"/>
  <c r="AG176" i="4" s="1"/>
  <c r="O176" i="4" s="1"/>
  <c r="AE182" i="4"/>
  <c r="AG182" i="4" s="1"/>
  <c r="O182" i="4" s="1"/>
  <c r="AD182" i="4"/>
  <c r="AF182" i="4" s="1"/>
  <c r="P182" i="4" s="1"/>
  <c r="AE203" i="4"/>
  <c r="AG203" i="4" s="1"/>
  <c r="O203" i="4" s="1"/>
  <c r="AD203" i="4"/>
  <c r="AF203" i="4" s="1"/>
  <c r="P203" i="4" s="1"/>
  <c r="AE210" i="4"/>
  <c r="AG210" i="4" s="1"/>
  <c r="O210" i="4" s="1"/>
  <c r="AD210" i="4"/>
  <c r="AF210" i="4" s="1"/>
  <c r="P210" i="4" s="1"/>
  <c r="AE30" i="4"/>
  <c r="AG30" i="4" s="1"/>
  <c r="O30" i="4" s="1"/>
  <c r="AD30" i="4"/>
  <c r="AF30" i="4" s="1"/>
  <c r="P30" i="4" s="1"/>
  <c r="AD289" i="4"/>
  <c r="AF289" i="4" s="1"/>
  <c r="P289" i="4" s="1"/>
  <c r="AE289" i="4"/>
  <c r="AG289" i="4" s="1"/>
  <c r="O289" i="4" s="1"/>
  <c r="AE352" i="4"/>
  <c r="AG352" i="4" s="1"/>
  <c r="O352" i="4" s="1"/>
  <c r="AD352" i="4"/>
  <c r="AF352" i="4" s="1"/>
  <c r="P352" i="4" s="1"/>
  <c r="AE254" i="4"/>
  <c r="AG254" i="4" s="1"/>
  <c r="O254" i="4" s="1"/>
  <c r="AD254" i="4"/>
  <c r="AF254" i="4" s="1"/>
  <c r="P254" i="4" s="1"/>
  <c r="AD85" i="4"/>
  <c r="AF85" i="4" s="1"/>
  <c r="P85" i="4" s="1"/>
  <c r="AE85" i="4"/>
  <c r="AG85" i="4" s="1"/>
  <c r="O85" i="4" s="1"/>
  <c r="AD321" i="4"/>
  <c r="AF321" i="4" s="1"/>
  <c r="P321" i="4" s="1"/>
  <c r="AE321" i="4"/>
  <c r="AG321" i="4" s="1"/>
  <c r="O321" i="4" s="1"/>
  <c r="AE174" i="4"/>
  <c r="AG174" i="4" s="1"/>
  <c r="O174" i="4" s="1"/>
  <c r="AD174" i="4"/>
  <c r="AF174" i="4" s="1"/>
  <c r="P174" i="4" s="1"/>
  <c r="AE146" i="4"/>
  <c r="AG146" i="4" s="1"/>
  <c r="O146" i="4" s="1"/>
  <c r="AD146" i="4"/>
  <c r="AF146" i="4" s="1"/>
  <c r="P146" i="4" s="1"/>
  <c r="AE298" i="4"/>
  <c r="AG298" i="4" s="1"/>
  <c r="O298" i="4" s="1"/>
  <c r="AD298" i="4"/>
  <c r="AF298" i="4" s="1"/>
  <c r="P298" i="4" s="1"/>
  <c r="AE80" i="4"/>
  <c r="AG80" i="4" s="1"/>
  <c r="O80" i="4" s="1"/>
  <c r="AD80" i="4"/>
  <c r="AF80" i="4" s="1"/>
  <c r="P80" i="4" s="1"/>
  <c r="AE234" i="4"/>
  <c r="AG234" i="4" s="1"/>
  <c r="O234" i="4" s="1"/>
  <c r="AD234" i="4"/>
  <c r="AF234" i="4" s="1"/>
  <c r="P234" i="4" s="1"/>
  <c r="AE443" i="4"/>
  <c r="AG443" i="4" s="1"/>
  <c r="O443" i="4" s="1"/>
  <c r="AD443" i="4"/>
  <c r="AF443" i="4" s="1"/>
  <c r="P443" i="4" s="1"/>
  <c r="AE418" i="4"/>
  <c r="AG418" i="4" s="1"/>
  <c r="O418" i="4" s="1"/>
  <c r="AD418" i="4"/>
  <c r="AF418" i="4" s="1"/>
  <c r="P418" i="4" s="1"/>
  <c r="AE437" i="4"/>
  <c r="AG437" i="4" s="1"/>
  <c r="O437" i="4" s="1"/>
  <c r="AD437" i="4"/>
  <c r="AF437" i="4" s="1"/>
  <c r="P437" i="4" s="1"/>
  <c r="AD198" i="4"/>
  <c r="AF198" i="4" s="1"/>
  <c r="P198" i="4" s="1"/>
  <c r="AE198" i="4"/>
  <c r="AG198" i="4" s="1"/>
  <c r="O198" i="4" s="1"/>
  <c r="AE143" i="4"/>
  <c r="AG143" i="4" s="1"/>
  <c r="O143" i="4" s="1"/>
  <c r="AD143" i="4"/>
  <c r="AF143" i="4" s="1"/>
  <c r="P143" i="4" s="1"/>
  <c r="AE50" i="4"/>
  <c r="AG50" i="4" s="1"/>
  <c r="O50" i="4" s="1"/>
  <c r="AD50" i="4"/>
  <c r="AF50" i="4" s="1"/>
  <c r="P50" i="4" s="1"/>
  <c r="AE278" i="4"/>
  <c r="AG278" i="4" s="1"/>
  <c r="O278" i="4" s="1"/>
  <c r="AD278" i="4"/>
  <c r="AF278" i="4" s="1"/>
  <c r="P278" i="4" s="1"/>
  <c r="AD283" i="4"/>
  <c r="AF283" i="4" s="1"/>
  <c r="P283" i="4" s="1"/>
  <c r="AE283" i="4"/>
  <c r="AG283" i="4" s="1"/>
  <c r="O283" i="4" s="1"/>
  <c r="AE279" i="4"/>
  <c r="AG279" i="4" s="1"/>
  <c r="O279" i="4" s="1"/>
  <c r="AD279" i="4"/>
  <c r="AF279" i="4" s="1"/>
  <c r="P279" i="4" s="1"/>
  <c r="AD250" i="4"/>
  <c r="AF250" i="4" s="1"/>
  <c r="P250" i="4" s="1"/>
  <c r="AE250" i="4"/>
  <c r="AG250" i="4" s="1"/>
  <c r="O250" i="4" s="1"/>
  <c r="AD473" i="4"/>
  <c r="AF473" i="4" s="1"/>
  <c r="P473" i="4" s="1"/>
  <c r="AE473" i="4"/>
  <c r="AG473" i="4" s="1"/>
  <c r="O473" i="4" s="1"/>
  <c r="AE251" i="4"/>
  <c r="AG251" i="4" s="1"/>
  <c r="O251" i="4" s="1"/>
  <c r="AD251" i="4"/>
  <c r="AF251" i="4" s="1"/>
  <c r="P251" i="4" s="1"/>
  <c r="AD131" i="4"/>
  <c r="AF131" i="4" s="1"/>
  <c r="P131" i="4" s="1"/>
  <c r="AE131" i="4"/>
  <c r="AG131" i="4" s="1"/>
  <c r="O131" i="4" s="1"/>
  <c r="AD330" i="4"/>
  <c r="AF330" i="4" s="1"/>
  <c r="P330" i="4" s="1"/>
  <c r="AE330" i="4"/>
  <c r="AG330" i="4" s="1"/>
  <c r="O330" i="4" s="1"/>
  <c r="AE380" i="4"/>
  <c r="AG380" i="4" s="1"/>
  <c r="O380" i="4" s="1"/>
  <c r="AD380" i="4"/>
  <c r="AF380" i="4" s="1"/>
  <c r="P380" i="4" s="1"/>
  <c r="AE323" i="4"/>
  <c r="AG323" i="4" s="1"/>
  <c r="O323" i="4" s="1"/>
  <c r="AD323" i="4"/>
  <c r="AF323" i="4" s="1"/>
  <c r="P323" i="4" s="1"/>
  <c r="AE299" i="4"/>
  <c r="AG299" i="4" s="1"/>
  <c r="O299" i="4" s="1"/>
  <c r="AD299" i="4"/>
  <c r="AF299" i="4" s="1"/>
  <c r="P299" i="4" s="1"/>
  <c r="AD173" i="4"/>
  <c r="AF173" i="4" s="1"/>
  <c r="P173" i="4" s="1"/>
  <c r="AE173" i="4"/>
  <c r="AG173" i="4" s="1"/>
  <c r="O173" i="4" s="1"/>
  <c r="AD205" i="4"/>
  <c r="AF205" i="4" s="1"/>
  <c r="P205" i="4" s="1"/>
  <c r="AE205" i="4"/>
  <c r="AG205" i="4" s="1"/>
  <c r="O205" i="4" s="1"/>
  <c r="AD407" i="4"/>
  <c r="AF407" i="4" s="1"/>
  <c r="P407" i="4" s="1"/>
  <c r="AE407" i="4"/>
  <c r="AG407" i="4" s="1"/>
  <c r="O407" i="4" s="1"/>
  <c r="AD199" i="4"/>
  <c r="AF199" i="4" s="1"/>
  <c r="P199" i="4" s="1"/>
  <c r="AE199" i="4"/>
  <c r="AG199" i="4" s="1"/>
  <c r="O199" i="4" s="1"/>
  <c r="AD201" i="4"/>
  <c r="AF201" i="4" s="1"/>
  <c r="P201" i="4" s="1"/>
  <c r="AE201" i="4"/>
  <c r="AG201" i="4" s="1"/>
  <c r="O201" i="4" s="1"/>
  <c r="AD41" i="4"/>
  <c r="AF41" i="4" s="1"/>
  <c r="P41" i="4" s="1"/>
  <c r="AE41" i="4"/>
  <c r="AG41" i="4" s="1"/>
  <c r="O41" i="4" s="1"/>
  <c r="AD450" i="4"/>
  <c r="AF450" i="4" s="1"/>
  <c r="P450" i="4" s="1"/>
  <c r="AE450" i="4"/>
  <c r="AG450" i="4" s="1"/>
  <c r="O450" i="4" s="1"/>
  <c r="AE481" i="4"/>
  <c r="AG481" i="4" s="1"/>
  <c r="O481" i="4" s="1"/>
  <c r="AD481" i="4"/>
  <c r="AF481" i="4" s="1"/>
  <c r="P481" i="4" s="1"/>
  <c r="AD248" i="4"/>
  <c r="AF248" i="4" s="1"/>
  <c r="P248" i="4" s="1"/>
  <c r="AE248" i="4"/>
  <c r="AG248" i="4" s="1"/>
  <c r="O248" i="4" s="1"/>
  <c r="AD461" i="4"/>
  <c r="AF461" i="4" s="1"/>
  <c r="P461" i="4" s="1"/>
  <c r="AE461" i="4"/>
  <c r="AG461" i="4" s="1"/>
  <c r="O461" i="4" s="1"/>
  <c r="AD55" i="4"/>
  <c r="AF55" i="4" s="1"/>
  <c r="P55" i="4" s="1"/>
  <c r="AE55" i="4"/>
  <c r="AG55" i="4" s="1"/>
  <c r="O55" i="4" s="1"/>
  <c r="AD391" i="4"/>
  <c r="AF391" i="4" s="1"/>
  <c r="P391" i="4" s="1"/>
  <c r="AE391" i="4"/>
  <c r="AG391" i="4" s="1"/>
  <c r="O391" i="4" s="1"/>
  <c r="AE150" i="4"/>
  <c r="AG150" i="4" s="1"/>
  <c r="O150" i="4" s="1"/>
  <c r="AD150" i="4"/>
  <c r="AF150" i="4" s="1"/>
  <c r="P150" i="4" s="1"/>
  <c r="AE421" i="4"/>
  <c r="AG421" i="4" s="1"/>
  <c r="O421" i="4" s="1"/>
  <c r="AD421" i="4"/>
  <c r="AF421" i="4" s="1"/>
  <c r="P421" i="4" s="1"/>
  <c r="AD408" i="4"/>
  <c r="AF408" i="4" s="1"/>
  <c r="P408" i="4" s="1"/>
  <c r="AE408" i="4"/>
  <c r="AG408" i="4" s="1"/>
  <c r="O408" i="4" s="1"/>
  <c r="AD202" i="4"/>
  <c r="AF202" i="4" s="1"/>
  <c r="P202" i="4" s="1"/>
  <c r="AE202" i="4"/>
  <c r="AG202" i="4" s="1"/>
  <c r="O202" i="4" s="1"/>
  <c r="AE385" i="4"/>
  <c r="AG385" i="4" s="1"/>
  <c r="O385" i="4" s="1"/>
  <c r="AD385" i="4"/>
  <c r="AF385" i="4" s="1"/>
  <c r="P385" i="4" s="1"/>
  <c r="AD379" i="4"/>
  <c r="AF379" i="4" s="1"/>
  <c r="P379" i="4" s="1"/>
  <c r="AE379" i="4"/>
  <c r="AG379" i="4" s="1"/>
  <c r="O379" i="4" s="1"/>
  <c r="AD403" i="4"/>
  <c r="AF403" i="4" s="1"/>
  <c r="P403" i="4" s="1"/>
  <c r="AE403" i="4"/>
  <c r="AG403" i="4" s="1"/>
  <c r="O403" i="4" s="1"/>
  <c r="AD68" i="4"/>
  <c r="AF68" i="4" s="1"/>
  <c r="P68" i="4" s="1"/>
  <c r="AE68" i="4"/>
  <c r="AG68" i="4" s="1"/>
  <c r="O68" i="4" s="1"/>
  <c r="AD302" i="4"/>
  <c r="AF302" i="4" s="1"/>
  <c r="P302" i="4" s="1"/>
  <c r="AE302" i="4"/>
  <c r="AG302" i="4" s="1"/>
  <c r="O302" i="4" s="1"/>
  <c r="AD470" i="4"/>
  <c r="AF470" i="4" s="1"/>
  <c r="P470" i="4" s="1"/>
  <c r="AE470" i="4"/>
  <c r="AG470" i="4" s="1"/>
  <c r="O470" i="4" s="1"/>
  <c r="AD288" i="4"/>
  <c r="AF288" i="4" s="1"/>
  <c r="P288" i="4" s="1"/>
  <c r="AE288" i="4"/>
  <c r="AG288" i="4" s="1"/>
  <c r="O288" i="4" s="1"/>
  <c r="AE164" i="4"/>
  <c r="AG164" i="4" s="1"/>
  <c r="O164" i="4" s="1"/>
  <c r="AD164" i="4"/>
  <c r="AF164" i="4" s="1"/>
  <c r="P164" i="4" s="1"/>
  <c r="AE295" i="4"/>
  <c r="AG295" i="4" s="1"/>
  <c r="O295" i="4" s="1"/>
  <c r="AD295" i="4"/>
  <c r="AF295" i="4" s="1"/>
  <c r="P295" i="4" s="1"/>
  <c r="AE147" i="4"/>
  <c r="AG147" i="4" s="1"/>
  <c r="O147" i="4" s="1"/>
  <c r="AD147" i="4"/>
  <c r="AF147" i="4" s="1"/>
  <c r="P147" i="4" s="1"/>
  <c r="AD249" i="4"/>
  <c r="AF249" i="4" s="1"/>
  <c r="P249" i="4" s="1"/>
  <c r="AE249" i="4"/>
  <c r="AG249" i="4" s="1"/>
  <c r="O249" i="4" s="1"/>
  <c r="AE36" i="4"/>
  <c r="AG36" i="4" s="1"/>
  <c r="O36" i="4" s="1"/>
  <c r="AD36" i="4"/>
  <c r="AF36" i="4" s="1"/>
  <c r="P36" i="4" s="1"/>
  <c r="AE501" i="4"/>
  <c r="AG501" i="4" s="1"/>
  <c r="O501" i="4" s="1"/>
  <c r="AD501" i="4"/>
  <c r="AF501" i="4" s="1"/>
  <c r="P501" i="4" s="1"/>
  <c r="AD447" i="4"/>
  <c r="AF447" i="4" s="1"/>
  <c r="P447" i="4" s="1"/>
  <c r="AE447" i="4"/>
  <c r="AG447" i="4" s="1"/>
  <c r="O447" i="4" s="1"/>
  <c r="AD484" i="4"/>
  <c r="AF484" i="4" s="1"/>
  <c r="P484" i="4" s="1"/>
  <c r="AE484" i="4"/>
  <c r="AG484" i="4" s="1"/>
  <c r="O484" i="4" s="1"/>
  <c r="AD133" i="4"/>
  <c r="AF133" i="4" s="1"/>
  <c r="P133" i="4" s="1"/>
  <c r="AE133" i="4"/>
  <c r="AG133" i="4" s="1"/>
  <c r="O133" i="4" s="1"/>
  <c r="AD382" i="4"/>
  <c r="AF382" i="4" s="1"/>
  <c r="P382" i="4" s="1"/>
  <c r="AE382" i="4"/>
  <c r="AG382" i="4" s="1"/>
  <c r="O382" i="4" s="1"/>
  <c r="AD296" i="4"/>
  <c r="AF296" i="4" s="1"/>
  <c r="P296" i="4" s="1"/>
  <c r="AE296" i="4"/>
  <c r="AG296" i="4" s="1"/>
  <c r="O296" i="4" s="1"/>
  <c r="AE270" i="4"/>
  <c r="AG270" i="4" s="1"/>
  <c r="O270" i="4" s="1"/>
  <c r="AD270" i="4"/>
  <c r="AF270" i="4" s="1"/>
  <c r="P270" i="4" s="1"/>
  <c r="AD474" i="4"/>
  <c r="AF474" i="4" s="1"/>
  <c r="P474" i="4" s="1"/>
  <c r="AE474" i="4"/>
  <c r="AG474" i="4" s="1"/>
  <c r="O474" i="4" s="1"/>
  <c r="AE376" i="4"/>
  <c r="AG376" i="4" s="1"/>
  <c r="O376" i="4" s="1"/>
  <c r="AD376" i="4"/>
  <c r="AF376" i="4" s="1"/>
  <c r="P376" i="4" s="1"/>
  <c r="AD315" i="4"/>
  <c r="AF315" i="4" s="1"/>
  <c r="P315" i="4" s="1"/>
  <c r="AE315" i="4"/>
  <c r="AG315" i="4" s="1"/>
  <c r="O315" i="4" s="1"/>
  <c r="AD33" i="4"/>
  <c r="AF33" i="4" s="1"/>
  <c r="P33" i="4" s="1"/>
  <c r="AE33" i="4"/>
  <c r="AG33" i="4" s="1"/>
  <c r="O33" i="4" s="1"/>
  <c r="AE83" i="4"/>
  <c r="AG83" i="4" s="1"/>
  <c r="O83" i="4" s="1"/>
  <c r="AD83" i="4"/>
  <c r="AF83" i="4" s="1"/>
  <c r="P83" i="4" s="1"/>
  <c r="AD185" i="4"/>
  <c r="AF185" i="4" s="1"/>
  <c r="P185" i="4" s="1"/>
  <c r="AE185" i="4"/>
  <c r="AG185" i="4" s="1"/>
  <c r="O185" i="4" s="1"/>
  <c r="AE261" i="4"/>
  <c r="AG261" i="4" s="1"/>
  <c r="O261" i="4" s="1"/>
  <c r="AD261" i="4"/>
  <c r="AF261" i="4" s="1"/>
  <c r="P261" i="4" s="1"/>
  <c r="AE231" i="4"/>
  <c r="AG231" i="4" s="1"/>
  <c r="O231" i="4" s="1"/>
  <c r="AD231" i="4"/>
  <c r="AF231" i="4" s="1"/>
  <c r="P231" i="4" s="1"/>
  <c r="AD429" i="4"/>
  <c r="AF429" i="4" s="1"/>
  <c r="P429" i="4" s="1"/>
  <c r="AE429" i="4"/>
  <c r="AG429" i="4" s="1"/>
  <c r="O429" i="4" s="1"/>
  <c r="AE471" i="4"/>
  <c r="AG471" i="4" s="1"/>
  <c r="O471" i="4" s="1"/>
  <c r="AD471" i="4"/>
  <c r="AF471" i="4" s="1"/>
  <c r="P471" i="4" s="1"/>
  <c r="AD130" i="4"/>
  <c r="AF130" i="4" s="1"/>
  <c r="P130" i="4" s="1"/>
  <c r="AE130" i="4"/>
  <c r="AG130" i="4" s="1"/>
  <c r="O130" i="4" s="1"/>
  <c r="AE316" i="4"/>
  <c r="AG316" i="4" s="1"/>
  <c r="O316" i="4" s="1"/>
  <c r="AD316" i="4"/>
  <c r="AF316" i="4" s="1"/>
  <c r="P316" i="4" s="1"/>
  <c r="AD332" i="4"/>
  <c r="AF332" i="4" s="1"/>
  <c r="P332" i="4" s="1"/>
  <c r="AE332" i="4"/>
  <c r="AG332" i="4" s="1"/>
  <c r="O332" i="4" s="1"/>
  <c r="AD226" i="4"/>
  <c r="AF226" i="4" s="1"/>
  <c r="P226" i="4" s="1"/>
  <c r="AE226" i="4"/>
  <c r="AG226" i="4" s="1"/>
  <c r="O226" i="4" s="1"/>
  <c r="AE139" i="4"/>
  <c r="AG139" i="4" s="1"/>
  <c r="O139" i="4" s="1"/>
  <c r="AD139" i="4"/>
  <c r="AF139" i="4" s="1"/>
  <c r="P139" i="4" s="1"/>
  <c r="AD35" i="4"/>
  <c r="AF35" i="4" s="1"/>
  <c r="P35" i="4" s="1"/>
  <c r="AE35" i="4"/>
  <c r="AG35" i="4" s="1"/>
  <c r="O35" i="4" s="1"/>
  <c r="AD116" i="4"/>
  <c r="AF116" i="4" s="1"/>
  <c r="P116" i="4" s="1"/>
  <c r="AE116" i="4"/>
  <c r="AG116" i="4" s="1"/>
  <c r="O116" i="4" s="1"/>
  <c r="AD255" i="4"/>
  <c r="AF255" i="4" s="1"/>
  <c r="P255" i="4" s="1"/>
  <c r="AE255" i="4"/>
  <c r="AG255" i="4" s="1"/>
  <c r="O255" i="4" s="1"/>
  <c r="AD193" i="4"/>
  <c r="AF193" i="4" s="1"/>
  <c r="P193" i="4" s="1"/>
  <c r="AE193" i="4"/>
  <c r="AG193" i="4" s="1"/>
  <c r="O193" i="4" s="1"/>
  <c r="AD195" i="4"/>
  <c r="AF195" i="4" s="1"/>
  <c r="P195" i="4" s="1"/>
  <c r="AE195" i="4"/>
  <c r="AG195" i="4" s="1"/>
  <c r="O195" i="4" s="1"/>
  <c r="AE54" i="4"/>
  <c r="AG54" i="4" s="1"/>
  <c r="O54" i="4" s="1"/>
  <c r="AD54" i="4"/>
  <c r="AF54" i="4" s="1"/>
  <c r="P54" i="4" s="1"/>
  <c r="AE72" i="4"/>
  <c r="AG72" i="4" s="1"/>
  <c r="O72" i="4" s="1"/>
  <c r="AD72" i="4"/>
  <c r="AF72" i="4" s="1"/>
  <c r="P72" i="4" s="1"/>
  <c r="AD237" i="4"/>
  <c r="AF237" i="4" s="1"/>
  <c r="P237" i="4" s="1"/>
  <c r="AE237" i="4"/>
  <c r="AG237" i="4" s="1"/>
  <c r="O237" i="4" s="1"/>
  <c r="AE310" i="4"/>
  <c r="AG310" i="4" s="1"/>
  <c r="O310" i="4" s="1"/>
  <c r="AD310" i="4"/>
  <c r="AF310" i="4" s="1"/>
  <c r="P310" i="4" s="1"/>
  <c r="AD52" i="4"/>
  <c r="AF52" i="4" s="1"/>
  <c r="P52" i="4" s="1"/>
  <c r="AE52" i="4"/>
  <c r="AG52" i="4" s="1"/>
  <c r="O52" i="4" s="1"/>
  <c r="AE168" i="4"/>
  <c r="AG168" i="4" s="1"/>
  <c r="O168" i="4" s="1"/>
  <c r="AD168" i="4"/>
  <c r="AF168" i="4" s="1"/>
  <c r="P168" i="4" s="1"/>
  <c r="AD213" i="4"/>
  <c r="AF213" i="4" s="1"/>
  <c r="P213" i="4" s="1"/>
  <c r="AE213" i="4"/>
  <c r="AG213" i="4" s="1"/>
  <c r="O213" i="4" s="1"/>
  <c r="AE498" i="4"/>
  <c r="AG498" i="4" s="1"/>
  <c r="O498" i="4" s="1"/>
  <c r="AD498" i="4"/>
  <c r="AF498" i="4" s="1"/>
  <c r="P498" i="4" s="1"/>
  <c r="AD229" i="4"/>
  <c r="AF229" i="4" s="1"/>
  <c r="P229" i="4" s="1"/>
  <c r="AE229" i="4"/>
  <c r="AG229" i="4" s="1"/>
  <c r="O229" i="4" s="1"/>
  <c r="AD499" i="4"/>
  <c r="AF499" i="4" s="1"/>
  <c r="P499" i="4" s="1"/>
  <c r="AE499" i="4"/>
  <c r="AG499" i="4" s="1"/>
  <c r="O499" i="4" s="1"/>
  <c r="AD354" i="4"/>
  <c r="AF354" i="4" s="1"/>
  <c r="P354" i="4" s="1"/>
  <c r="AE354" i="4"/>
  <c r="AG354" i="4" s="1"/>
  <c r="O354" i="4" s="1"/>
  <c r="AD59" i="4"/>
  <c r="AF59" i="4" s="1"/>
  <c r="P59" i="4" s="1"/>
  <c r="AE59" i="4"/>
  <c r="AG59" i="4" s="1"/>
  <c r="O59" i="4" s="1"/>
  <c r="AD269" i="4"/>
  <c r="AF269" i="4" s="1"/>
  <c r="P269" i="4" s="1"/>
  <c r="AE269" i="4"/>
  <c r="AG269" i="4" s="1"/>
  <c r="O269" i="4" s="1"/>
  <c r="AE127" i="4"/>
  <c r="AG127" i="4" s="1"/>
  <c r="O127" i="4" s="1"/>
  <c r="AD127" i="4"/>
  <c r="AF127" i="4" s="1"/>
  <c r="P127" i="4" s="1"/>
  <c r="AE247" i="4"/>
  <c r="AG247" i="4" s="1"/>
  <c r="O247" i="4" s="1"/>
  <c r="AD247" i="4"/>
  <c r="AF247" i="4" s="1"/>
  <c r="P247" i="4" s="1"/>
  <c r="AD333" i="4"/>
  <c r="AF333" i="4" s="1"/>
  <c r="P333" i="4" s="1"/>
  <c r="AE333" i="4"/>
  <c r="AG333" i="4" s="1"/>
  <c r="O333" i="4" s="1"/>
  <c r="AD81" i="4"/>
  <c r="AF81" i="4" s="1"/>
  <c r="P81" i="4" s="1"/>
  <c r="AE81" i="4"/>
  <c r="AG81" i="4" s="1"/>
  <c r="O81" i="4" s="1"/>
  <c r="AE158" i="4"/>
  <c r="AG158" i="4" s="1"/>
  <c r="O158" i="4" s="1"/>
  <c r="AD158" i="4"/>
  <c r="AF158" i="4" s="1"/>
  <c r="P158" i="4" s="1"/>
  <c r="AD384" i="4"/>
  <c r="AF384" i="4" s="1"/>
  <c r="P384" i="4" s="1"/>
  <c r="AE384" i="4"/>
  <c r="AG384" i="4" s="1"/>
  <c r="O384" i="4" s="1"/>
  <c r="AD106" i="4"/>
  <c r="AF106" i="4" s="1"/>
  <c r="P106" i="4" s="1"/>
  <c r="AE106" i="4"/>
  <c r="AG106" i="4" s="1"/>
  <c r="O106" i="4" s="1"/>
  <c r="AE390" i="4"/>
  <c r="AG390" i="4" s="1"/>
  <c r="O390" i="4" s="1"/>
  <c r="AD390" i="4"/>
  <c r="AF390" i="4" s="1"/>
  <c r="P390" i="4" s="1"/>
  <c r="AE365" i="4"/>
  <c r="AG365" i="4" s="1"/>
  <c r="O365" i="4" s="1"/>
  <c r="AD365" i="4"/>
  <c r="AF365" i="4" s="1"/>
  <c r="P365" i="4" s="1"/>
  <c r="AD284" i="4"/>
  <c r="AF284" i="4" s="1"/>
  <c r="P284" i="4" s="1"/>
  <c r="AE284" i="4"/>
  <c r="AG284" i="4" s="1"/>
  <c r="O284" i="4" s="1"/>
  <c r="AE167" i="4"/>
  <c r="AG167" i="4" s="1"/>
  <c r="O167" i="4" s="1"/>
  <c r="AD167" i="4"/>
  <c r="AF167" i="4" s="1"/>
  <c r="P167" i="4" s="1"/>
  <c r="AE235" i="4"/>
  <c r="AG235" i="4" s="1"/>
  <c r="O235" i="4" s="1"/>
  <c r="AD235" i="4"/>
  <c r="AF235" i="4" s="1"/>
  <c r="P235" i="4" s="1"/>
  <c r="AE53" i="4"/>
  <c r="AG53" i="4" s="1"/>
  <c r="O53" i="4" s="1"/>
  <c r="AD53" i="4"/>
  <c r="AF53" i="4" s="1"/>
  <c r="P53" i="4" s="1"/>
  <c r="AE290" i="4"/>
  <c r="AG290" i="4" s="1"/>
  <c r="O290" i="4" s="1"/>
  <c r="AD290" i="4"/>
  <c r="AF290" i="4" s="1"/>
  <c r="P290" i="4" s="1"/>
  <c r="AD493" i="4"/>
  <c r="AF493" i="4" s="1"/>
  <c r="P493" i="4" s="1"/>
  <c r="AE493" i="4"/>
  <c r="AG493" i="4" s="1"/>
  <c r="O493" i="4" s="1"/>
  <c r="AD223" i="4"/>
  <c r="AF223" i="4" s="1"/>
  <c r="P223" i="4" s="1"/>
  <c r="AE223" i="4"/>
  <c r="AG223" i="4" s="1"/>
  <c r="O223" i="4" s="1"/>
  <c r="AE240" i="4"/>
  <c r="AG240" i="4" s="1"/>
  <c r="O240" i="4" s="1"/>
  <c r="AD240" i="4"/>
  <c r="AF240" i="4" s="1"/>
  <c r="P240" i="4" s="1"/>
  <c r="AE276" i="4"/>
  <c r="AG276" i="4" s="1"/>
  <c r="O276" i="4" s="1"/>
  <c r="AD276" i="4"/>
  <c r="AF276" i="4" s="1"/>
  <c r="P276" i="4" s="1"/>
  <c r="AD63" i="4"/>
  <c r="AF63" i="4" s="1"/>
  <c r="P63" i="4" s="1"/>
  <c r="AE63" i="4"/>
  <c r="AG63" i="4" s="1"/>
  <c r="O63" i="4" s="1"/>
  <c r="AE162" i="4"/>
  <c r="AG162" i="4" s="1"/>
  <c r="O162" i="4" s="1"/>
  <c r="AD162" i="4"/>
  <c r="AF162" i="4" s="1"/>
  <c r="P162" i="4" s="1"/>
  <c r="AE184" i="4"/>
  <c r="AG184" i="4" s="1"/>
  <c r="O184" i="4" s="1"/>
  <c r="AD184" i="4"/>
  <c r="AF184" i="4" s="1"/>
  <c r="P184" i="4" s="1"/>
  <c r="AE487" i="4"/>
  <c r="AG487" i="4" s="1"/>
  <c r="O487" i="4" s="1"/>
  <c r="AD487" i="4"/>
  <c r="AF487" i="4" s="1"/>
  <c r="P487" i="4" s="1"/>
  <c r="AD110" i="4"/>
  <c r="AF110" i="4" s="1"/>
  <c r="P110" i="4" s="1"/>
  <c r="AE110" i="4"/>
  <c r="AG110" i="4" s="1"/>
  <c r="O110" i="4" s="1"/>
  <c r="AD43" i="4"/>
  <c r="AF43" i="4" s="1"/>
  <c r="P43" i="4" s="1"/>
  <c r="AE43" i="4"/>
  <c r="AG43" i="4" s="1"/>
  <c r="O43" i="4" s="1"/>
  <c r="AE144" i="4"/>
  <c r="AG144" i="4" s="1"/>
  <c r="O144" i="4" s="1"/>
  <c r="AD144" i="4"/>
  <c r="AF144" i="4" s="1"/>
  <c r="P144" i="4" s="1"/>
  <c r="AD204" i="4"/>
  <c r="AF204" i="4" s="1"/>
  <c r="P204" i="4" s="1"/>
  <c r="AE204" i="4"/>
  <c r="AG204" i="4" s="1"/>
  <c r="O204" i="4" s="1"/>
  <c r="AE224" i="4"/>
  <c r="AG224" i="4" s="1"/>
  <c r="O224" i="4" s="1"/>
  <c r="AD224" i="4"/>
  <c r="AF224" i="4" s="1"/>
  <c r="P224" i="4" s="1"/>
  <c r="AE412" i="4"/>
  <c r="AG412" i="4" s="1"/>
  <c r="O412" i="4" s="1"/>
  <c r="AD412" i="4"/>
  <c r="AF412" i="4" s="1"/>
  <c r="P412" i="4" s="1"/>
  <c r="AE151" i="4"/>
  <c r="AG151" i="4" s="1"/>
  <c r="O151" i="4" s="1"/>
  <c r="AD151" i="4"/>
  <c r="AF151" i="4" s="1"/>
  <c r="P151" i="4" s="1"/>
  <c r="AE69" i="4"/>
  <c r="AG69" i="4" s="1"/>
  <c r="O69" i="4" s="1"/>
  <c r="AD69" i="4"/>
  <c r="AF69" i="4" s="1"/>
  <c r="P69" i="4" s="1"/>
  <c r="AE311" i="4"/>
  <c r="AG311" i="4" s="1"/>
  <c r="O311" i="4" s="1"/>
  <c r="AD311" i="4"/>
  <c r="AF311" i="4" s="1"/>
  <c r="P311" i="4" s="1"/>
  <c r="AD433" i="4"/>
  <c r="AF433" i="4" s="1"/>
  <c r="P433" i="4" s="1"/>
  <c r="AE433" i="4"/>
  <c r="AG433" i="4" s="1"/>
  <c r="O433" i="4" s="1"/>
  <c r="AD215" i="4"/>
  <c r="AF215" i="4" s="1"/>
  <c r="P215" i="4" s="1"/>
  <c r="AE215" i="4"/>
  <c r="AG215" i="4" s="1"/>
  <c r="O215" i="4" s="1"/>
  <c r="AE349" i="4"/>
  <c r="AG349" i="4" s="1"/>
  <c r="O349" i="4" s="1"/>
  <c r="AD349" i="4"/>
  <c r="AF349" i="4" s="1"/>
  <c r="P349" i="4" s="1"/>
  <c r="AD348" i="4"/>
  <c r="AF348" i="4" s="1"/>
  <c r="P348" i="4" s="1"/>
  <c r="AE348" i="4"/>
  <c r="AG348" i="4" s="1"/>
  <c r="O348" i="4" s="1"/>
  <c r="AE4" i="4"/>
  <c r="AG4" i="4" s="1"/>
  <c r="O4" i="4" s="1"/>
  <c r="AD4" i="4"/>
  <c r="AF4" i="4" s="1"/>
  <c r="P4" i="4" s="1"/>
  <c r="AE109" i="4"/>
  <c r="AG109" i="4" s="1"/>
  <c r="O109" i="4" s="1"/>
  <c r="AD109" i="4"/>
  <c r="AF109" i="4" s="1"/>
  <c r="P109" i="4" s="1"/>
  <c r="AE135" i="4"/>
  <c r="AG135" i="4" s="1"/>
  <c r="O135" i="4" s="1"/>
  <c r="AD135" i="4"/>
  <c r="AF135" i="4" s="1"/>
  <c r="P135" i="4" s="1"/>
  <c r="AD183" i="4"/>
  <c r="AF183" i="4" s="1"/>
  <c r="P183" i="4" s="1"/>
  <c r="AE183" i="4"/>
  <c r="AG183" i="4" s="1"/>
  <c r="O183" i="4" s="1"/>
  <c r="AE98" i="4"/>
  <c r="AG98" i="4" s="1"/>
  <c r="O98" i="4" s="1"/>
  <c r="AD98" i="4"/>
  <c r="AF98" i="4" s="1"/>
  <c r="P98" i="4" s="1"/>
  <c r="AD342" i="4"/>
  <c r="AF342" i="4" s="1"/>
  <c r="P342" i="4" s="1"/>
  <c r="AE342" i="4"/>
  <c r="AG342" i="4" s="1"/>
  <c r="O342" i="4" s="1"/>
  <c r="AE445" i="4"/>
  <c r="AG445" i="4" s="1"/>
  <c r="O445" i="4" s="1"/>
  <c r="AD445" i="4"/>
  <c r="AF445" i="4" s="1"/>
  <c r="P445" i="4" s="1"/>
  <c r="AD67" i="4"/>
  <c r="AF67" i="4" s="1"/>
  <c r="P67" i="4" s="1"/>
  <c r="AE67" i="4"/>
  <c r="AG67" i="4" s="1"/>
  <c r="O67" i="4" s="1"/>
  <c r="AE161" i="4"/>
  <c r="AG161" i="4" s="1"/>
  <c r="O161" i="4" s="1"/>
  <c r="AD161" i="4"/>
  <c r="AF161" i="4" s="1"/>
  <c r="P161" i="4" s="1"/>
  <c r="AD441" i="4"/>
  <c r="AF441" i="4" s="1"/>
  <c r="P441" i="4" s="1"/>
  <c r="AE441" i="4"/>
  <c r="AG441" i="4" s="1"/>
  <c r="O441" i="4" s="1"/>
  <c r="AD478" i="4"/>
  <c r="AF478" i="4" s="1"/>
  <c r="P478" i="4" s="1"/>
  <c r="AE478" i="4"/>
  <c r="AG478" i="4" s="1"/>
  <c r="O478" i="4" s="1"/>
  <c r="AD186" i="4"/>
  <c r="AF186" i="4" s="1"/>
  <c r="P186" i="4" s="1"/>
  <c r="AE186" i="4"/>
  <c r="AG186" i="4" s="1"/>
  <c r="O186" i="4" s="1"/>
  <c r="AE442" i="4"/>
  <c r="AG442" i="4" s="1"/>
  <c r="O442" i="4" s="1"/>
  <c r="AD442" i="4"/>
  <c r="AF442" i="4" s="1"/>
  <c r="P442" i="4" s="1"/>
  <c r="AE467" i="4"/>
  <c r="AG467" i="4" s="1"/>
  <c r="O467" i="4" s="1"/>
  <c r="AD467" i="4"/>
  <c r="AF467" i="4" s="1"/>
  <c r="P467" i="4" s="1"/>
  <c r="AD105" i="4"/>
  <c r="AF105" i="4" s="1"/>
  <c r="P105" i="4" s="1"/>
  <c r="AE105" i="4"/>
  <c r="AG105" i="4" s="1"/>
  <c r="O105" i="4" s="1"/>
  <c r="AD317" i="4"/>
  <c r="AF317" i="4" s="1"/>
  <c r="P317" i="4" s="1"/>
  <c r="AE317" i="4"/>
  <c r="AG317" i="4" s="1"/>
  <c r="O317" i="4" s="1"/>
  <c r="AE104" i="4"/>
  <c r="AG104" i="4" s="1"/>
  <c r="O104" i="4" s="1"/>
  <c r="AD104" i="4"/>
  <c r="AF104" i="4" s="1"/>
  <c r="P104" i="4" s="1"/>
  <c r="AE137" i="4"/>
  <c r="AG137" i="4" s="1"/>
  <c r="O137" i="4" s="1"/>
  <c r="AD137" i="4"/>
  <c r="AF137" i="4" s="1"/>
  <c r="P137" i="4" s="1"/>
  <c r="AE336" i="4"/>
  <c r="AG336" i="4" s="1"/>
  <c r="O336" i="4" s="1"/>
  <c r="AD336" i="4"/>
  <c r="AF336" i="4" s="1"/>
  <c r="P336" i="4" s="1"/>
  <c r="AE113" i="4"/>
  <c r="AG113" i="4" s="1"/>
  <c r="O113" i="4" s="1"/>
  <c r="AD113" i="4"/>
  <c r="AF113" i="4" s="1"/>
  <c r="P113" i="4" s="1"/>
  <c r="AD94" i="4"/>
  <c r="AF94" i="4" s="1"/>
  <c r="P94" i="4" s="1"/>
  <c r="AE94" i="4"/>
  <c r="AG94" i="4" s="1"/>
  <c r="O94" i="4" s="1"/>
  <c r="AE200" i="4"/>
  <c r="AG200" i="4" s="1"/>
  <c r="O200" i="4" s="1"/>
  <c r="AD200" i="4"/>
  <c r="AF200" i="4" s="1"/>
  <c r="P200" i="4" s="1"/>
  <c r="AE439" i="4"/>
  <c r="AG439" i="4" s="1"/>
  <c r="O439" i="4" s="1"/>
  <c r="AD439" i="4"/>
  <c r="AF439" i="4" s="1"/>
  <c r="P439" i="4" s="1"/>
  <c r="AE430" i="4"/>
  <c r="AG430" i="4" s="1"/>
  <c r="O430" i="4" s="1"/>
  <c r="AD430" i="4"/>
  <c r="AF430" i="4" s="1"/>
  <c r="P430" i="4" s="1"/>
  <c r="AD460" i="4"/>
  <c r="AF460" i="4" s="1"/>
  <c r="P460" i="4" s="1"/>
  <c r="AE460" i="4"/>
  <c r="AG460" i="4" s="1"/>
  <c r="O460" i="4" s="1"/>
  <c r="AE324" i="4"/>
  <c r="AG324" i="4" s="1"/>
  <c r="O324" i="4" s="1"/>
  <c r="AD324" i="4"/>
  <c r="AF324" i="4" s="1"/>
  <c r="P324" i="4" s="1"/>
  <c r="AE169" i="4"/>
  <c r="AG169" i="4" s="1"/>
  <c r="O169" i="4" s="1"/>
  <c r="AD169" i="4"/>
  <c r="AF169" i="4" s="1"/>
  <c r="P169" i="4" s="1"/>
  <c r="AD456" i="4"/>
  <c r="AF456" i="4" s="1"/>
  <c r="P456" i="4" s="1"/>
  <c r="AE456" i="4"/>
  <c r="AG456" i="4" s="1"/>
  <c r="O456" i="4" s="1"/>
  <c r="AE416" i="4"/>
  <c r="AG416" i="4" s="1"/>
  <c r="O416" i="4" s="1"/>
  <c r="AD416" i="4"/>
  <c r="AF416" i="4" s="1"/>
  <c r="P416" i="4" s="1"/>
  <c r="AE219" i="4"/>
  <c r="AG219" i="4" s="1"/>
  <c r="O219" i="4" s="1"/>
  <c r="AD219" i="4"/>
  <c r="AF219" i="4" s="1"/>
  <c r="P219" i="4" s="1"/>
  <c r="AD233" i="4"/>
  <c r="AF233" i="4" s="1"/>
  <c r="P233" i="4" s="1"/>
  <c r="AE233" i="4"/>
  <c r="AG233" i="4" s="1"/>
  <c r="O233" i="4" s="1"/>
  <c r="AE428" i="4"/>
  <c r="AG428" i="4" s="1"/>
  <c r="O428" i="4" s="1"/>
  <c r="AD428" i="4"/>
  <c r="AF428" i="4" s="1"/>
  <c r="P428" i="4" s="1"/>
  <c r="AE64" i="4"/>
  <c r="AG64" i="4" s="1"/>
  <c r="O64" i="4" s="1"/>
  <c r="AD64" i="4"/>
  <c r="AF64" i="4" s="1"/>
  <c r="P64" i="4" s="1"/>
  <c r="AD62" i="4"/>
  <c r="AF62" i="4" s="1"/>
  <c r="P62" i="4" s="1"/>
  <c r="AE62" i="4"/>
  <c r="AG62" i="4" s="1"/>
  <c r="O62" i="4" s="1"/>
  <c r="AE318" i="4"/>
  <c r="AG318" i="4" s="1"/>
  <c r="O318" i="4" s="1"/>
  <c r="AD318" i="4"/>
  <c r="AF318" i="4" s="1"/>
  <c r="P318" i="4" s="1"/>
  <c r="AE308" i="4"/>
  <c r="AG308" i="4" s="1"/>
  <c r="O308" i="4" s="1"/>
  <c r="AD308" i="4"/>
  <c r="AF308" i="4" s="1"/>
  <c r="P308" i="4" s="1"/>
  <c r="AE134" i="4"/>
  <c r="AG134" i="4" s="1"/>
  <c r="O134" i="4" s="1"/>
  <c r="AD134" i="4"/>
  <c r="AF134" i="4" s="1"/>
  <c r="P134" i="4" s="1"/>
  <c r="AD88" i="4"/>
  <c r="AF88" i="4" s="1"/>
  <c r="P88" i="4" s="1"/>
  <c r="AE88" i="4"/>
  <c r="AG88" i="4" s="1"/>
  <c r="O88" i="4" s="1"/>
  <c r="AD406" i="4"/>
  <c r="AF406" i="4" s="1"/>
  <c r="P406" i="4" s="1"/>
  <c r="AE406" i="4"/>
  <c r="AG406" i="4" s="1"/>
  <c r="O406" i="4" s="1"/>
  <c r="AD194" i="4"/>
  <c r="AF194" i="4" s="1"/>
  <c r="P194" i="4" s="1"/>
  <c r="AE194" i="4"/>
  <c r="AG194" i="4" s="1"/>
  <c r="O194" i="4" s="1"/>
  <c r="AD25" i="4"/>
  <c r="AF25" i="4" s="1"/>
  <c r="P25" i="4" s="1"/>
  <c r="AE25" i="4"/>
  <c r="AG25" i="4" s="1"/>
  <c r="O25" i="4" s="1"/>
  <c r="AE297" i="4"/>
  <c r="AG297" i="4" s="1"/>
  <c r="O297" i="4" s="1"/>
  <c r="AD297" i="4"/>
  <c r="AF297" i="4" s="1"/>
  <c r="P297" i="4" s="1"/>
  <c r="AE177" i="4"/>
  <c r="AG177" i="4" s="1"/>
  <c r="O177" i="4" s="1"/>
  <c r="AD177" i="4"/>
  <c r="AF177" i="4" s="1"/>
  <c r="P177" i="4" s="1"/>
  <c r="AE496" i="4"/>
  <c r="AG496" i="4" s="1"/>
  <c r="O496" i="4" s="1"/>
  <c r="AD496" i="4"/>
  <c r="AF496" i="4" s="1"/>
  <c r="P496" i="4" s="1"/>
  <c r="AE56" i="4"/>
  <c r="AG56" i="4" s="1"/>
  <c r="O56" i="4" s="1"/>
  <c r="AD56" i="4"/>
  <c r="AF56" i="4" s="1"/>
  <c r="P56" i="4" s="1"/>
  <c r="AD451" i="4"/>
  <c r="AF451" i="4" s="1"/>
  <c r="P451" i="4" s="1"/>
  <c r="AE451" i="4"/>
  <c r="AG451" i="4" s="1"/>
  <c r="O451" i="4" s="1"/>
  <c r="AD84" i="4"/>
  <c r="AF84" i="4" s="1"/>
  <c r="P84" i="4" s="1"/>
  <c r="AE84" i="4"/>
  <c r="AG84" i="4" s="1"/>
  <c r="O84" i="4" s="1"/>
  <c r="AE327" i="4"/>
  <c r="AG327" i="4" s="1"/>
  <c r="O327" i="4" s="1"/>
  <c r="AD327" i="4"/>
  <c r="AF327" i="4" s="1"/>
  <c r="P327" i="4" s="1"/>
  <c r="AE371" i="4"/>
  <c r="AG371" i="4" s="1"/>
  <c r="O371" i="4" s="1"/>
  <c r="AD371" i="4"/>
  <c r="AF371" i="4" s="1"/>
  <c r="P371" i="4" s="1"/>
  <c r="AE405" i="4"/>
  <c r="AG405" i="4" s="1"/>
  <c r="O405" i="4" s="1"/>
  <c r="AD405" i="4"/>
  <c r="AF405" i="4" s="1"/>
  <c r="P405" i="4" s="1"/>
  <c r="AD291" i="4"/>
  <c r="AF291" i="4" s="1"/>
  <c r="P291" i="4" s="1"/>
  <c r="AE291" i="4"/>
  <c r="AG291" i="4" s="1"/>
  <c r="O291" i="4" s="1"/>
  <c r="AD211" i="4"/>
  <c r="AF211" i="4" s="1"/>
  <c r="P211" i="4" s="1"/>
  <c r="AE211" i="4"/>
  <c r="AG211" i="4" s="1"/>
  <c r="O211" i="4" s="1"/>
  <c r="AD457" i="4"/>
  <c r="AF457" i="4" s="1"/>
  <c r="P457" i="4" s="1"/>
  <c r="AE457" i="4"/>
  <c r="AG457" i="4" s="1"/>
  <c r="O457" i="4" s="1"/>
  <c r="AD141" i="4"/>
  <c r="AF141" i="4" s="1"/>
  <c r="P141" i="4" s="1"/>
  <c r="AE141" i="4"/>
  <c r="AG141" i="4" s="1"/>
  <c r="O141" i="4" s="1"/>
  <c r="AD259" i="4"/>
  <c r="AF259" i="4" s="1"/>
  <c r="P259" i="4" s="1"/>
  <c r="AE259" i="4"/>
  <c r="AG259" i="4" s="1"/>
  <c r="O259" i="4" s="1"/>
  <c r="AE103" i="4"/>
  <c r="AG103" i="4" s="1"/>
  <c r="O103" i="4" s="1"/>
  <c r="AD103" i="4"/>
  <c r="AF103" i="4" s="1"/>
  <c r="P103" i="4" s="1"/>
  <c r="AD341" i="4"/>
  <c r="AF341" i="4" s="1"/>
  <c r="P341" i="4" s="1"/>
  <c r="AE341" i="4"/>
  <c r="AG341" i="4" s="1"/>
  <c r="O341" i="4" s="1"/>
  <c r="AE328" i="4"/>
  <c r="AG328" i="4" s="1"/>
  <c r="O328" i="4" s="1"/>
  <c r="AD328" i="4"/>
  <c r="AF328" i="4" s="1"/>
  <c r="P328" i="4" s="1"/>
  <c r="AD343" i="4"/>
  <c r="AF343" i="4" s="1"/>
  <c r="P343" i="4" s="1"/>
  <c r="AE343" i="4"/>
  <c r="AG343" i="4" s="1"/>
  <c r="O343" i="4" s="1"/>
  <c r="AD401" i="4"/>
  <c r="AF401" i="4" s="1"/>
  <c r="P401" i="4" s="1"/>
  <c r="AE401" i="4"/>
  <c r="AG401" i="4" s="1"/>
  <c r="O401" i="4" s="1"/>
  <c r="AD175" i="4"/>
  <c r="AF175" i="4" s="1"/>
  <c r="P175" i="4" s="1"/>
  <c r="AE175" i="4"/>
  <c r="AG175" i="4" s="1"/>
  <c r="O175" i="4" s="1"/>
  <c r="AE359" i="4"/>
  <c r="AG359" i="4" s="1"/>
  <c r="O359" i="4" s="1"/>
  <c r="AD359" i="4"/>
  <c r="AF359" i="4" s="1"/>
  <c r="P359" i="4" s="1"/>
  <c r="AD15" i="4"/>
  <c r="AF15" i="4" s="1"/>
  <c r="P15" i="4" s="1"/>
  <c r="AE15" i="4"/>
  <c r="AG15" i="4" s="1"/>
  <c r="O15" i="4" s="1"/>
  <c r="AE108" i="4"/>
  <c r="AG108" i="4" s="1"/>
  <c r="O108" i="4" s="1"/>
  <c r="AD108" i="4"/>
  <c r="AF108" i="4" s="1"/>
  <c r="P108" i="4" s="1"/>
  <c r="AD483" i="4"/>
  <c r="AF483" i="4" s="1"/>
  <c r="P483" i="4" s="1"/>
  <c r="AE483" i="4"/>
  <c r="AG483" i="4" s="1"/>
  <c r="O483" i="4" s="1"/>
  <c r="AD482" i="4"/>
  <c r="AF482" i="4" s="1"/>
  <c r="P482" i="4" s="1"/>
  <c r="AE482" i="4"/>
  <c r="AG482" i="4" s="1"/>
  <c r="O482" i="4" s="1"/>
  <c r="AD227" i="4"/>
  <c r="AF227" i="4" s="1"/>
  <c r="P227" i="4" s="1"/>
  <c r="AE227" i="4"/>
  <c r="AG227" i="4" s="1"/>
  <c r="O227" i="4" s="1"/>
  <c r="AE179" i="4"/>
  <c r="AG179" i="4" s="1"/>
  <c r="O179" i="4" s="1"/>
  <c r="AD179" i="4"/>
  <c r="AF179" i="4" s="1"/>
  <c r="P179" i="4" s="1"/>
  <c r="AD232" i="4"/>
  <c r="AF232" i="4" s="1"/>
  <c r="P232" i="4" s="1"/>
  <c r="AE232" i="4"/>
  <c r="AG232" i="4" s="1"/>
  <c r="O232" i="4" s="1"/>
  <c r="AE435" i="4"/>
  <c r="AG435" i="4" s="1"/>
  <c r="O435" i="4" s="1"/>
  <c r="AD435" i="4"/>
  <c r="AF435" i="4" s="1"/>
  <c r="P435" i="4" s="1"/>
  <c r="AE489" i="4"/>
  <c r="AG489" i="4" s="1"/>
  <c r="O489" i="4" s="1"/>
  <c r="AD489" i="4"/>
  <c r="AF489" i="4" s="1"/>
  <c r="P489" i="4" s="1"/>
  <c r="AE112" i="4"/>
  <c r="AG112" i="4" s="1"/>
  <c r="O112" i="4" s="1"/>
  <c r="AD112" i="4"/>
  <c r="AF112" i="4" s="1"/>
  <c r="P112" i="4" s="1"/>
  <c r="AE306" i="4"/>
  <c r="AG306" i="4" s="1"/>
  <c r="O306" i="4" s="1"/>
  <c r="AD306" i="4"/>
  <c r="AF306" i="4" s="1"/>
  <c r="P306" i="4" s="1"/>
  <c r="AD75" i="4"/>
  <c r="AF75" i="4" s="1"/>
  <c r="P75" i="4" s="1"/>
  <c r="AE75" i="4"/>
  <c r="AG75" i="4" s="1"/>
  <c r="O75" i="4" s="1"/>
  <c r="AE236" i="4"/>
  <c r="AG236" i="4" s="1"/>
  <c r="O236" i="4" s="1"/>
  <c r="AD236" i="4"/>
  <c r="AF236" i="4" s="1"/>
  <c r="P236" i="4" s="1"/>
  <c r="AD60" i="4"/>
  <c r="AF60" i="4" s="1"/>
  <c r="P60" i="4" s="1"/>
  <c r="AE60" i="4"/>
  <c r="AG60" i="4" s="1"/>
  <c r="O60" i="4" s="1"/>
  <c r="AD31" i="4"/>
  <c r="AF31" i="4" s="1"/>
  <c r="P31" i="4" s="1"/>
  <c r="AE31" i="4"/>
  <c r="AG31" i="4" s="1"/>
  <c r="O31" i="4" s="1"/>
  <c r="AE320" i="4"/>
  <c r="AG320" i="4" s="1"/>
  <c r="O320" i="4" s="1"/>
  <c r="AD320" i="4"/>
  <c r="AF320" i="4" s="1"/>
  <c r="P320" i="4" s="1"/>
  <c r="AD8" i="4"/>
  <c r="AF8" i="4" s="1"/>
  <c r="P8" i="4" s="1"/>
  <c r="AE8" i="4"/>
  <c r="AG8" i="4" s="1"/>
  <c r="O8" i="4" s="1"/>
  <c r="AD455" i="4"/>
  <c r="AF455" i="4" s="1"/>
  <c r="P455" i="4" s="1"/>
  <c r="AE455" i="4"/>
  <c r="AG455" i="4" s="1"/>
  <c r="O455" i="4" s="1"/>
  <c r="AD465" i="4"/>
  <c r="AF465" i="4" s="1"/>
  <c r="P465" i="4" s="1"/>
  <c r="AE465" i="4"/>
  <c r="AG465" i="4" s="1"/>
  <c r="O465" i="4" s="1"/>
  <c r="AE358" i="4"/>
  <c r="AG358" i="4" s="1"/>
  <c r="O358" i="4" s="1"/>
  <c r="AD358" i="4"/>
  <c r="AF358" i="4" s="1"/>
  <c r="P358" i="4" s="1"/>
  <c r="AD335" i="4"/>
  <c r="AF335" i="4" s="1"/>
  <c r="P335" i="4" s="1"/>
  <c r="AE335" i="4"/>
  <c r="AG335" i="4" s="1"/>
  <c r="O335" i="4" s="1"/>
  <c r="AD350" i="4"/>
  <c r="AF350" i="4" s="1"/>
  <c r="P350" i="4" s="1"/>
  <c r="AE350" i="4"/>
  <c r="AG350" i="4" s="1"/>
  <c r="O350" i="4" s="1"/>
  <c r="AE345" i="4"/>
  <c r="AG345" i="4" s="1"/>
  <c r="O345" i="4" s="1"/>
  <c r="AD345" i="4"/>
  <c r="AF345" i="4" s="1"/>
  <c r="P345" i="4" s="1"/>
  <c r="AD419" i="4"/>
  <c r="AF419" i="4" s="1"/>
  <c r="P419" i="4" s="1"/>
  <c r="AE419" i="4"/>
  <c r="AG419" i="4" s="1"/>
  <c r="O419" i="4" s="1"/>
  <c r="AE26" i="4"/>
  <c r="AG26" i="4" s="1"/>
  <c r="O26" i="4" s="1"/>
  <c r="AD26" i="4"/>
  <c r="AF26" i="4" s="1"/>
  <c r="P26" i="4" s="1"/>
  <c r="AE326" i="4"/>
  <c r="AG326" i="4" s="1"/>
  <c r="O326" i="4" s="1"/>
  <c r="AD326" i="4"/>
  <c r="AF326" i="4" s="1"/>
  <c r="P326" i="4" s="1"/>
  <c r="AE45" i="4"/>
  <c r="AG45" i="4" s="1"/>
  <c r="O45" i="4" s="1"/>
  <c r="AD45" i="4"/>
  <c r="AF45" i="4" s="1"/>
  <c r="P45" i="4" s="1"/>
  <c r="AD138" i="4"/>
  <c r="AF138" i="4" s="1"/>
  <c r="P138" i="4" s="1"/>
  <c r="AE138" i="4"/>
  <c r="AG138" i="4" s="1"/>
  <c r="O138" i="4" s="1"/>
  <c r="AE115" i="4"/>
  <c r="AG115" i="4" s="1"/>
  <c r="O115" i="4" s="1"/>
  <c r="AD115" i="4"/>
  <c r="AF115" i="4" s="1"/>
  <c r="P115" i="4" s="1"/>
  <c r="AE228" i="4"/>
  <c r="AG228" i="4" s="1"/>
  <c r="O228" i="4" s="1"/>
  <c r="AD228" i="4"/>
  <c r="AF228" i="4" s="1"/>
  <c r="P228" i="4" s="1"/>
  <c r="AE100" i="4"/>
  <c r="AG100" i="4" s="1"/>
  <c r="O100" i="4" s="1"/>
  <c r="AD100" i="4"/>
  <c r="AF100" i="4" s="1"/>
  <c r="P100" i="4" s="1"/>
  <c r="AD239" i="4"/>
  <c r="AF239" i="4" s="1"/>
  <c r="P239" i="4" s="1"/>
  <c r="AE239" i="4"/>
  <c r="AG239" i="4" s="1"/>
  <c r="O239" i="4" s="1"/>
  <c r="AD95" i="4"/>
  <c r="AF95" i="4" s="1"/>
  <c r="P95" i="4" s="1"/>
  <c r="AE95" i="4"/>
  <c r="AG95" i="4" s="1"/>
  <c r="O95" i="4" s="1"/>
  <c r="AE300" i="4"/>
  <c r="AG300" i="4" s="1"/>
  <c r="O300" i="4" s="1"/>
  <c r="AD300" i="4"/>
  <c r="AF300" i="4" s="1"/>
  <c r="P300" i="4" s="1"/>
  <c r="AD10" i="4"/>
  <c r="AF10" i="4" s="1"/>
  <c r="P10" i="4" s="1"/>
  <c r="AE10" i="4"/>
  <c r="AG10" i="4" s="1"/>
  <c r="O10" i="4" s="1"/>
  <c r="AE58" i="4"/>
  <c r="AG58" i="4" s="1"/>
  <c r="O58" i="4" s="1"/>
  <c r="AD58" i="4"/>
  <c r="AF58" i="4" s="1"/>
  <c r="P58" i="4" s="1"/>
  <c r="AE65" i="4"/>
  <c r="AG65" i="4" s="1"/>
  <c r="O65" i="4" s="1"/>
  <c r="AD65" i="4"/>
  <c r="AF65" i="4" s="1"/>
  <c r="P65" i="4" s="1"/>
  <c r="AD24" i="4"/>
  <c r="AF24" i="4" s="1"/>
  <c r="P24" i="4" s="1"/>
  <c r="AE24" i="4"/>
  <c r="AG24" i="4" s="1"/>
  <c r="O24" i="4" s="1"/>
  <c r="AD313" i="4"/>
  <c r="AF313" i="4" s="1"/>
  <c r="P313" i="4" s="1"/>
  <c r="AE313" i="4"/>
  <c r="AG313" i="4" s="1"/>
  <c r="O313" i="4" s="1"/>
  <c r="AD207" i="4"/>
  <c r="AF207" i="4" s="1"/>
  <c r="P207" i="4" s="1"/>
  <c r="AE207" i="4"/>
  <c r="AG207" i="4" s="1"/>
  <c r="O207" i="4" s="1"/>
  <c r="AD111" i="4"/>
  <c r="AF111" i="4" s="1"/>
  <c r="P111" i="4" s="1"/>
  <c r="AE111" i="4"/>
  <c r="AG111" i="4" s="1"/>
  <c r="O111" i="4" s="1"/>
  <c r="AD70" i="4"/>
  <c r="AF70" i="4" s="1"/>
  <c r="P70" i="4" s="1"/>
  <c r="AE70" i="4"/>
  <c r="AG70" i="4" s="1"/>
  <c r="O70" i="4" s="1"/>
  <c r="AE61" i="4"/>
  <c r="AG61" i="4" s="1"/>
  <c r="O61" i="4" s="1"/>
  <c r="AD61" i="4"/>
  <c r="AF61" i="4" s="1"/>
  <c r="P61" i="4" s="1"/>
  <c r="AE334" i="4"/>
  <c r="AG334" i="4" s="1"/>
  <c r="O334" i="4" s="1"/>
  <c r="AD334" i="4"/>
  <c r="AF334" i="4" s="1"/>
  <c r="P334" i="4" s="1"/>
  <c r="AE171" i="4"/>
  <c r="AG171" i="4" s="1"/>
  <c r="O171" i="4" s="1"/>
  <c r="AD171" i="4"/>
  <c r="AF171" i="4" s="1"/>
  <c r="P171" i="4" s="1"/>
  <c r="AE230" i="4"/>
  <c r="AG230" i="4" s="1"/>
  <c r="O230" i="4" s="1"/>
  <c r="AD230" i="4"/>
  <c r="AF230" i="4" s="1"/>
  <c r="P230" i="4" s="1"/>
  <c r="AE238" i="4"/>
  <c r="AG238" i="4" s="1"/>
  <c r="O238" i="4" s="1"/>
  <c r="AD238" i="4"/>
  <c r="AF238" i="4" s="1"/>
  <c r="P238" i="4" s="1"/>
  <c r="AE124" i="4"/>
  <c r="AG124" i="4" s="1"/>
  <c r="O124" i="4" s="1"/>
  <c r="AD124" i="4"/>
  <c r="AF124" i="4" s="1"/>
  <c r="P124" i="4" s="1"/>
  <c r="AE275" i="4"/>
  <c r="AG275" i="4" s="1"/>
  <c r="O275" i="4" s="1"/>
  <c r="AD275" i="4"/>
  <c r="AF275" i="4" s="1"/>
  <c r="P275" i="4" s="1"/>
  <c r="AE373" i="4"/>
  <c r="AG373" i="4" s="1"/>
  <c r="O373" i="4" s="1"/>
  <c r="AD373" i="4"/>
  <c r="AF373" i="4" s="1"/>
  <c r="P373" i="4" s="1"/>
  <c r="AD344" i="4"/>
  <c r="AF344" i="4" s="1"/>
  <c r="P344" i="4" s="1"/>
  <c r="AE344" i="4"/>
  <c r="AG344" i="4" s="1"/>
  <c r="O344" i="4" s="1"/>
  <c r="AE423" i="4"/>
  <c r="AG423" i="4" s="1"/>
  <c r="O423" i="4" s="1"/>
  <c r="AD423" i="4"/>
  <c r="AF423" i="4" s="1"/>
  <c r="P423" i="4" s="1"/>
  <c r="AE32" i="4"/>
  <c r="AG32" i="4" s="1"/>
  <c r="O32" i="4" s="1"/>
  <c r="AD32" i="4"/>
  <c r="AF32" i="4" s="1"/>
  <c r="P32" i="4" s="1"/>
  <c r="AE87" i="4"/>
  <c r="AG87" i="4" s="1"/>
  <c r="O87" i="4" s="1"/>
  <c r="AD87" i="4"/>
  <c r="AF87" i="4" s="1"/>
  <c r="P87" i="4" s="1"/>
  <c r="AD46" i="4"/>
  <c r="AF46" i="4" s="1"/>
  <c r="P46" i="4" s="1"/>
  <c r="AE46" i="4"/>
  <c r="AG46" i="4" s="1"/>
  <c r="O46" i="4" s="1"/>
  <c r="AE178" i="4"/>
  <c r="AG178" i="4" s="1"/>
  <c r="O178" i="4" s="1"/>
  <c r="AD178" i="4"/>
  <c r="AF178" i="4" s="1"/>
  <c r="P178" i="4" s="1"/>
  <c r="AD190" i="4"/>
  <c r="AF190" i="4" s="1"/>
  <c r="P190" i="4" s="1"/>
  <c r="AE190" i="4"/>
  <c r="AG190" i="4" s="1"/>
  <c r="O190" i="4" s="1"/>
  <c r="AE222" i="4"/>
  <c r="AG222" i="4" s="1"/>
  <c r="O222" i="4" s="1"/>
  <c r="AD222" i="4"/>
  <c r="AF222" i="4" s="1"/>
  <c r="P222" i="4" s="1"/>
  <c r="AD189" i="4"/>
  <c r="AF189" i="4" s="1"/>
  <c r="P189" i="4" s="1"/>
  <c r="AE189" i="4"/>
  <c r="AG189" i="4" s="1"/>
  <c r="O189" i="4" s="1"/>
  <c r="AE368" i="4"/>
  <c r="AG368" i="4" s="1"/>
  <c r="O368" i="4" s="1"/>
  <c r="AD368" i="4"/>
  <c r="AF368" i="4" s="1"/>
  <c r="P368" i="4" s="1"/>
  <c r="AD29" i="4"/>
  <c r="AF29" i="4" s="1"/>
  <c r="P29" i="4" s="1"/>
  <c r="AE29" i="4"/>
  <c r="AG29" i="4" s="1"/>
  <c r="O29" i="4" s="1"/>
  <c r="AE464" i="4"/>
  <c r="AG464" i="4" s="1"/>
  <c r="O464" i="4" s="1"/>
  <c r="AD464" i="4"/>
  <c r="AF464" i="4" s="1"/>
  <c r="P464" i="4" s="1"/>
  <c r="AD399" i="4"/>
  <c r="AF399" i="4" s="1"/>
  <c r="P399" i="4" s="1"/>
  <c r="AE399" i="4"/>
  <c r="AG399" i="4" s="1"/>
  <c r="O399" i="4" s="1"/>
  <c r="AE394" i="4"/>
  <c r="AG394" i="4" s="1"/>
  <c r="O394" i="4" s="1"/>
  <c r="AD394" i="4"/>
  <c r="AF394" i="4" s="1"/>
  <c r="P394" i="4" s="1"/>
  <c r="AD125" i="4"/>
  <c r="AF125" i="4" s="1"/>
  <c r="P125" i="4" s="1"/>
  <c r="AE125" i="4"/>
  <c r="AG125" i="4" s="1"/>
  <c r="O125" i="4" s="1"/>
  <c r="AD434" i="4"/>
  <c r="AF434" i="4" s="1"/>
  <c r="P434" i="4" s="1"/>
  <c r="AE434" i="4"/>
  <c r="AG434" i="4" s="1"/>
  <c r="O434" i="4" s="1"/>
  <c r="AD285" i="4"/>
  <c r="AF285" i="4" s="1"/>
  <c r="P285" i="4" s="1"/>
  <c r="AE285" i="4"/>
  <c r="AG285" i="4" s="1"/>
  <c r="O285" i="4" s="1"/>
  <c r="AE432" i="4"/>
  <c r="AG432" i="4" s="1"/>
  <c r="O432" i="4" s="1"/>
  <c r="AD432" i="4"/>
  <c r="AF432" i="4" s="1"/>
  <c r="P432" i="4" s="1"/>
  <c r="AD322" i="4"/>
  <c r="AF322" i="4" s="1"/>
  <c r="P322" i="4" s="1"/>
  <c r="AE322" i="4"/>
  <c r="AG322" i="4" s="1"/>
  <c r="O322" i="4" s="1"/>
  <c r="AD34" i="4"/>
  <c r="AF34" i="4" s="1"/>
  <c r="P34" i="4" s="1"/>
  <c r="AE34" i="4"/>
  <c r="AG34" i="4" s="1"/>
  <c r="O34" i="4" s="1"/>
  <c r="AE491" i="4"/>
  <c r="AG491" i="4" s="1"/>
  <c r="O491" i="4" s="1"/>
  <c r="AD491" i="4"/>
  <c r="AF491" i="4" s="1"/>
  <c r="P491" i="4" s="1"/>
  <c r="AE264" i="4"/>
  <c r="AG264" i="4" s="1"/>
  <c r="O264" i="4" s="1"/>
  <c r="AD264" i="4"/>
  <c r="AF264" i="4" s="1"/>
  <c r="P264" i="4" s="1"/>
  <c r="AD128" i="4"/>
  <c r="AF128" i="4" s="1"/>
  <c r="P128" i="4" s="1"/>
  <c r="AE128" i="4"/>
  <c r="AG128" i="4" s="1"/>
  <c r="O128" i="4" s="1"/>
  <c r="AD209" i="4"/>
  <c r="AF209" i="4" s="1"/>
  <c r="P209" i="4" s="1"/>
  <c r="AE209" i="4"/>
  <c r="AG209" i="4" s="1"/>
  <c r="O209" i="4" s="1"/>
  <c r="AD453" i="4"/>
  <c r="AF453" i="4" s="1"/>
  <c r="P453" i="4" s="1"/>
  <c r="AE453" i="4"/>
  <c r="AG453" i="4" s="1"/>
  <c r="O453" i="4" s="1"/>
  <c r="AE319" i="4"/>
  <c r="AG319" i="4" s="1"/>
  <c r="O319" i="4" s="1"/>
  <c r="AD319" i="4"/>
  <c r="AF319" i="4" s="1"/>
  <c r="P319" i="4" s="1"/>
  <c r="AE277" i="4"/>
  <c r="AG277" i="4" s="1"/>
  <c r="O277" i="4" s="1"/>
  <c r="AD277" i="4"/>
  <c r="AF277" i="4" s="1"/>
  <c r="P277" i="4" s="1"/>
  <c r="AE475" i="4"/>
  <c r="AG475" i="4" s="1"/>
  <c r="O475" i="4" s="1"/>
  <c r="AD475" i="4"/>
  <c r="AF475" i="4" s="1"/>
  <c r="P475" i="4" s="1"/>
  <c r="AE425" i="4"/>
  <c r="AG425" i="4" s="1"/>
  <c r="O425" i="4" s="1"/>
  <c r="AD425" i="4"/>
  <c r="AF425" i="4" s="1"/>
  <c r="P425" i="4" s="1"/>
  <c r="AD427" i="4"/>
  <c r="AF427" i="4" s="1"/>
  <c r="P427" i="4" s="1"/>
  <c r="AE427" i="4"/>
  <c r="AG427" i="4" s="1"/>
  <c r="O427" i="4" s="1"/>
  <c r="AE307" i="4"/>
  <c r="AG307" i="4" s="1"/>
  <c r="O307" i="4" s="1"/>
  <c r="AD307" i="4"/>
  <c r="AF307" i="4" s="1"/>
  <c r="P307" i="4" s="1"/>
  <c r="AD449" i="4"/>
  <c r="AF449" i="4" s="1"/>
  <c r="P449" i="4" s="1"/>
  <c r="AE449" i="4"/>
  <c r="AG449" i="4" s="1"/>
  <c r="O449" i="4" s="1"/>
  <c r="AE426" i="4"/>
  <c r="AG426" i="4" s="1"/>
  <c r="O426" i="4" s="1"/>
  <c r="AD426" i="4"/>
  <c r="AF426" i="4" s="1"/>
  <c r="P426" i="4" s="1"/>
  <c r="AE314" i="4"/>
  <c r="AG314" i="4" s="1"/>
  <c r="O314" i="4" s="1"/>
  <c r="AD314" i="4"/>
  <c r="AF314" i="4" s="1"/>
  <c r="P314" i="4" s="1"/>
  <c r="AE92" i="4"/>
  <c r="AG92" i="4" s="1"/>
  <c r="O92" i="4" s="1"/>
  <c r="AD92" i="4"/>
  <c r="AF92" i="4" s="1"/>
  <c r="P92" i="4" s="1"/>
  <c r="AE366" i="4"/>
  <c r="AG366" i="4" s="1"/>
  <c r="O366" i="4" s="1"/>
  <c r="AD366" i="4"/>
  <c r="AF366" i="4" s="1"/>
  <c r="P366" i="4" s="1"/>
  <c r="AD180" i="4"/>
  <c r="AF180" i="4" s="1"/>
  <c r="P180" i="4" s="1"/>
  <c r="AE180" i="4"/>
  <c r="AG180" i="4" s="1"/>
  <c r="O180" i="4" s="1"/>
  <c r="AE444" i="4"/>
  <c r="AG444" i="4" s="1"/>
  <c r="O444" i="4" s="1"/>
  <c r="AD444" i="4"/>
  <c r="AF444" i="4" s="1"/>
  <c r="P444" i="4" s="1"/>
  <c r="AE96" i="4"/>
  <c r="AG96" i="4" s="1"/>
  <c r="O96" i="4" s="1"/>
  <c r="AD96" i="4"/>
  <c r="AF96" i="4" s="1"/>
  <c r="P96" i="4" s="1"/>
  <c r="AE253" i="4"/>
  <c r="AG253" i="4" s="1"/>
  <c r="O253" i="4" s="1"/>
  <c r="AD253" i="4"/>
  <c r="AF253" i="4" s="1"/>
  <c r="P253" i="4" s="1"/>
  <c r="AD392" i="4"/>
  <c r="AF392" i="4" s="1"/>
  <c r="P392" i="4" s="1"/>
  <c r="AE392" i="4"/>
  <c r="AG392" i="4" s="1"/>
  <c r="O392" i="4" s="1"/>
  <c r="AD396" i="4"/>
  <c r="AF396" i="4" s="1"/>
  <c r="P396" i="4" s="1"/>
  <c r="AE396" i="4"/>
  <c r="AG396" i="4" s="1"/>
  <c r="O396" i="4" s="1"/>
  <c r="AE262" i="4"/>
  <c r="AG262" i="4" s="1"/>
  <c r="O262" i="4" s="1"/>
  <c r="AD262" i="4"/>
  <c r="AF262" i="4" s="1"/>
  <c r="P262" i="4" s="1"/>
  <c r="AD246" i="4"/>
  <c r="AF246" i="4" s="1"/>
  <c r="P246" i="4" s="1"/>
  <c r="AE246" i="4"/>
  <c r="AG246" i="4" s="1"/>
  <c r="O246" i="4" s="1"/>
  <c r="AD208" i="4"/>
  <c r="AF208" i="4" s="1"/>
  <c r="P208" i="4" s="1"/>
  <c r="AE208" i="4"/>
  <c r="AG208" i="4" s="1"/>
  <c r="O208" i="4" s="1"/>
  <c r="AE19" i="4"/>
  <c r="AG19" i="4" s="1"/>
  <c r="O19" i="4" s="1"/>
  <c r="AD19" i="4"/>
  <c r="AF19" i="4" s="1"/>
  <c r="P19" i="4" s="1"/>
  <c r="AD148" i="4"/>
  <c r="AF148" i="4" s="1"/>
  <c r="P148" i="4" s="1"/>
  <c r="AE148" i="4"/>
  <c r="AG148" i="4" s="1"/>
  <c r="O148" i="4" s="1"/>
  <c r="AE387" i="4"/>
  <c r="AG387" i="4" s="1"/>
  <c r="O387" i="4" s="1"/>
  <c r="AD387" i="4"/>
  <c r="AF387" i="4" s="1"/>
  <c r="P387" i="4" s="1"/>
  <c r="AE39" i="4"/>
  <c r="AG39" i="4" s="1"/>
  <c r="O39" i="4" s="1"/>
  <c r="AD39" i="4"/>
  <c r="AF39" i="4" s="1"/>
  <c r="P39" i="4" s="1"/>
  <c r="AE102" i="4"/>
  <c r="AG102" i="4" s="1"/>
  <c r="O102" i="4" s="1"/>
  <c r="AD102" i="4"/>
  <c r="AF102" i="4" s="1"/>
  <c r="P102" i="4" s="1"/>
  <c r="AD338" i="4"/>
  <c r="AF338" i="4" s="1"/>
  <c r="P338" i="4" s="1"/>
  <c r="AE338" i="4"/>
  <c r="AG338" i="4" s="1"/>
  <c r="O338" i="4" s="1"/>
  <c r="AE114" i="4"/>
  <c r="AG114" i="4" s="1"/>
  <c r="O114" i="4" s="1"/>
  <c r="AD114" i="4"/>
  <c r="AF114" i="4" s="1"/>
  <c r="P114" i="4" s="1"/>
  <c r="AE206" i="4"/>
  <c r="AG206" i="4" s="1"/>
  <c r="O206" i="4" s="1"/>
  <c r="AD206" i="4"/>
  <c r="AF206" i="4" s="1"/>
  <c r="P206" i="4" s="1"/>
  <c r="AE220" i="4"/>
  <c r="AG220" i="4" s="1"/>
  <c r="O220" i="4" s="1"/>
  <c r="AD220" i="4"/>
  <c r="AF220" i="4" s="1"/>
  <c r="P220" i="4" s="1"/>
  <c r="AD163" i="4"/>
  <c r="AF163" i="4" s="1"/>
  <c r="P163" i="4" s="1"/>
  <c r="AE163" i="4"/>
  <c r="AG163" i="4" s="1"/>
  <c r="O163" i="4" s="1"/>
  <c r="AE400" i="4"/>
  <c r="AG400" i="4" s="1"/>
  <c r="O400" i="4" s="1"/>
  <c r="AD400" i="4"/>
  <c r="AF400" i="4" s="1"/>
  <c r="P400" i="4" s="1"/>
  <c r="AD257" i="4"/>
  <c r="AF257" i="4" s="1"/>
  <c r="P257" i="4" s="1"/>
  <c r="AE257" i="4"/>
  <c r="AG257" i="4" s="1"/>
  <c r="O257" i="4" s="1"/>
  <c r="AE191" i="4"/>
  <c r="AG191" i="4" s="1"/>
  <c r="O191" i="4" s="1"/>
  <c r="AD191" i="4"/>
  <c r="AF191" i="4" s="1"/>
  <c r="P191" i="4" s="1"/>
  <c r="AD9" i="4"/>
  <c r="AF9" i="4" s="1"/>
  <c r="P9" i="4" s="1"/>
  <c r="AE9" i="4"/>
  <c r="AG9" i="4" s="1"/>
  <c r="O9" i="4" s="1"/>
  <c r="AE476" i="4"/>
  <c r="AG476" i="4" s="1"/>
  <c r="O476" i="4" s="1"/>
  <c r="AD476" i="4"/>
  <c r="AF476" i="4" s="1"/>
  <c r="P476" i="4" s="1"/>
  <c r="AD287" i="4"/>
  <c r="AF287" i="4" s="1"/>
  <c r="P287" i="4" s="1"/>
  <c r="AE287" i="4"/>
  <c r="AG287" i="4" s="1"/>
  <c r="O287" i="4" s="1"/>
  <c r="AE97" i="4"/>
  <c r="AG97" i="4" s="1"/>
  <c r="O97" i="4" s="1"/>
  <c r="AD97" i="4"/>
  <c r="AF97" i="4" s="1"/>
  <c r="P97" i="4" s="1"/>
  <c r="AE79" i="4"/>
  <c r="AG79" i="4" s="1"/>
  <c r="O79" i="4" s="1"/>
  <c r="AD79" i="4"/>
  <c r="AF79" i="4" s="1"/>
  <c r="P79" i="4" s="1"/>
  <c r="AD271" i="4"/>
  <c r="AF271" i="4" s="1"/>
  <c r="P271" i="4" s="1"/>
  <c r="AE271" i="4"/>
  <c r="AG271" i="4" s="1"/>
  <c r="O271" i="4" s="1"/>
  <c r="AE258" i="4"/>
  <c r="AG258" i="4" s="1"/>
  <c r="O258" i="4" s="1"/>
  <c r="AD258" i="4"/>
  <c r="AF258" i="4" s="1"/>
  <c r="P258" i="4" s="1"/>
  <c r="AE398" i="4"/>
  <c r="AG398" i="4" s="1"/>
  <c r="O398" i="4" s="1"/>
  <c r="AD398" i="4"/>
  <c r="AF398" i="4" s="1"/>
  <c r="P398" i="4" s="1"/>
  <c r="AE118" i="4"/>
  <c r="AG118" i="4" s="1"/>
  <c r="O118" i="4" s="1"/>
  <c r="AD118" i="4"/>
  <c r="AF118" i="4" s="1"/>
  <c r="P118" i="4" s="1"/>
  <c r="AD486" i="4"/>
  <c r="AF486" i="4" s="1"/>
  <c r="P486" i="4" s="1"/>
  <c r="AE486" i="4"/>
  <c r="AG486" i="4" s="1"/>
  <c r="O486" i="4" s="1"/>
  <c r="AD356" i="4"/>
  <c r="AF356" i="4" s="1"/>
  <c r="P356" i="4" s="1"/>
  <c r="AE356" i="4"/>
  <c r="AG356" i="4" s="1"/>
  <c r="O356" i="4" s="1"/>
  <c r="AD404" i="4"/>
  <c r="AF404" i="4" s="1"/>
  <c r="P404" i="4" s="1"/>
  <c r="AE404" i="4"/>
  <c r="AG404" i="4" s="1"/>
  <c r="O404" i="4" s="1"/>
  <c r="AE353" i="4"/>
  <c r="AG353" i="4" s="1"/>
  <c r="O353" i="4" s="1"/>
  <c r="AD353" i="4"/>
  <c r="AF353" i="4" s="1"/>
  <c r="P353" i="4" s="1"/>
  <c r="AE347" i="4"/>
  <c r="AG347" i="4" s="1"/>
  <c r="O347" i="4" s="1"/>
  <c r="AD347" i="4"/>
  <c r="AF347" i="4" s="1"/>
  <c r="P347" i="4" s="1"/>
  <c r="AD468" i="4"/>
  <c r="AF468" i="4" s="1"/>
  <c r="P468" i="4" s="1"/>
  <c r="AE468" i="4"/>
  <c r="AG468" i="4" s="1"/>
  <c r="O468" i="4" s="1"/>
  <c r="AE57" i="4"/>
  <c r="AG57" i="4" s="1"/>
  <c r="O57" i="4" s="1"/>
  <c r="AD57" i="4"/>
  <c r="AF57" i="4" s="1"/>
  <c r="P57" i="4" s="1"/>
  <c r="AD212" i="4"/>
  <c r="AF212" i="4" s="1"/>
  <c r="P212" i="4" s="1"/>
  <c r="AE212" i="4"/>
  <c r="AG212" i="4" s="1"/>
  <c r="O212" i="4" s="1"/>
  <c r="AE38" i="4"/>
  <c r="AG38" i="4" s="1"/>
  <c r="O38" i="4" s="1"/>
  <c r="AD38" i="4"/>
  <c r="AF38" i="4" s="1"/>
  <c r="P38" i="4" s="1"/>
  <c r="AE252" i="4"/>
  <c r="AG252" i="4" s="1"/>
  <c r="O252" i="4" s="1"/>
  <c r="AD252" i="4"/>
  <c r="AF252" i="4" s="1"/>
  <c r="P252" i="4" s="1"/>
  <c r="AD265" i="4"/>
  <c r="AF265" i="4" s="1"/>
  <c r="P265" i="4" s="1"/>
  <c r="AE265" i="4"/>
  <c r="AG265" i="4" s="1"/>
  <c r="O265" i="4" s="1"/>
  <c r="AD22" i="4"/>
  <c r="AF22" i="4" s="1"/>
  <c r="P22" i="4" s="1"/>
  <c r="AE22" i="4"/>
  <c r="AG22" i="4" s="1"/>
  <c r="O22" i="4" s="1"/>
  <c r="AE66" i="4"/>
  <c r="AG66" i="4" s="1"/>
  <c r="O66" i="4" s="1"/>
  <c r="AD66" i="4"/>
  <c r="AF66" i="4" s="1"/>
  <c r="P66" i="4" s="1"/>
  <c r="AE497" i="4"/>
  <c r="AG497" i="4" s="1"/>
  <c r="O497" i="4" s="1"/>
  <c r="AD497" i="4"/>
  <c r="AF497" i="4" s="1"/>
  <c r="P497" i="4" s="1"/>
  <c r="AE286" i="4"/>
  <c r="AG286" i="4" s="1"/>
  <c r="O286" i="4" s="1"/>
  <c r="AD286" i="4"/>
  <c r="AF286" i="4" s="1"/>
  <c r="P286" i="4" s="1"/>
  <c r="AD417" i="4"/>
  <c r="AF417" i="4" s="1"/>
  <c r="P417" i="4" s="1"/>
  <c r="AE417" i="4"/>
  <c r="AG417" i="4" s="1"/>
  <c r="O417" i="4" s="1"/>
  <c r="AD463" i="4"/>
  <c r="AF463" i="4" s="1"/>
  <c r="P463" i="4" s="1"/>
  <c r="AE463" i="4"/>
  <c r="AG463" i="4" s="1"/>
  <c r="O463" i="4" s="1"/>
  <c r="AE329" i="4"/>
  <c r="AG329" i="4" s="1"/>
  <c r="O329" i="4" s="1"/>
  <c r="AD329" i="4"/>
  <c r="AF329" i="4" s="1"/>
  <c r="P329" i="4" s="1"/>
  <c r="AD74" i="4"/>
  <c r="AF74" i="4" s="1"/>
  <c r="P74" i="4" s="1"/>
  <c r="AE74" i="4"/>
  <c r="AG74" i="4" s="1"/>
  <c r="O74" i="4" s="1"/>
  <c r="AD28" i="4"/>
  <c r="AF28" i="4" s="1"/>
  <c r="P28" i="4" s="1"/>
  <c r="AE28" i="4"/>
  <c r="AG28" i="4" s="1"/>
  <c r="O28" i="4" s="1"/>
  <c r="AD280" i="4"/>
  <c r="AF280" i="4" s="1"/>
  <c r="P280" i="4" s="1"/>
  <c r="AE280" i="4"/>
  <c r="AG280" i="4" s="1"/>
  <c r="O280" i="4" s="1"/>
  <c r="AD156" i="4"/>
  <c r="AF156" i="4" s="1"/>
  <c r="P156" i="4" s="1"/>
  <c r="AE156" i="4"/>
  <c r="AG156" i="4" s="1"/>
  <c r="O156" i="4" s="1"/>
  <c r="AE410" i="4"/>
  <c r="AG410" i="4" s="1"/>
  <c r="O410" i="4" s="1"/>
  <c r="AD410" i="4"/>
  <c r="AF410" i="4" s="1"/>
  <c r="P410" i="4" s="1"/>
  <c r="AE479" i="4"/>
  <c r="AG479" i="4" s="1"/>
  <c r="O479" i="4" s="1"/>
  <c r="AD479" i="4"/>
  <c r="AF479" i="4" s="1"/>
  <c r="P479" i="4" s="1"/>
  <c r="AD42" i="4"/>
  <c r="AF42" i="4" s="1"/>
  <c r="P42" i="4" s="1"/>
  <c r="AE42" i="4"/>
  <c r="AG42" i="4" s="1"/>
  <c r="O42" i="4" s="1"/>
  <c r="AD181" i="4"/>
  <c r="AF181" i="4" s="1"/>
  <c r="P181" i="4" s="1"/>
  <c r="AE181" i="4"/>
  <c r="AG181" i="4" s="1"/>
  <c r="O181" i="4" s="1"/>
  <c r="AE119" i="4"/>
  <c r="AG119" i="4" s="1"/>
  <c r="O119" i="4" s="1"/>
  <c r="AD119" i="4"/>
  <c r="AF119" i="4" s="1"/>
  <c r="P119" i="4" s="1"/>
  <c r="AD153" i="4"/>
  <c r="AF153" i="4" s="1"/>
  <c r="P153" i="4" s="1"/>
  <c r="AE153" i="4"/>
  <c r="AG153" i="4" s="1"/>
  <c r="O153" i="4" s="1"/>
  <c r="AE159" i="4"/>
  <c r="AG159" i="4" s="1"/>
  <c r="O159" i="4" s="1"/>
  <c r="AD159" i="4"/>
  <c r="AF159" i="4" s="1"/>
  <c r="P159" i="4" s="1"/>
  <c r="AD448" i="4"/>
  <c r="AF448" i="4" s="1"/>
  <c r="P448" i="4" s="1"/>
  <c r="AE448" i="4"/>
  <c r="AG448" i="4" s="1"/>
  <c r="O448" i="4" s="1"/>
  <c r="AE120" i="4"/>
  <c r="AG120" i="4" s="1"/>
  <c r="O120" i="4" s="1"/>
  <c r="AD120" i="4"/>
  <c r="AF120" i="4" s="1"/>
  <c r="P120" i="4" s="1"/>
  <c r="AD136" i="4"/>
  <c r="AF136" i="4" s="1"/>
  <c r="P136" i="4" s="1"/>
  <c r="AE136" i="4"/>
  <c r="AG136" i="4" s="1"/>
  <c r="O136" i="4" s="1"/>
  <c r="AE325" i="4"/>
  <c r="AG325" i="4" s="1"/>
  <c r="O325" i="4" s="1"/>
  <c r="AD325" i="4"/>
  <c r="AF325" i="4" s="1"/>
  <c r="P325" i="4" s="1"/>
  <c r="AD77" i="4"/>
  <c r="AF77" i="4" s="1"/>
  <c r="P77" i="4" s="1"/>
  <c r="AE77" i="4"/>
  <c r="AG77" i="4" s="1"/>
  <c r="O77" i="4" s="1"/>
  <c r="AD89" i="4"/>
  <c r="AF89" i="4" s="1"/>
  <c r="P89" i="4" s="1"/>
  <c r="AE89" i="4"/>
  <c r="AG89" i="4" s="1"/>
  <c r="O89" i="4" s="1"/>
  <c r="AD188" i="4"/>
  <c r="AF188" i="4" s="1"/>
  <c r="P188" i="4" s="1"/>
  <c r="AE188" i="4"/>
  <c r="AG188" i="4" s="1"/>
  <c r="O188" i="4" s="1"/>
  <c r="AD242" i="4"/>
  <c r="AF242" i="4" s="1"/>
  <c r="P242" i="4" s="1"/>
  <c r="AE242" i="4"/>
  <c r="AG242" i="4" s="1"/>
  <c r="O242" i="4" s="1"/>
  <c r="AE117" i="4"/>
  <c r="AG117" i="4" s="1"/>
  <c r="O117" i="4" s="1"/>
  <c r="AD117" i="4"/>
  <c r="AF117" i="4" s="1"/>
  <c r="P117" i="4" s="1"/>
  <c r="AE6" i="4"/>
  <c r="AG6" i="4" s="1"/>
  <c r="O6" i="4" s="1"/>
  <c r="AD6" i="4"/>
  <c r="AF6" i="4" s="1"/>
  <c r="P6" i="4" s="1"/>
  <c r="AD331" i="4"/>
  <c r="AF331" i="4" s="1"/>
  <c r="P331" i="4" s="1"/>
  <c r="AE331" i="4"/>
  <c r="AG331" i="4" s="1"/>
  <c r="O331" i="4" s="1"/>
  <c r="AD469" i="4"/>
  <c r="AF469" i="4" s="1"/>
  <c r="P469" i="4" s="1"/>
  <c r="AE469" i="4"/>
  <c r="AG469" i="4" s="1"/>
  <c r="O469" i="4" s="1"/>
  <c r="AD458" i="4"/>
  <c r="AF458" i="4" s="1"/>
  <c r="P458" i="4" s="1"/>
  <c r="AE458" i="4"/>
  <c r="AG458" i="4" s="1"/>
  <c r="O458" i="4" s="1"/>
  <c r="AE370" i="4"/>
  <c r="AG370" i="4" s="1"/>
  <c r="O370" i="4" s="1"/>
  <c r="AD370" i="4"/>
  <c r="AF370" i="4" s="1"/>
  <c r="P370" i="4" s="1"/>
  <c r="AD157" i="4"/>
  <c r="AF157" i="4" s="1"/>
  <c r="P157" i="4" s="1"/>
  <c r="AE157" i="4"/>
  <c r="AG157" i="4" s="1"/>
  <c r="O157" i="4" s="1"/>
  <c r="AD395" i="4"/>
  <c r="AF395" i="4" s="1"/>
  <c r="P395" i="4" s="1"/>
  <c r="AE395" i="4"/>
  <c r="AG395" i="4" s="1"/>
  <c r="O395" i="4" s="1"/>
  <c r="AE17" i="4"/>
  <c r="AG17" i="4" s="1"/>
  <c r="O17" i="4" s="1"/>
  <c r="AD17" i="4"/>
  <c r="AF17" i="4" s="1"/>
  <c r="P17" i="4" s="1"/>
  <c r="AE91" i="4"/>
  <c r="AG91" i="4" s="1"/>
  <c r="O91" i="4" s="1"/>
  <c r="AD91" i="4"/>
  <c r="AF91" i="4" s="1"/>
  <c r="P91" i="4" s="1"/>
  <c r="AE369" i="4"/>
  <c r="AG369" i="4" s="1"/>
  <c r="O369" i="4" s="1"/>
  <c r="AD369" i="4"/>
  <c r="AF369" i="4" s="1"/>
  <c r="P369" i="4" s="1"/>
  <c r="AD27" i="4"/>
  <c r="AF27" i="4" s="1"/>
  <c r="P27" i="4" s="1"/>
  <c r="AE27" i="4"/>
  <c r="AG27" i="4" s="1"/>
  <c r="O27" i="4" s="1"/>
  <c r="AE312" i="4"/>
  <c r="AG312" i="4" s="1"/>
  <c r="O312" i="4" s="1"/>
  <c r="AD312" i="4"/>
  <c r="AF312" i="4" s="1"/>
  <c r="P312" i="4" s="1"/>
  <c r="AE47" i="4"/>
  <c r="AG47" i="4" s="1"/>
  <c r="O47" i="4" s="1"/>
  <c r="AD47" i="4"/>
  <c r="AF47" i="4" s="1"/>
  <c r="P47" i="4" s="1"/>
  <c r="AD504" i="4"/>
  <c r="AF504" i="4" s="1"/>
  <c r="P504" i="4" s="1"/>
  <c r="AE504" i="4"/>
  <c r="AG504" i="4" s="1"/>
  <c r="O504" i="4" s="1"/>
  <c r="AD73" i="4"/>
  <c r="AF73" i="4" s="1"/>
  <c r="P73" i="4" s="1"/>
  <c r="AE73" i="4"/>
  <c r="AG73" i="4" s="1"/>
  <c r="O73" i="4" s="1"/>
  <c r="AD7" i="4"/>
  <c r="AF7" i="4" s="1"/>
  <c r="P7" i="4" s="1"/>
  <c r="AE7" i="4"/>
  <c r="AG7" i="4" s="1"/>
  <c r="O7" i="4" s="1"/>
  <c r="AE214" i="4"/>
  <c r="AG214" i="4" s="1"/>
  <c r="O214" i="4" s="1"/>
  <c r="AD214" i="4"/>
  <c r="AF214" i="4" s="1"/>
  <c r="P214" i="4" s="1"/>
  <c r="AD346" i="4"/>
  <c r="AF346" i="4" s="1"/>
  <c r="P346" i="4" s="1"/>
  <c r="AE346" i="4"/>
  <c r="AG346" i="4" s="1"/>
  <c r="O346" i="4" s="1"/>
  <c r="AD196" i="4"/>
  <c r="AF196" i="4" s="1"/>
  <c r="P196" i="4" s="1"/>
  <c r="AE196" i="4"/>
  <c r="AG196" i="4" s="1"/>
  <c r="O196" i="4" s="1"/>
  <c r="AE48" i="4"/>
  <c r="AG48" i="4" s="1"/>
  <c r="O48" i="4" s="1"/>
  <c r="AD48" i="4"/>
  <c r="AF48" i="4" s="1"/>
  <c r="P48" i="4" s="1"/>
  <c r="AD415" i="4"/>
  <c r="AF415" i="4" s="1"/>
  <c r="P415" i="4" s="1"/>
  <c r="AE415" i="4"/>
  <c r="AG415" i="4" s="1"/>
  <c r="O415" i="4" s="1"/>
  <c r="AE374" i="4"/>
  <c r="AG374" i="4" s="1"/>
  <c r="O374" i="4" s="1"/>
  <c r="AD374" i="4"/>
  <c r="AF374" i="4" s="1"/>
  <c r="P374" i="4" s="1"/>
  <c r="AE21" i="4"/>
  <c r="AG21" i="4" s="1"/>
  <c r="O21" i="4" s="1"/>
  <c r="AD21" i="4"/>
  <c r="AF21" i="4" s="1"/>
  <c r="P21" i="4" s="1"/>
  <c r="AE438" i="4"/>
  <c r="AG438" i="4" s="1"/>
  <c r="O438" i="4" s="1"/>
  <c r="AD438" i="4"/>
  <c r="AF438" i="4" s="1"/>
  <c r="P438" i="4" s="1"/>
  <c r="AD459" i="4"/>
  <c r="AF459" i="4" s="1"/>
  <c r="P459" i="4" s="1"/>
  <c r="AE459" i="4"/>
  <c r="AG459" i="4" s="1"/>
  <c r="O459" i="4" s="1"/>
  <c r="AD149" i="4"/>
  <c r="AF149" i="4" s="1"/>
  <c r="P149" i="4" s="1"/>
  <c r="AE149" i="4"/>
  <c r="AG149" i="4" s="1"/>
  <c r="O149" i="4" s="1"/>
  <c r="AD292" i="4"/>
  <c r="AF292" i="4" s="1"/>
  <c r="P292" i="4" s="1"/>
  <c r="AE292" i="4"/>
  <c r="AG292" i="4" s="1"/>
  <c r="O292" i="4" s="1"/>
  <c r="AD397" i="4"/>
  <c r="AF397" i="4" s="1"/>
  <c r="P397" i="4" s="1"/>
  <c r="AE397" i="4"/>
  <c r="AG397" i="4" s="1"/>
  <c r="O397" i="4" s="1"/>
  <c r="AE293" i="4"/>
  <c r="AG293" i="4" s="1"/>
  <c r="O293" i="4" s="1"/>
  <c r="AD293" i="4"/>
  <c r="AF293" i="4" s="1"/>
  <c r="P293" i="4" s="1"/>
  <c r="AE364" i="4"/>
  <c r="AG364" i="4" s="1"/>
  <c r="O364" i="4" s="1"/>
  <c r="AD364" i="4"/>
  <c r="AF364" i="4" s="1"/>
  <c r="P364" i="4" s="1"/>
  <c r="AE454" i="4"/>
  <c r="AG454" i="4" s="1"/>
  <c r="O454" i="4" s="1"/>
  <c r="AD454" i="4"/>
  <c r="AF454" i="4" s="1"/>
  <c r="P454" i="4" s="1"/>
  <c r="AD351" i="4"/>
  <c r="AF351" i="4" s="1"/>
  <c r="P351" i="4" s="1"/>
  <c r="AE351" i="4"/>
  <c r="AG351" i="4" s="1"/>
  <c r="O351" i="4" s="1"/>
  <c r="AD393" i="4"/>
  <c r="AF393" i="4" s="1"/>
  <c r="P393" i="4" s="1"/>
  <c r="AE393" i="4"/>
  <c r="AG393" i="4" s="1"/>
  <c r="O393" i="4" s="1"/>
  <c r="AD274" i="4"/>
  <c r="AF274" i="4" s="1"/>
  <c r="P274" i="4" s="1"/>
  <c r="AE274" i="4"/>
  <c r="AG274" i="4" s="1"/>
  <c r="O274" i="4" s="1"/>
  <c r="AD381" i="4"/>
  <c r="AF381" i="4" s="1"/>
  <c r="P381" i="4" s="1"/>
  <c r="AE381" i="4"/>
  <c r="AG381" i="4" s="1"/>
  <c r="O381" i="4" s="1"/>
  <c r="AE218" i="4"/>
  <c r="AG218" i="4" s="1"/>
  <c r="O218" i="4" s="1"/>
  <c r="AD218" i="4"/>
  <c r="AF218" i="4" s="1"/>
  <c r="P218" i="4" s="1"/>
  <c r="AD267" i="4"/>
  <c r="AF267" i="4" s="1"/>
  <c r="P267" i="4" s="1"/>
  <c r="AE267" i="4"/>
  <c r="AG267" i="4" s="1"/>
  <c r="O267" i="4" s="1"/>
  <c r="AE129" i="4"/>
  <c r="AG129" i="4" s="1"/>
  <c r="O129" i="4" s="1"/>
  <c r="AD129" i="4"/>
  <c r="AF129" i="4" s="1"/>
  <c r="P129" i="4" s="1"/>
  <c r="AE263" i="4"/>
  <c r="AG263" i="4" s="1"/>
  <c r="O263" i="4" s="1"/>
  <c r="AD263" i="4"/>
  <c r="AF263" i="4" s="1"/>
  <c r="P263" i="4" s="1"/>
  <c r="AD93" i="4"/>
  <c r="AF93" i="4" s="1"/>
  <c r="P93" i="4" s="1"/>
  <c r="AE93" i="4"/>
  <c r="AG93" i="4" s="1"/>
  <c r="O93" i="4" s="1"/>
  <c r="AD142" i="4"/>
  <c r="AF142" i="4" s="1"/>
  <c r="P142" i="4" s="1"/>
  <c r="AE142" i="4"/>
  <c r="AG142" i="4" s="1"/>
  <c r="O142" i="4" s="1"/>
  <c r="AD488" i="4"/>
  <c r="AF488" i="4" s="1"/>
  <c r="P488" i="4" s="1"/>
  <c r="AE488" i="4"/>
  <c r="AG488" i="4" s="1"/>
  <c r="O488" i="4" s="1"/>
  <c r="AE472" i="4"/>
  <c r="AG472" i="4" s="1"/>
  <c r="O472" i="4" s="1"/>
  <c r="AD472" i="4"/>
  <c r="AF472" i="4" s="1"/>
  <c r="P472" i="4" s="1"/>
  <c r="AE361" i="4"/>
  <c r="AG361" i="4" s="1"/>
  <c r="O361" i="4" s="1"/>
  <c r="AD361" i="4"/>
  <c r="AF361" i="4" s="1"/>
  <c r="P361" i="4" s="1"/>
  <c r="AE99" i="4"/>
  <c r="AG99" i="4" s="1"/>
  <c r="O99" i="4" s="1"/>
  <c r="AD99" i="4"/>
  <c r="AF99" i="4" s="1"/>
  <c r="P99" i="4" s="1"/>
  <c r="AD217" i="4"/>
  <c r="AF217" i="4" s="1"/>
  <c r="P217" i="4" s="1"/>
  <c r="AE217" i="4"/>
  <c r="AG217" i="4" s="1"/>
  <c r="O217" i="4" s="1"/>
  <c r="AD126" i="4"/>
  <c r="AF126" i="4" s="1"/>
  <c r="P126" i="4" s="1"/>
  <c r="AE126" i="4"/>
  <c r="AG126" i="4" s="1"/>
  <c r="O126" i="4" s="1"/>
  <c r="F22" i="4" l="1"/>
  <c r="F23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Fagnani</author>
  </authors>
  <commentList>
    <comment ref="C20" authorId="0" shapeId="0" xr:uid="{FD6FF304-82E1-456B-96DC-586C962400C6}">
      <text>
        <r>
          <rPr>
            <sz val="9"/>
            <color indexed="81"/>
            <rFont val="Tahoma"/>
            <family val="2"/>
          </rPr>
          <t xml:space="preserve">Reference designators taken from TPS43061EVM-198. Reference designator in parenthesis signifies a difference on TPS43060EVM-199.
</t>
        </r>
      </text>
    </comment>
  </commentList>
</comments>
</file>

<file path=xl/sharedStrings.xml><?xml version="1.0" encoding="utf-8"?>
<sst xmlns="http://schemas.openxmlformats.org/spreadsheetml/2006/main" count="688" uniqueCount="464">
  <si>
    <t>Output Voltage</t>
  </si>
  <si>
    <t>A/V</t>
  </si>
  <si>
    <t>A</t>
  </si>
  <si>
    <t>V</t>
  </si>
  <si>
    <t>Kind</t>
  </si>
  <si>
    <t>Hz</t>
  </si>
  <si>
    <t>H</t>
  </si>
  <si>
    <t>F</t>
  </si>
  <si>
    <t>Units</t>
  </si>
  <si>
    <t>Value</t>
  </si>
  <si>
    <t>Ro</t>
  </si>
  <si>
    <t>dB</t>
  </si>
  <si>
    <t>W</t>
  </si>
  <si>
    <t>Sn</t>
  </si>
  <si>
    <t>Se</t>
  </si>
  <si>
    <t>Frequency</t>
  </si>
  <si>
    <t>Transconductance of error amplifier</t>
  </si>
  <si>
    <t>Output resistance of error amplifier</t>
  </si>
  <si>
    <t>Reference voltage</t>
  </si>
  <si>
    <t>Fco_target</t>
  </si>
  <si>
    <t>frhpz_mod</t>
  </si>
  <si>
    <t>fp_mod</t>
  </si>
  <si>
    <t>PM</t>
  </si>
  <si>
    <t>Vout</t>
  </si>
  <si>
    <t>Power Stage Design</t>
  </si>
  <si>
    <t>ABS(Total Gain)</t>
  </si>
  <si>
    <t>GM</t>
  </si>
  <si>
    <t>DCR</t>
  </si>
  <si>
    <t>Fco</t>
  </si>
  <si>
    <t>Ω</t>
  </si>
  <si>
    <t>Icrit</t>
  </si>
  <si>
    <t>Compensation Design</t>
  </si>
  <si>
    <t>Minimum on time</t>
  </si>
  <si>
    <t>Fm</t>
  </si>
  <si>
    <t>Iout</t>
  </si>
  <si>
    <t>fsw</t>
  </si>
  <si>
    <t>Duty Cycle</t>
  </si>
  <si>
    <t>Power Stage</t>
  </si>
  <si>
    <t>FP</t>
  </si>
  <si>
    <t>FZ</t>
  </si>
  <si>
    <t>FP2</t>
  </si>
  <si>
    <t>Output voltage</t>
  </si>
  <si>
    <t>sec</t>
  </si>
  <si>
    <t>MIN</t>
  </si>
  <si>
    <t>TYP</t>
  </si>
  <si>
    <t>MAX</t>
  </si>
  <si>
    <t>Input voltage</t>
  </si>
  <si>
    <t>Switching frequency</t>
  </si>
  <si>
    <t>Device Constants</t>
  </si>
  <si>
    <t>Cell Color Key</t>
  </si>
  <si>
    <t>Calculated</t>
  </si>
  <si>
    <t>User Input</t>
  </si>
  <si>
    <t>Design Specifications</t>
  </si>
  <si>
    <t>Vin</t>
  </si>
  <si>
    <t>Rea</t>
  </si>
  <si>
    <t>Vref</t>
  </si>
  <si>
    <t>Rdson</t>
  </si>
  <si>
    <t>Feature Components</t>
  </si>
  <si>
    <t>KPS_fco</t>
  </si>
  <si>
    <t>L</t>
  </si>
  <si>
    <t>Vripple</t>
  </si>
  <si>
    <t>dItran</t>
  </si>
  <si>
    <t>dVtran</t>
  </si>
  <si>
    <t>Inductor RMS current (Vin_min)</t>
  </si>
  <si>
    <t>Equivalent output resistance</t>
  </si>
  <si>
    <t>Pole of power stage</t>
  </si>
  <si>
    <t>Right half plane zero (RHPZ) of power stage</t>
  </si>
  <si>
    <t>Irms_cin</t>
  </si>
  <si>
    <t>Irms_cout</t>
  </si>
  <si>
    <t>Target crossover frequency</t>
  </si>
  <si>
    <t>Std. Resistors</t>
  </si>
  <si>
    <t>Capacitors</t>
  </si>
  <si>
    <t>Enter resistor value</t>
  </si>
  <si>
    <t>E6</t>
  </si>
  <si>
    <t>E96</t>
  </si>
  <si>
    <t>Cap value</t>
  </si>
  <si>
    <t>Closest E6 Value</t>
  </si>
  <si>
    <t>Closest E12 Value</t>
  </si>
  <si>
    <t>C values up to 10nF</t>
  </si>
  <si>
    <t>Closest E24 Value</t>
  </si>
  <si>
    <t>Closest E48 Value</t>
  </si>
  <si>
    <t>Closest E96 Value</t>
  </si>
  <si>
    <t>E12</t>
  </si>
  <si>
    <t>C values greater than 10nF</t>
  </si>
  <si>
    <t>E24</t>
  </si>
  <si>
    <t>E48</t>
  </si>
  <si>
    <t>Chosen compensation resistor</t>
  </si>
  <si>
    <t>Calculated and nearest STD value compensation capacitor</t>
  </si>
  <si>
    <t>Chosen compensation capacitor</t>
  </si>
  <si>
    <t>Calculated and nearest STD value high frequency roll off cap based on fco_target</t>
  </si>
  <si>
    <t>Calculated and nearest STD value high frequency roll off cap based on ESR zero of output capacitor</t>
  </si>
  <si>
    <t>Input capacitors must be rated to handle RMS current</t>
  </si>
  <si>
    <t>fzesr_mod</t>
  </si>
  <si>
    <t>This worksheet is designed for use with Microsoft Excel 2002 or later.  It is intended to assist circuit designers in their</t>
  </si>
  <si>
    <t>routine, day-to-day calculations.  Additional worksheets may be added as they are completed.</t>
  </si>
  <si>
    <t>Important:  Analysis Toolpak is needed to run small signal worksheet.   Go to Tools&gt;Add-Ins&gt; select Analysis Toolpak</t>
  </si>
  <si>
    <t>Disclaimer:</t>
  </si>
  <si>
    <t>This product is designed as an aid for customers of Texas Instruments.  No warranties, either express</t>
  </si>
  <si>
    <t>or implied, with respect to this software or its fitness for any particular purpose is made by Texas</t>
  </si>
  <si>
    <t>Instruments or the author.  The software is licensed solely on an "as is" basis.  The entire risk as to its</t>
  </si>
  <si>
    <t>quality and performance is with the user.</t>
  </si>
  <si>
    <t>All worksheets contain yellow user-input cells, blue calculated cells, and grey constants cells.</t>
  </si>
  <si>
    <t>Hide Sheet</t>
  </si>
  <si>
    <t>© 2012</t>
  </si>
  <si>
    <t>Schematic and Final Component List</t>
  </si>
  <si>
    <t>Ref. Des.</t>
  </si>
  <si>
    <t>Chosen top resistor in feedback voltage divider</t>
  </si>
  <si>
    <t>Chosen fsw set resistor</t>
  </si>
  <si>
    <t>Load transient output current change (50% Iout default)</t>
  </si>
  <si>
    <t>Load transient output voltage change (4% Vout default)</t>
  </si>
  <si>
    <t>Inductor current ripple fraction (typical values 0.2 to 0.4)</t>
  </si>
  <si>
    <t>Inductor Selection (L)</t>
  </si>
  <si>
    <t>Input Capacitor (CI)</t>
  </si>
  <si>
    <t>Output Capacitor (CO)</t>
  </si>
  <si>
    <t>RCOMP calc</t>
  </si>
  <si>
    <t>CCOMP calc</t>
  </si>
  <si>
    <t>CHF calc</t>
  </si>
  <si>
    <t>CHF calc ESR</t>
  </si>
  <si>
    <t xml:space="preserve">Inductor ripple with selected inductance (Vin_min, Vin_nom, Vin_max) </t>
  </si>
  <si>
    <t>Peak current and +20% for recommended minimum inductor saturation current rating</t>
  </si>
  <si>
    <t>DS Equation #</t>
  </si>
  <si>
    <t>n/a</t>
  </si>
  <si>
    <t>D</t>
  </si>
  <si>
    <t>Values and Minimum Recommended Ratings</t>
  </si>
  <si>
    <t>Minimum Cout for output voltage ripple specification</t>
  </si>
  <si>
    <t>Minimum Cout for load transient output voltage change specification (uses fco_target from compensation section)</t>
  </si>
  <si>
    <t>Output capacitors must be rated to handle RMS current (Vin_min)</t>
  </si>
  <si>
    <t>Pole from Rea and CCOMP</t>
  </si>
  <si>
    <t>Zero from RCOMP and CCOMP</t>
  </si>
  <si>
    <t>Chosen CHF (1E-12 is open)</t>
  </si>
  <si>
    <t>Values from Calculations</t>
  </si>
  <si>
    <t>Calculations for Plotting</t>
  </si>
  <si>
    <r>
      <t>C</t>
    </r>
    <r>
      <rPr>
        <vertAlign val="subscript"/>
        <sz val="12"/>
        <rFont val="Arial"/>
        <family val="2"/>
      </rPr>
      <t>COMP</t>
    </r>
  </si>
  <si>
    <r>
      <t>C</t>
    </r>
    <r>
      <rPr>
        <vertAlign val="subscript"/>
        <sz val="12"/>
        <rFont val="Arial"/>
        <family val="2"/>
      </rPr>
      <t>HF</t>
    </r>
  </si>
  <si>
    <r>
      <t>R</t>
    </r>
    <r>
      <rPr>
        <vertAlign val="subscript"/>
        <sz val="12"/>
        <rFont val="Arial"/>
        <family val="2"/>
      </rPr>
      <t>SH</t>
    </r>
  </si>
  <si>
    <r>
      <t>R</t>
    </r>
    <r>
      <rPr>
        <vertAlign val="subscript"/>
        <sz val="12"/>
        <rFont val="Arial"/>
        <family val="2"/>
      </rPr>
      <t>SL</t>
    </r>
  </si>
  <si>
    <r>
      <t>R</t>
    </r>
    <r>
      <rPr>
        <vertAlign val="subscript"/>
        <sz val="12"/>
        <rFont val="Arial"/>
        <family val="2"/>
      </rPr>
      <t>COMP</t>
    </r>
  </si>
  <si>
    <t>Co</t>
  </si>
  <si>
    <t>kHz</t>
  </si>
  <si>
    <t>Values for Plotting</t>
  </si>
  <si>
    <t>Radians</t>
  </si>
  <si>
    <t>Ccer</t>
  </si>
  <si>
    <t>Rcer</t>
  </si>
  <si>
    <t>M</t>
  </si>
  <si>
    <t>Gain Gvd CCM</t>
  </si>
  <si>
    <t>Phase Gvd CCM</t>
  </si>
  <si>
    <t>Acs</t>
  </si>
  <si>
    <t>Vsl</t>
  </si>
  <si>
    <t>m</t>
  </si>
  <si>
    <t>q0</t>
  </si>
  <si>
    <t>wn</t>
  </si>
  <si>
    <t>Zon(s)</t>
  </si>
  <si>
    <t>Zc(s)</t>
  </si>
  <si>
    <t>Zoff(s)</t>
  </si>
  <si>
    <t>Gvd_CCM(s)</t>
  </si>
  <si>
    <t>He(s)</t>
  </si>
  <si>
    <t>Ti(s)</t>
  </si>
  <si>
    <t>Gid(s)</t>
  </si>
  <si>
    <t>Gvc(s)</t>
  </si>
  <si>
    <t>Gain Gvc CCM</t>
  </si>
  <si>
    <t>Phase Gvc CCM</t>
  </si>
  <si>
    <t>Gea(s)</t>
  </si>
  <si>
    <t>Gain Gea</t>
  </si>
  <si>
    <t>Phase Gea</t>
  </si>
  <si>
    <t>Total Gain</t>
  </si>
  <si>
    <t>Total Phase</t>
  </si>
  <si>
    <t>ABS(Total Phase)</t>
  </si>
  <si>
    <t>ABS(Gvc Phase)</t>
  </si>
  <si>
    <t>Target PM</t>
  </si>
  <si>
    <t>*Data gathered by the Venable 350 System</t>
  </si>
  <si>
    <t>*Frequency (Hz)</t>
  </si>
  <si>
    <t>Gain (dB)</t>
  </si>
  <si>
    <t>Phase (Deg)</t>
  </si>
  <si>
    <t>Gvc</t>
  </si>
  <si>
    <t>Gea</t>
  </si>
  <si>
    <t>Total</t>
  </si>
  <si>
    <t>Type 3</t>
  </si>
  <si>
    <t>Cff</t>
  </si>
  <si>
    <t>Rff</t>
  </si>
  <si>
    <t>Cff calc</t>
  </si>
  <si>
    <t>Rff Calc</t>
  </si>
  <si>
    <t>aol</t>
  </si>
  <si>
    <t>gbw</t>
  </si>
  <si>
    <t>Risense</t>
  </si>
  <si>
    <r>
      <t>C</t>
    </r>
    <r>
      <rPr>
        <vertAlign val="subscript"/>
        <sz val="12"/>
        <color indexed="8"/>
        <rFont val="Arial"/>
        <family val="2"/>
      </rPr>
      <t>I</t>
    </r>
  </si>
  <si>
    <r>
      <t>C</t>
    </r>
    <r>
      <rPr>
        <vertAlign val="subscript"/>
        <sz val="12"/>
        <color indexed="8"/>
        <rFont val="Arial"/>
        <family val="2"/>
      </rPr>
      <t>O</t>
    </r>
  </si>
  <si>
    <r>
      <t>C</t>
    </r>
    <r>
      <rPr>
        <vertAlign val="subscript"/>
        <sz val="12"/>
        <color indexed="8"/>
        <rFont val="Arial"/>
        <family val="2"/>
      </rPr>
      <t>SS</t>
    </r>
  </si>
  <si>
    <r>
      <t>C</t>
    </r>
    <r>
      <rPr>
        <vertAlign val="subscript"/>
        <sz val="12"/>
        <color indexed="8"/>
        <rFont val="Arial"/>
        <family val="2"/>
      </rPr>
      <t>HF</t>
    </r>
  </si>
  <si>
    <r>
      <t>R</t>
    </r>
    <r>
      <rPr>
        <vertAlign val="subscript"/>
        <sz val="12"/>
        <color indexed="8"/>
        <rFont val="Arial"/>
        <family val="2"/>
      </rPr>
      <t>SH</t>
    </r>
  </si>
  <si>
    <r>
      <t>R</t>
    </r>
    <r>
      <rPr>
        <vertAlign val="subscript"/>
        <sz val="12"/>
        <color indexed="8"/>
        <rFont val="Arial"/>
        <family val="2"/>
      </rPr>
      <t>SL</t>
    </r>
  </si>
  <si>
    <t>Vin nom</t>
  </si>
  <si>
    <t>Vin min</t>
  </si>
  <si>
    <t>Vin max</t>
  </si>
  <si>
    <t>Minimum off time</t>
  </si>
  <si>
    <t>Dnom</t>
  </si>
  <si>
    <t>Duty cycle at nominal input voltage</t>
  </si>
  <si>
    <t>Duty cycle at minimum input voltage</t>
  </si>
  <si>
    <t>Duty cycle at maximum input voltage</t>
  </si>
  <si>
    <t>Dmax off time, Dmin on time</t>
  </si>
  <si>
    <t>Vcs min</t>
  </si>
  <si>
    <t>Rsense max</t>
  </si>
  <si>
    <t>P Rsense</t>
  </si>
  <si>
    <t>Iripple</t>
  </si>
  <si>
    <t>IL rms</t>
  </si>
  <si>
    <t>IL peak, Isat</t>
  </si>
  <si>
    <t>PL cond</t>
  </si>
  <si>
    <t>Minimum power rating for current sense resistor in normal operating conditions</t>
  </si>
  <si>
    <t>Selected sense resistor</t>
  </si>
  <si>
    <t>Cout min ripple</t>
  </si>
  <si>
    <t>Cout min transient</t>
  </si>
  <si>
    <t>Cout ESR max</t>
  </si>
  <si>
    <t>Estimated maximum Cout ESR to meet ripple specification</t>
  </si>
  <si>
    <t>Viripple</t>
  </si>
  <si>
    <t>Rdson hs</t>
  </si>
  <si>
    <t>Qg ls</t>
  </si>
  <si>
    <t>Rdson ls</t>
  </si>
  <si>
    <t>Phs cond</t>
  </si>
  <si>
    <t>Pls sw</t>
  </si>
  <si>
    <t>Pls cond</t>
  </si>
  <si>
    <t>Qg hs</t>
  </si>
  <si>
    <t>C</t>
  </si>
  <si>
    <t>Rg ls</t>
  </si>
  <si>
    <t>Rgd ls</t>
  </si>
  <si>
    <t>Idrive</t>
  </si>
  <si>
    <t>Vfboot</t>
  </si>
  <si>
    <t>Rg hs</t>
  </si>
  <si>
    <t>Forward voltage of internal or external boot diode</t>
  </si>
  <si>
    <t>Minimum Cin for input voltage ripple specification</t>
  </si>
  <si>
    <t>Rgd hs</t>
  </si>
  <si>
    <t>Vcc</t>
  </si>
  <si>
    <t>Vf body</t>
  </si>
  <si>
    <t>Phs dt</t>
  </si>
  <si>
    <t>tonmin</t>
  </si>
  <si>
    <t>toffmin</t>
  </si>
  <si>
    <t>PIC Iq</t>
  </si>
  <si>
    <t>Forward voltage of body diode</t>
  </si>
  <si>
    <t>Ven on</t>
  </si>
  <si>
    <t>Ien pup</t>
  </si>
  <si>
    <t>Ien hys</t>
  </si>
  <si>
    <t>Ven dis</t>
  </si>
  <si>
    <t>Iq</t>
  </si>
  <si>
    <t>DC Gain</t>
  </si>
  <si>
    <t>PIC gate drive</t>
  </si>
  <si>
    <t>tss</t>
  </si>
  <si>
    <t>Soft-start time</t>
  </si>
  <si>
    <t>Iss</t>
  </si>
  <si>
    <t>Current sense threshold max duty cycle</t>
  </si>
  <si>
    <t>Current sense threshold 0% to 40% duty cycle</t>
  </si>
  <si>
    <t>Internal regulator voltage</t>
  </si>
  <si>
    <t>Internal boot diode forward voltage</t>
  </si>
  <si>
    <t>EN rising threshold</t>
  </si>
  <si>
    <t>EN falling threshold</t>
  </si>
  <si>
    <t>EN pull up current source</t>
  </si>
  <si>
    <t>EN hysteresis current source</t>
  </si>
  <si>
    <t>Operationg non switching quiescent current</t>
  </si>
  <si>
    <t>Soft-start current source</t>
  </si>
  <si>
    <t>fco1</t>
  </si>
  <si>
    <t>fco2</t>
  </si>
  <si>
    <t>Modelled power stage gain at targeted fco</t>
  </si>
  <si>
    <t>Input power stage gain at targeted fco to calculate compensation components</t>
  </si>
  <si>
    <t>Pole from RCOMP and CHF</t>
  </si>
  <si>
    <t>Css calc</t>
  </si>
  <si>
    <t>Calculated and nearest standard value soft-start capacitor</t>
  </si>
  <si>
    <t>Chosen soft-start capacitor</t>
  </si>
  <si>
    <t>Calculated and nearest 1% STD value fsw set resistor</t>
  </si>
  <si>
    <t>Calculated and nearest 1% STD value top resistor for feedback voltage divider</t>
  </si>
  <si>
    <t>Bottom resistor for feedback voltage divider</t>
  </si>
  <si>
    <t>Calculated and nearest 1% STD value top resistor for UVLO divider</t>
  </si>
  <si>
    <t>Chosen top UVLO resistor</t>
  </si>
  <si>
    <t>Chosen bottom UVLO resistor</t>
  </si>
  <si>
    <t>Calculated and nearest 1% STD value bottom resistor for UVLO divider</t>
  </si>
  <si>
    <t>Co ESR</t>
  </si>
  <si>
    <t>Loop Response Results</t>
  </si>
  <si>
    <t>LDRV pull-up resistance</t>
  </si>
  <si>
    <t>Rldrv pd</t>
  </si>
  <si>
    <t>Rldrv pu</t>
  </si>
  <si>
    <t>Rhdrv pu</t>
  </si>
  <si>
    <t>Rhdrv pd</t>
  </si>
  <si>
    <t>LDRV pull-down resistance</t>
  </si>
  <si>
    <t>HDRV pull-up resistance</t>
  </si>
  <si>
    <t>HDRV pull-down resistance</t>
  </si>
  <si>
    <t>Recommended maximum target crossover frequency (frhpz)</t>
  </si>
  <si>
    <t>RCOMP</t>
  </si>
  <si>
    <t>CCOMP</t>
  </si>
  <si>
    <t>CHF</t>
  </si>
  <si>
    <t>TPS4306x Boost Equation Set from Datasheet</t>
  </si>
  <si>
    <t>Gate charge of selected FET</t>
  </si>
  <si>
    <t>Rdson of selected FET</t>
  </si>
  <si>
    <t>Gate resistance of selected FET</t>
  </si>
  <si>
    <t>Nominal input voltage</t>
  </si>
  <si>
    <t>Minimum input voltage</t>
  </si>
  <si>
    <t>Maximum input voltage</t>
  </si>
  <si>
    <t>LDRV series resistance</t>
  </si>
  <si>
    <t>HDRV series resistance</t>
  </si>
  <si>
    <t>Quiescent current power loss in IC</t>
  </si>
  <si>
    <t>Calculated turn off voltage with selected resistors</t>
  </si>
  <si>
    <t>Calculated turn on voltage with selected resistors</t>
  </si>
  <si>
    <t>DC gain of power stage</t>
  </si>
  <si>
    <t>ESR zero of output capacitor</t>
  </si>
  <si>
    <t>TPS43060</t>
  </si>
  <si>
    <t>TPS43061</t>
  </si>
  <si>
    <t>Part #</t>
  </si>
  <si>
    <t>Dmax</t>
  </si>
  <si>
    <t>Dmin</t>
  </si>
  <si>
    <t>Cboot</t>
  </si>
  <si>
    <t>Minimum bootstrap capacitor</t>
  </si>
  <si>
    <t>L min1</t>
  </si>
  <si>
    <t>L min2</t>
  </si>
  <si>
    <t>L min3</t>
  </si>
  <si>
    <t>Inductor current ripple target based on Kind and average current with minimum input voltage</t>
  </si>
  <si>
    <t>Vth</t>
  </si>
  <si>
    <t>Threshold Voltage</t>
  </si>
  <si>
    <t>Iripple target</t>
  </si>
  <si>
    <t>See Small Signal sheet for gain and phase graphs</t>
  </si>
  <si>
    <t>TPS4306x Boost Design Calculator</t>
  </si>
  <si>
    <t>Estimated gate drive power loss in IC including gate drive series resistance and gate resistance of FETs</t>
  </si>
  <si>
    <t>Estimated total gate drive power loss (not including gate resistance of FETs or external series gate drive resistance)</t>
  </si>
  <si>
    <t>Iin max</t>
  </si>
  <si>
    <t>trise, tfall</t>
  </si>
  <si>
    <t>Coss</t>
  </si>
  <si>
    <t>Qgd</t>
  </si>
  <si>
    <t>Select Device</t>
  </si>
  <si>
    <t>Time delay between DRV signals</t>
  </si>
  <si>
    <t>tnonoverlap</t>
  </si>
  <si>
    <t>Ilim typ</t>
  </si>
  <si>
    <t>Typical current limit with selected sense resistor</t>
  </si>
  <si>
    <t>Iout max</t>
  </si>
  <si>
    <t>*05:53PM Monday, October 01, 2012</t>
  </si>
  <si>
    <t>Ilim min</t>
  </si>
  <si>
    <t>*Data gathered by the 3120 System</t>
  </si>
  <si>
    <t>*09:58PM Tuesday, October 02, 2012</t>
  </si>
  <si>
    <t>*10:55AM Wednesday, October 03, 2012</t>
  </si>
  <si>
    <t>Minimum current limit with selected sense resistor</t>
  </si>
  <si>
    <t>Estimated Efficiency</t>
  </si>
  <si>
    <t>fsw max</t>
  </si>
  <si>
    <t>Ptot ls</t>
  </si>
  <si>
    <t>Ptot hs</t>
  </si>
  <si>
    <t>Vcs typ</t>
  </si>
  <si>
    <t>Ipsm</t>
  </si>
  <si>
    <t>Recommended maximum target crossover frequency (fsw)</t>
  </si>
  <si>
    <t>The calculator provides the small signal gain and phase for the final design. The small signal model currently supports CCM only.</t>
  </si>
  <si>
    <t>Vcsmax (0% duty cycle)</t>
  </si>
  <si>
    <t>Vcsmax (max duty cycle)</t>
  </si>
  <si>
    <t>Maximum average input current (assumes 100% efficiency)</t>
  </si>
  <si>
    <t>12,13</t>
  </si>
  <si>
    <t>Estimated critical output current to remain in CCM (Vin_min, Vin_nom, Vin_max)</t>
  </si>
  <si>
    <t>Estimated output current when pulse skipping begins (Vin_min, Vin_nom, Vin_max)</t>
  </si>
  <si>
    <t>Full load conduction losses in inductor (Vin_min, Vin_nom, Vin_max)</t>
  </si>
  <si>
    <t>This tool supports the TPS4306x datasheet (SLVSBP4)</t>
  </si>
  <si>
    <t>Typical over-current current sense voltage based on Figure 19 in datasheet</t>
  </si>
  <si>
    <t>Minimum over-current current sense voltage (10 mV below typical)</t>
  </si>
  <si>
    <t>Maximum output current with typical over-current sense voltage</t>
  </si>
  <si>
    <t>Maximum output current using minimum over-current sense voltage</t>
  </si>
  <si>
    <t>Maximum current sense resistor using Vcs min and 20% tolerance to account for efficiency and transients</t>
  </si>
  <si>
    <t>Output Capacitance</t>
  </si>
  <si>
    <t>Gate to dran charge</t>
  </si>
  <si>
    <t>Estimated switching losses</t>
  </si>
  <si>
    <t>Selected bootstrap capacitor</t>
  </si>
  <si>
    <t>Estimated full load conduction losses in FET (Vin_min)</t>
  </si>
  <si>
    <t>Estimated losses in low-side FET (Vin_min)</t>
  </si>
  <si>
    <t>Estimated max load conduction losses in FET (Vin_min)</t>
  </si>
  <si>
    <t>Estimated max load dead time losses in FET (Vin_min)</t>
  </si>
  <si>
    <t>Estimated losses in high-side FET (Vin_min)</t>
  </si>
  <si>
    <t>PIC VCC</t>
  </si>
  <si>
    <t>Estimated power loss in internal VCC regulator</t>
  </si>
  <si>
    <t>Selected FET</t>
  </si>
  <si>
    <t>Selected Dboot</t>
  </si>
  <si>
    <t>RHS calc</t>
  </si>
  <si>
    <t>RHS chosen</t>
  </si>
  <si>
    <t>Vstart</t>
  </si>
  <si>
    <t>Vstop</t>
  </si>
  <si>
    <t>fco_target</t>
  </si>
  <si>
    <t>Calculated and nearest 1% STD value compensation resistor based on estimation in data sheet</t>
  </si>
  <si>
    <t>Calculated and nearest 1% STD value compensation resistor based on small signal model in excel</t>
  </si>
  <si>
    <r>
      <t>R</t>
    </r>
    <r>
      <rPr>
        <vertAlign val="subscript"/>
        <sz val="12"/>
        <color indexed="8"/>
        <rFont val="Arial"/>
        <family val="2"/>
      </rPr>
      <t>T</t>
    </r>
  </si>
  <si>
    <r>
      <t>R</t>
    </r>
    <r>
      <rPr>
        <vertAlign val="subscript"/>
        <sz val="12"/>
        <color indexed="8"/>
        <rFont val="Arial"/>
        <family val="2"/>
      </rPr>
      <t>SENSE</t>
    </r>
  </si>
  <si>
    <r>
      <t>C</t>
    </r>
    <r>
      <rPr>
        <vertAlign val="subscript"/>
        <sz val="12"/>
        <color indexed="8"/>
        <rFont val="Arial"/>
        <family val="2"/>
      </rPr>
      <t>C</t>
    </r>
  </si>
  <si>
    <r>
      <t>R</t>
    </r>
    <r>
      <rPr>
        <vertAlign val="subscript"/>
        <sz val="12"/>
        <color indexed="8"/>
        <rFont val="Arial"/>
        <family val="2"/>
      </rPr>
      <t>C</t>
    </r>
  </si>
  <si>
    <t>3.6V</t>
  </si>
  <si>
    <t>CVcc</t>
  </si>
  <si>
    <r>
      <t>C</t>
    </r>
    <r>
      <rPr>
        <vertAlign val="subscript"/>
        <sz val="12"/>
        <color indexed="8"/>
        <rFont val="Arial"/>
        <family val="2"/>
      </rPr>
      <t>BOOT</t>
    </r>
  </si>
  <si>
    <r>
      <t>C</t>
    </r>
    <r>
      <rPr>
        <vertAlign val="subscript"/>
        <sz val="12"/>
        <color indexed="8"/>
        <rFont val="Arial"/>
        <family val="2"/>
      </rPr>
      <t>VCC</t>
    </r>
  </si>
  <si>
    <r>
      <t>Q</t>
    </r>
    <r>
      <rPr>
        <vertAlign val="subscript"/>
        <sz val="12"/>
        <color indexed="8"/>
        <rFont val="Arial"/>
        <family val="2"/>
      </rPr>
      <t>H</t>
    </r>
  </si>
  <si>
    <r>
      <t>Q</t>
    </r>
    <r>
      <rPr>
        <vertAlign val="subscript"/>
        <sz val="12"/>
        <color indexed="8"/>
        <rFont val="Arial"/>
        <family val="2"/>
      </rPr>
      <t>L</t>
    </r>
  </si>
  <si>
    <r>
      <t>D</t>
    </r>
    <r>
      <rPr>
        <vertAlign val="subscript"/>
        <sz val="12"/>
        <color indexed="8"/>
        <rFont val="Arial"/>
        <family val="2"/>
      </rPr>
      <t>BOOT</t>
    </r>
  </si>
  <si>
    <t>Input part number for selected low-side FET</t>
  </si>
  <si>
    <t>Input part number for selected high-side FET</t>
  </si>
  <si>
    <t>Total required gate drive current (must be less than 50mA Vcc minimum current limit)</t>
  </si>
  <si>
    <t>Input part number for selected external boot diode (TPS43060 only)</t>
  </si>
  <si>
    <t>EVM Ref. Des.</t>
  </si>
  <si>
    <t>C9</t>
  </si>
  <si>
    <t>C7</t>
  </si>
  <si>
    <t>C8</t>
  </si>
  <si>
    <t>C1</t>
  </si>
  <si>
    <t>C6</t>
  </si>
  <si>
    <t>D1</t>
  </si>
  <si>
    <t>L1</t>
  </si>
  <si>
    <t>Q1</t>
  </si>
  <si>
    <t>C13-C15 (C16)</t>
  </si>
  <si>
    <t>C2-C5, C16 (C17)</t>
  </si>
  <si>
    <t>Q1 (Q2)</t>
  </si>
  <si>
    <t>R16-R17 (R18)</t>
  </si>
  <si>
    <t>R7</t>
  </si>
  <si>
    <t>R5</t>
  </si>
  <si>
    <t>R8</t>
  </si>
  <si>
    <t>R9</t>
  </si>
  <si>
    <t>Low-side Boost FET (QL)</t>
  </si>
  <si>
    <t>Sense Resistor (RSENSE)</t>
  </si>
  <si>
    <t>High-side Synchronous FET (QH, CBOOT)</t>
  </si>
  <si>
    <t>IC (CVCC, DBOOT)</t>
  </si>
  <si>
    <t>Output Voltage (RSL, RSH)</t>
  </si>
  <si>
    <t>Soft-start (CSS)</t>
  </si>
  <si>
    <t>Adjustable UVLO (RUVLO_H, RUVLO_L)</t>
  </si>
  <si>
    <t>Compensation (RC, CC, CHF)</t>
  </si>
  <si>
    <r>
      <t>R</t>
    </r>
    <r>
      <rPr>
        <vertAlign val="subscript"/>
        <sz val="12"/>
        <color indexed="8"/>
        <rFont val="Arial"/>
        <family val="2"/>
      </rPr>
      <t>UVLOH</t>
    </r>
  </si>
  <si>
    <r>
      <t>R</t>
    </r>
    <r>
      <rPr>
        <vertAlign val="subscript"/>
        <sz val="12"/>
        <color indexed="8"/>
        <rFont val="Arial"/>
        <family val="2"/>
      </rPr>
      <t>UVLOL</t>
    </r>
  </si>
  <si>
    <t>Ruvloh calc</t>
  </si>
  <si>
    <t>Ruvlol calc</t>
  </si>
  <si>
    <t xml:space="preserve">     Value</t>
  </si>
  <si>
    <t>Devices Supported</t>
  </si>
  <si>
    <t>Constants</t>
  </si>
  <si>
    <t>V p-p</t>
  </si>
  <si>
    <t xml:space="preserve">  Description/Comments</t>
  </si>
  <si>
    <t>Output voltage ripple (1% Vout)</t>
  </si>
  <si>
    <t>Effective Cin min</t>
  </si>
  <si>
    <t>Chosen Cin</t>
  </si>
  <si>
    <t>Maximum Average Output current</t>
  </si>
  <si>
    <t>Optional adjustable UVLO turn on voltage</t>
  </si>
  <si>
    <t>Optional adjustable UVLO turn off voltage</t>
  </si>
  <si>
    <t>Input voltage ripple (1% Vin nom)</t>
  </si>
  <si>
    <t>Output capacitance selected (remember to include derating for ceramics)</t>
  </si>
  <si>
    <t>Input capacitance selected (remember to include derating for ceramics)</t>
  </si>
  <si>
    <t>Estimated duty cycle limits based on minimum on time and off time (assumes 100% efficiency)</t>
  </si>
  <si>
    <t>Minimum and maximum switching frequency based on duty cycle estimations</t>
  </si>
  <si>
    <t>RT calc</t>
  </si>
  <si>
    <t>RT chosen</t>
  </si>
  <si>
    <t>L chosen</t>
  </si>
  <si>
    <t>DC resistance (DCR) of selected inductor</t>
  </si>
  <si>
    <t>Selected inductance</t>
  </si>
  <si>
    <t>Rsense chosen</t>
  </si>
  <si>
    <t>Cout chosen</t>
  </si>
  <si>
    <t>ESR chosen</t>
  </si>
  <si>
    <t>ESR selected (if mixed output capacitors are used, use equivalent ESR of the non ceramic capacitors)</t>
  </si>
  <si>
    <t>Average gate drive current required</t>
  </si>
  <si>
    <t>Input selected VCC capacitor (0.47 µF to 10 µF recommended)</t>
  </si>
  <si>
    <t>RLS chosen</t>
  </si>
  <si>
    <t>Css chosen</t>
  </si>
  <si>
    <t>Ruvloh chosen</t>
  </si>
  <si>
    <t>Ruvlol chosen</t>
  </si>
  <si>
    <t>Power Good Resistor (RPG)</t>
  </si>
  <si>
    <t>RPG chosen</t>
  </si>
  <si>
    <t>Input selected value for optional power good pull up resistor (between 10k and 100k recommended)</t>
  </si>
  <si>
    <r>
      <t>R</t>
    </r>
    <r>
      <rPr>
        <vertAlign val="subscript"/>
        <sz val="12"/>
        <color indexed="8"/>
        <rFont val="Arial"/>
        <family val="2"/>
      </rPr>
      <t>PG</t>
    </r>
  </si>
  <si>
    <t>R1</t>
  </si>
  <si>
    <t xml:space="preserve">Minimum inductance calculated based on Iripple target (Vin_max) </t>
  </si>
  <si>
    <t xml:space="preserve">Minimum inductance calculated based on Iripple target (Vin_min) </t>
  </si>
  <si>
    <t xml:space="preserve">Minimum inductance calculated based on Iripple target (50% duty cycle) </t>
  </si>
  <si>
    <t>The calculator includes boost power stage design in CCM using the TPS43061EVM-198 design requirements as the original input.</t>
  </si>
  <si>
    <t>Leave the password blank to unlock the individual sheets or workbook.</t>
  </si>
  <si>
    <t>TPS4306x Boost Design Calculator Tool - Rev. B</t>
  </si>
  <si>
    <t>Rev. B</t>
  </si>
  <si>
    <t>Revision notes</t>
  </si>
  <si>
    <t>fixed typos in equations on the Boost Calculations tab in row 68, 69 and 74</t>
  </si>
  <si>
    <t>BSC015NE2LS5I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</si>
</sst>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#0.00E+0"/>
    <numFmt numFmtId="167" formatCode="0.000000"/>
    <numFmt numFmtId="168" formatCode="##0E+0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10"/>
      <color indexed="22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vertAlign val="subscript"/>
      <sz val="12"/>
      <name val="Arial"/>
      <family val="2"/>
    </font>
    <font>
      <vertAlign val="subscript"/>
      <sz val="12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9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9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79">
    <xf numFmtId="0" fontId="0" fillId="0" borderId="0" xfId="0"/>
    <xf numFmtId="0" fontId="0" fillId="2" borderId="0" xfId="0" applyFill="1"/>
    <xf numFmtId="0" fontId="6" fillId="2" borderId="0" xfId="3" applyFont="1" applyFill="1" applyProtection="1">
      <protection hidden="1"/>
    </xf>
    <xf numFmtId="0" fontId="1" fillId="2" borderId="0" xfId="3" applyFill="1" applyProtection="1">
      <protection hidden="1"/>
    </xf>
    <xf numFmtId="0" fontId="7" fillId="2" borderId="0" xfId="3" applyFont="1" applyFill="1" applyProtection="1">
      <protection hidden="1"/>
    </xf>
    <xf numFmtId="49" fontId="1" fillId="2" borderId="0" xfId="3" applyNumberFormat="1" applyFill="1" applyProtection="1">
      <protection hidden="1"/>
    </xf>
    <xf numFmtId="0" fontId="1" fillId="2" borderId="1" xfId="3" applyFill="1" applyBorder="1" applyProtection="1">
      <protection hidden="1"/>
    </xf>
    <xf numFmtId="0" fontId="9" fillId="3" borderId="2" xfId="3" applyFont="1" applyFill="1" applyBorder="1" applyProtection="1">
      <protection hidden="1"/>
    </xf>
    <xf numFmtId="1" fontId="8" fillId="2" borderId="0" xfId="3" applyNumberFormat="1" applyFont="1" applyFill="1" applyProtection="1">
      <protection hidden="1"/>
    </xf>
    <xf numFmtId="0" fontId="11" fillId="4" borderId="3" xfId="3" applyFont="1" applyFill="1" applyBorder="1" applyProtection="1">
      <protection hidden="1"/>
    </xf>
    <xf numFmtId="0" fontId="8" fillId="2" borderId="0" xfId="3" applyFont="1" applyFill="1" applyProtection="1">
      <protection hidden="1"/>
    </xf>
    <xf numFmtId="0" fontId="10" fillId="5" borderId="4" xfId="3" applyFont="1" applyFill="1" applyBorder="1" applyAlignment="1">
      <alignment horizontal="center" wrapText="1"/>
    </xf>
    <xf numFmtId="0" fontId="10" fillId="5" borderId="5" xfId="3" applyFont="1" applyFill="1" applyBorder="1" applyAlignment="1">
      <alignment horizontal="center" wrapText="1"/>
    </xf>
    <xf numFmtId="0" fontId="10" fillId="6" borderId="4" xfId="3" applyFont="1" applyFill="1" applyBorder="1" applyAlignment="1">
      <alignment horizontal="center" wrapText="1"/>
    </xf>
    <xf numFmtId="0" fontId="10" fillId="6" borderId="6" xfId="3" applyFont="1" applyFill="1" applyBorder="1" applyAlignment="1">
      <alignment horizontal="center" wrapText="1"/>
    </xf>
    <xf numFmtId="0" fontId="9" fillId="3" borderId="7" xfId="3" applyFont="1" applyFill="1" applyBorder="1" applyProtection="1">
      <protection hidden="1"/>
    </xf>
    <xf numFmtId="0" fontId="1" fillId="2" borderId="8" xfId="3" applyFill="1" applyBorder="1" applyProtection="1">
      <protection hidden="1"/>
    </xf>
    <xf numFmtId="0" fontId="11" fillId="4" borderId="9" xfId="3" applyFont="1" applyFill="1" applyBorder="1" applyProtection="1">
      <protection hidden="1"/>
    </xf>
    <xf numFmtId="1" fontId="12" fillId="2" borderId="0" xfId="3" applyNumberFormat="1" applyFont="1" applyFill="1" applyProtection="1">
      <protection hidden="1"/>
    </xf>
    <xf numFmtId="165" fontId="13" fillId="2" borderId="0" xfId="3" applyNumberFormat="1" applyFont="1" applyFill="1" applyAlignment="1" applyProtection="1">
      <alignment horizontal="center"/>
      <protection hidden="1"/>
    </xf>
    <xf numFmtId="2" fontId="12" fillId="2" borderId="0" xfId="3" applyNumberFormat="1" applyFont="1" applyFill="1" applyAlignment="1" applyProtection="1">
      <alignment horizontal="center"/>
      <protection hidden="1"/>
    </xf>
    <xf numFmtId="0" fontId="1" fillId="2" borderId="10" xfId="3" applyFill="1" applyBorder="1" applyProtection="1">
      <protection hidden="1"/>
    </xf>
    <xf numFmtId="0" fontId="11" fillId="4" borderId="11" xfId="3" applyFont="1" applyFill="1" applyBorder="1" applyProtection="1">
      <protection hidden="1"/>
    </xf>
    <xf numFmtId="0" fontId="14" fillId="2" borderId="0" xfId="3" applyFont="1" applyFill="1" applyProtection="1">
      <protection hidden="1"/>
    </xf>
    <xf numFmtId="0" fontId="15" fillId="2" borderId="0" xfId="3" applyFont="1" applyFill="1" applyAlignment="1" applyProtection="1">
      <alignment horizontal="center" wrapText="1"/>
      <protection hidden="1"/>
    </xf>
    <xf numFmtId="2" fontId="1" fillId="2" borderId="0" xfId="3" applyNumberFormat="1" applyFill="1" applyAlignment="1" applyProtection="1">
      <alignment horizontal="center"/>
      <protection hidden="1"/>
    </xf>
    <xf numFmtId="1" fontId="1" fillId="2" borderId="0" xfId="3" applyNumberFormat="1" applyFill="1"/>
    <xf numFmtId="0" fontId="1" fillId="2" borderId="12" xfId="3" applyFill="1" applyBorder="1" applyProtection="1">
      <protection hidden="1"/>
    </xf>
    <xf numFmtId="0" fontId="11" fillId="4" borderId="13" xfId="3" applyFont="1" applyFill="1" applyBorder="1" applyProtection="1">
      <protection hidden="1"/>
    </xf>
    <xf numFmtId="0" fontId="10" fillId="7" borderId="14" xfId="3" applyFont="1" applyFill="1" applyBorder="1" applyAlignment="1">
      <alignment horizontal="center" wrapText="1"/>
    </xf>
    <xf numFmtId="0" fontId="10" fillId="7" borderId="4" xfId="3" applyFont="1" applyFill="1" applyBorder="1" applyAlignment="1">
      <alignment horizontal="center" wrapText="1"/>
    </xf>
    <xf numFmtId="0" fontId="10" fillId="7" borderId="5" xfId="3" applyFont="1" applyFill="1" applyBorder="1" applyAlignment="1">
      <alignment horizontal="center" wrapText="1"/>
    </xf>
    <xf numFmtId="0" fontId="1" fillId="2" borderId="0" xfId="3" applyFill="1" applyAlignment="1" applyProtection="1">
      <alignment horizontal="center"/>
      <protection hidden="1"/>
    </xf>
    <xf numFmtId="0" fontId="1" fillId="2" borderId="0" xfId="3" applyFill="1" applyAlignment="1">
      <alignment wrapText="1"/>
    </xf>
    <xf numFmtId="0" fontId="1" fillId="2" borderId="0" xfId="3" applyFill="1" applyAlignment="1">
      <alignment horizontal="center"/>
    </xf>
    <xf numFmtId="0" fontId="11" fillId="2" borderId="0" xfId="3" applyFont="1" applyFill="1" applyProtection="1">
      <protection hidden="1"/>
    </xf>
    <xf numFmtId="0" fontId="1" fillId="2" borderId="0" xfId="3" applyFill="1"/>
    <xf numFmtId="49" fontId="16" fillId="4" borderId="4" xfId="3" applyNumberFormat="1" applyFont="1" applyFill="1" applyBorder="1" applyAlignment="1">
      <alignment horizontal="center" wrapText="1"/>
    </xf>
    <xf numFmtId="49" fontId="16" fillId="4" borderId="5" xfId="3" applyNumberFormat="1" applyFont="1" applyFill="1" applyBorder="1" applyAlignment="1">
      <alignment horizontal="center" wrapText="1"/>
    </xf>
    <xf numFmtId="0" fontId="17" fillId="2" borderId="0" xfId="3" applyFont="1" applyFill="1"/>
    <xf numFmtId="49" fontId="1" fillId="2" borderId="0" xfId="3" applyNumberFormat="1" applyFill="1"/>
    <xf numFmtId="49" fontId="16" fillId="4" borderId="6" xfId="3" applyNumberFormat="1" applyFont="1" applyFill="1" applyBorder="1" applyAlignment="1">
      <alignment horizontal="center" wrapText="1"/>
    </xf>
    <xf numFmtId="49" fontId="12" fillId="2" borderId="0" xfId="3" applyNumberFormat="1" applyFont="1" applyFill="1" applyProtection="1">
      <protection hidden="1"/>
    </xf>
    <xf numFmtId="0" fontId="12" fillId="2" borderId="0" xfId="3" applyFont="1" applyFill="1" applyProtection="1"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2" fillId="2" borderId="0" xfId="3" applyFont="1" applyFill="1"/>
    <xf numFmtId="48" fontId="9" fillId="3" borderId="15" xfId="3" applyNumberFormat="1" applyFont="1" applyFill="1" applyBorder="1" applyAlignment="1" applyProtection="1">
      <alignment horizontal="center"/>
      <protection hidden="1"/>
    </xf>
    <xf numFmtId="48" fontId="11" fillId="4" borderId="16" xfId="3" applyNumberFormat="1" applyFont="1" applyFill="1" applyBorder="1" applyAlignment="1" applyProtection="1">
      <alignment horizontal="center"/>
      <protection hidden="1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0" xfId="0" applyFill="1"/>
    <xf numFmtId="0" fontId="0" fillId="8" borderId="21" xfId="0" applyFill="1" applyBorder="1"/>
    <xf numFmtId="0" fontId="18" fillId="8" borderId="20" xfId="0" applyFont="1" applyFill="1" applyBorder="1"/>
    <xf numFmtId="0" fontId="18" fillId="8" borderId="0" xfId="0" applyFont="1" applyFill="1"/>
    <xf numFmtId="0" fontId="18" fillId="8" borderId="21" xfId="0" applyFont="1" applyFill="1" applyBorder="1"/>
    <xf numFmtId="0" fontId="19" fillId="8" borderId="20" xfId="0" applyFont="1" applyFill="1" applyBorder="1"/>
    <xf numFmtId="0" fontId="19" fillId="8" borderId="0" xfId="0" applyFont="1" applyFill="1"/>
    <xf numFmtId="0" fontId="19" fillId="8" borderId="21" xfId="0" applyFont="1" applyFill="1" applyBorder="1"/>
    <xf numFmtId="0" fontId="1" fillId="8" borderId="0" xfId="0" applyFont="1" applyFill="1"/>
    <xf numFmtId="0" fontId="0" fillId="9" borderId="0" xfId="0" applyFill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5" fillId="8" borderId="0" xfId="0" applyFont="1" applyFill="1"/>
    <xf numFmtId="0" fontId="0" fillId="8" borderId="26" xfId="0" applyFill="1" applyBorder="1"/>
    <xf numFmtId="0" fontId="0" fillId="8" borderId="15" xfId="0" applyFill="1" applyBorder="1"/>
    <xf numFmtId="0" fontId="0" fillId="8" borderId="27" xfId="0" applyFill="1" applyBorder="1"/>
    <xf numFmtId="0" fontId="0" fillId="8" borderId="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30" fillId="0" borderId="0" xfId="0" applyFont="1"/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49" fontId="30" fillId="0" borderId="0" xfId="0" applyNumberFormat="1" applyFont="1"/>
    <xf numFmtId="0" fontId="30" fillId="0" borderId="0" xfId="0" applyFont="1" applyAlignment="1">
      <alignment horizontal="right"/>
    </xf>
    <xf numFmtId="0" fontId="32" fillId="0" borderId="0" xfId="0" applyFont="1"/>
    <xf numFmtId="166" fontId="30" fillId="10" borderId="31" xfId="0" applyNumberFormat="1" applyFont="1" applyFill="1" applyBorder="1"/>
    <xf numFmtId="166" fontId="30" fillId="11" borderId="31" xfId="0" applyNumberFormat="1" applyFont="1" applyFill="1" applyBorder="1"/>
    <xf numFmtId="48" fontId="30" fillId="11" borderId="31" xfId="0" applyNumberFormat="1" applyFont="1" applyFill="1" applyBorder="1"/>
    <xf numFmtId="165" fontId="30" fillId="11" borderId="31" xfId="0" applyNumberFormat="1" applyFont="1" applyFill="1" applyBorder="1"/>
    <xf numFmtId="0" fontId="30" fillId="10" borderId="31" xfId="0" applyFont="1" applyFill="1" applyBorder="1" applyProtection="1">
      <protection locked="0"/>
    </xf>
    <xf numFmtId="164" fontId="30" fillId="10" borderId="31" xfId="0" applyNumberFormat="1" applyFont="1" applyFill="1" applyBorder="1" applyProtection="1">
      <protection locked="0"/>
    </xf>
    <xf numFmtId="1" fontId="30" fillId="10" borderId="31" xfId="0" applyNumberFormat="1" applyFont="1" applyFill="1" applyBorder="1" applyProtection="1">
      <protection locked="0"/>
    </xf>
    <xf numFmtId="165" fontId="30" fillId="10" borderId="31" xfId="0" applyNumberFormat="1" applyFont="1" applyFill="1" applyBorder="1" applyProtection="1">
      <protection locked="0"/>
    </xf>
    <xf numFmtId="0" fontId="31" fillId="12" borderId="31" xfId="0" applyFont="1" applyFill="1" applyBorder="1"/>
    <xf numFmtId="48" fontId="31" fillId="12" borderId="31" xfId="0" applyNumberFormat="1" applyFont="1" applyFill="1" applyBorder="1"/>
    <xf numFmtId="168" fontId="31" fillId="12" borderId="31" xfId="0" applyNumberFormat="1" applyFont="1" applyFill="1" applyBorder="1"/>
    <xf numFmtId="165" fontId="31" fillId="12" borderId="31" xfId="0" applyNumberFormat="1" applyFont="1" applyFill="1" applyBorder="1"/>
    <xf numFmtId="9" fontId="30" fillId="11" borderId="31" xfId="5" applyFont="1" applyFill="1" applyBorder="1" applyProtection="1"/>
    <xf numFmtId="48" fontId="30" fillId="10" borderId="31" xfId="0" applyNumberFormat="1" applyFont="1" applyFill="1" applyBorder="1" applyProtection="1">
      <protection locked="0"/>
    </xf>
    <xf numFmtId="0" fontId="30" fillId="11" borderId="31" xfId="3" applyFont="1" applyFill="1" applyBorder="1"/>
    <xf numFmtId="48" fontId="30" fillId="11" borderId="31" xfId="0" applyNumberFormat="1" applyFont="1" applyFill="1" applyBorder="1" applyAlignment="1">
      <alignment horizontal="right" readingOrder="1"/>
    </xf>
    <xf numFmtId="2" fontId="31" fillId="12" borderId="31" xfId="0" applyNumberFormat="1" applyFont="1" applyFill="1" applyBorder="1"/>
    <xf numFmtId="48" fontId="30" fillId="11" borderId="31" xfId="3" applyNumberFormat="1" applyFont="1" applyFill="1" applyBorder="1" applyAlignment="1">
      <alignment horizontal="center"/>
    </xf>
    <xf numFmtId="164" fontId="30" fillId="11" borderId="31" xfId="0" applyNumberFormat="1" applyFont="1" applyFill="1" applyBorder="1"/>
    <xf numFmtId="2" fontId="30" fillId="11" borderId="31" xfId="0" applyNumberFormat="1" applyFont="1" applyFill="1" applyBorder="1"/>
    <xf numFmtId="166" fontId="30" fillId="10" borderId="31" xfId="0" applyNumberFormat="1" applyFont="1" applyFill="1" applyBorder="1" applyProtection="1">
      <protection locked="0"/>
    </xf>
    <xf numFmtId="2" fontId="30" fillId="10" borderId="31" xfId="0" applyNumberFormat="1" applyFont="1" applyFill="1" applyBorder="1" applyProtection="1">
      <protection locked="0"/>
    </xf>
    <xf numFmtId="0" fontId="1" fillId="11" borderId="31" xfId="0" applyFont="1" applyFill="1" applyBorder="1" applyProtection="1">
      <protection hidden="1"/>
    </xf>
    <xf numFmtId="48" fontId="1" fillId="11" borderId="31" xfId="0" applyNumberFormat="1" applyFont="1" applyFill="1" applyBorder="1" applyProtection="1">
      <protection hidden="1"/>
    </xf>
    <xf numFmtId="165" fontId="1" fillId="11" borderId="31" xfId="0" applyNumberFormat="1" applyFont="1" applyFill="1" applyBorder="1" applyProtection="1">
      <protection hidden="1"/>
    </xf>
    <xf numFmtId="2" fontId="1" fillId="11" borderId="31" xfId="0" applyNumberFormat="1" applyFont="1" applyFill="1" applyBorder="1" applyProtection="1">
      <protection hidden="1"/>
    </xf>
    <xf numFmtId="164" fontId="31" fillId="12" borderId="31" xfId="0" applyNumberFormat="1" applyFont="1" applyFill="1" applyBorder="1"/>
    <xf numFmtId="0" fontId="1" fillId="0" borderId="0" xfId="2"/>
    <xf numFmtId="0" fontId="1" fillId="0" borderId="0" xfId="2" applyAlignment="1">
      <alignment horizontal="right"/>
    </xf>
    <xf numFmtId="0" fontId="23" fillId="0" borderId="0" xfId="2" applyFont="1" applyAlignment="1">
      <alignment horizontal="left"/>
    </xf>
    <xf numFmtId="0" fontId="1" fillId="0" borderId="0" xfId="2" applyAlignment="1">
      <alignment horizontal="left"/>
    </xf>
    <xf numFmtId="0" fontId="25" fillId="0" borderId="0" xfId="2" applyFont="1" applyAlignment="1">
      <alignment horizontal="center"/>
    </xf>
    <xf numFmtId="165" fontId="25" fillId="0" borderId="0" xfId="2" applyNumberFormat="1" applyFont="1" applyAlignment="1">
      <alignment horizontal="center"/>
    </xf>
    <xf numFmtId="11" fontId="1" fillId="0" borderId="0" xfId="2" applyNumberFormat="1" applyAlignment="1">
      <alignment horizontal="left"/>
    </xf>
    <xf numFmtId="2" fontId="1" fillId="0" borderId="0" xfId="2" applyNumberFormat="1" applyAlignment="1">
      <alignment horizontal="left"/>
    </xf>
    <xf numFmtId="0" fontId="30" fillId="11" borderId="31" xfId="0" applyFont="1" applyFill="1" applyBorder="1"/>
    <xf numFmtId="48" fontId="30" fillId="11" borderId="31" xfId="5" applyNumberFormat="1" applyFont="1" applyFill="1" applyBorder="1" applyProtection="1"/>
    <xf numFmtId="0" fontId="24" fillId="8" borderId="0" xfId="1" applyFill="1" applyAlignment="1" applyProtection="1"/>
    <xf numFmtId="0" fontId="33" fillId="13" borderId="31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9" fontId="30" fillId="10" borderId="31" xfId="5" applyFont="1" applyFill="1" applyBorder="1" applyProtection="1">
      <protection locked="0"/>
    </xf>
    <xf numFmtId="48" fontId="30" fillId="10" borderId="31" xfId="0" applyNumberFormat="1" applyFont="1" applyFill="1" applyBorder="1" applyAlignment="1" applyProtection="1">
      <alignment horizontal="right"/>
      <protection locked="0"/>
    </xf>
    <xf numFmtId="48" fontId="30" fillId="11" borderId="31" xfId="0" applyNumberFormat="1" applyFont="1" applyFill="1" applyBorder="1" applyAlignment="1">
      <alignment horizontal="right"/>
    </xf>
    <xf numFmtId="0" fontId="30" fillId="11" borderId="31" xfId="0" applyFont="1" applyFill="1" applyBorder="1" applyAlignment="1">
      <alignment horizontal="right"/>
    </xf>
    <xf numFmtId="165" fontId="30" fillId="11" borderId="31" xfId="0" applyNumberFormat="1" applyFont="1" applyFill="1" applyBorder="1" applyAlignment="1">
      <alignment horizontal="right"/>
    </xf>
    <xf numFmtId="0" fontId="33" fillId="13" borderId="33" xfId="0" applyFont="1" applyFill="1" applyBorder="1"/>
    <xf numFmtId="11" fontId="33" fillId="13" borderId="33" xfId="0" applyNumberFormat="1" applyFont="1" applyFill="1" applyBorder="1" applyAlignment="1">
      <alignment horizontal="left"/>
    </xf>
    <xf numFmtId="0" fontId="31" fillId="10" borderId="31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center"/>
    </xf>
    <xf numFmtId="0" fontId="31" fillId="11" borderId="31" xfId="0" applyFont="1" applyFill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0" fillId="0" borderId="31" xfId="0" applyFont="1" applyBorder="1" applyAlignment="1">
      <alignment horizontal="right"/>
    </xf>
    <xf numFmtId="48" fontId="30" fillId="0" borderId="31" xfId="0" applyNumberFormat="1" applyFont="1" applyBorder="1" applyAlignment="1">
      <alignment horizontal="right" readingOrder="1"/>
    </xf>
    <xf numFmtId="0" fontId="30" fillId="0" borderId="31" xfId="0" applyFont="1" applyBorder="1"/>
    <xf numFmtId="166" fontId="30" fillId="0" borderId="31" xfId="0" applyNumberFormat="1" applyFont="1" applyBorder="1"/>
    <xf numFmtId="165" fontId="30" fillId="0" borderId="31" xfId="0" applyNumberFormat="1" applyFont="1" applyBorder="1"/>
    <xf numFmtId="48" fontId="30" fillId="0" borderId="31" xfId="0" applyNumberFormat="1" applyFont="1" applyBorder="1"/>
    <xf numFmtId="2" fontId="30" fillId="0" borderId="31" xfId="0" applyNumberFormat="1" applyFont="1" applyBorder="1"/>
    <xf numFmtId="0" fontId="31" fillId="0" borderId="31" xfId="0" applyFont="1" applyBorder="1"/>
    <xf numFmtId="48" fontId="31" fillId="0" borderId="31" xfId="0" applyNumberFormat="1" applyFont="1" applyBorder="1"/>
    <xf numFmtId="0" fontId="34" fillId="14" borderId="0" xfId="0" applyFont="1" applyFill="1"/>
    <xf numFmtId="0" fontId="30" fillId="14" borderId="0" xfId="0" applyFont="1" applyFill="1"/>
    <xf numFmtId="0" fontId="33" fillId="14" borderId="0" xfId="0" applyFont="1" applyFill="1"/>
    <xf numFmtId="0" fontId="32" fillId="14" borderId="0" xfId="0" applyFont="1" applyFill="1" applyAlignment="1">
      <alignment horizontal="right"/>
    </xf>
    <xf numFmtId="0" fontId="33" fillId="14" borderId="0" xfId="0" applyFont="1" applyFill="1" applyAlignment="1">
      <alignment horizontal="right"/>
    </xf>
    <xf numFmtId="0" fontId="30" fillId="14" borderId="0" xfId="0" applyFont="1" applyFill="1" applyAlignment="1">
      <alignment horizontal="center"/>
    </xf>
    <xf numFmtId="49" fontId="30" fillId="14" borderId="0" xfId="0" applyNumberFormat="1" applyFont="1" applyFill="1"/>
    <xf numFmtId="11" fontId="30" fillId="14" borderId="0" xfId="0" applyNumberFormat="1" applyFont="1" applyFill="1"/>
    <xf numFmtId="0" fontId="31" fillId="14" borderId="0" xfId="0" applyFont="1" applyFill="1" applyAlignment="1">
      <alignment horizontal="right"/>
    </xf>
    <xf numFmtId="0" fontId="30" fillId="14" borderId="0" xfId="0" applyFont="1" applyFill="1" applyAlignment="1">
      <alignment horizontal="right"/>
    </xf>
    <xf numFmtId="0" fontId="32" fillId="14" borderId="0" xfId="0" applyFont="1" applyFill="1"/>
    <xf numFmtId="49" fontId="32" fillId="14" borderId="0" xfId="0" applyNumberFormat="1" applyFont="1" applyFill="1"/>
    <xf numFmtId="0" fontId="35" fillId="14" borderId="34" xfId="0" applyFont="1" applyFill="1" applyBorder="1" applyAlignment="1">
      <alignment horizontal="right"/>
    </xf>
    <xf numFmtId="0" fontId="30" fillId="14" borderId="31" xfId="0" applyFont="1" applyFill="1" applyBorder="1" applyAlignment="1">
      <alignment horizontal="right"/>
    </xf>
    <xf numFmtId="165" fontId="30" fillId="14" borderId="0" xfId="0" applyNumberFormat="1" applyFont="1" applyFill="1" applyAlignment="1">
      <alignment horizontal="right"/>
    </xf>
    <xf numFmtId="11" fontId="31" fillId="14" borderId="0" xfId="0" applyNumberFormat="1" applyFont="1" applyFill="1"/>
    <xf numFmtId="0" fontId="31" fillId="14" borderId="0" xfId="0" applyFont="1" applyFill="1" applyAlignment="1">
      <alignment horizontal="center"/>
    </xf>
    <xf numFmtId="0" fontId="31" fillId="14" borderId="0" xfId="0" applyFont="1" applyFill="1"/>
    <xf numFmtId="0" fontId="31" fillId="14" borderId="34" xfId="0" applyFont="1" applyFill="1" applyBorder="1"/>
    <xf numFmtId="0" fontId="30" fillId="14" borderId="34" xfId="0" applyFont="1" applyFill="1" applyBorder="1"/>
    <xf numFmtId="0" fontId="31" fillId="14" borderId="34" xfId="0" applyFont="1" applyFill="1" applyBorder="1" applyAlignment="1">
      <alignment horizontal="center"/>
    </xf>
    <xf numFmtId="11" fontId="31" fillId="14" borderId="34" xfId="0" applyNumberFormat="1" applyFont="1" applyFill="1" applyBorder="1"/>
    <xf numFmtId="165" fontId="30" fillId="14" borderId="0" xfId="0" applyNumberFormat="1" applyFont="1" applyFill="1"/>
    <xf numFmtId="48" fontId="30" fillId="14" borderId="0" xfId="0" applyNumberFormat="1" applyFont="1" applyFill="1"/>
    <xf numFmtId="0" fontId="30" fillId="14" borderId="34" xfId="0" applyFont="1" applyFill="1" applyBorder="1" applyAlignment="1">
      <alignment horizontal="center"/>
    </xf>
    <xf numFmtId="167" fontId="30" fillId="14" borderId="0" xfId="0" applyNumberFormat="1" applyFont="1" applyFill="1"/>
    <xf numFmtId="11" fontId="30" fillId="14" borderId="34" xfId="0" applyNumberFormat="1" applyFont="1" applyFill="1" applyBorder="1"/>
    <xf numFmtId="48" fontId="30" fillId="14" borderId="34" xfId="0" applyNumberFormat="1" applyFont="1" applyFill="1" applyBorder="1"/>
    <xf numFmtId="49" fontId="31" fillId="14" borderId="0" xfId="0" applyNumberFormat="1" applyFont="1" applyFill="1"/>
    <xf numFmtId="0" fontId="33" fillId="14" borderId="0" xfId="0" applyFont="1" applyFill="1" applyAlignment="1">
      <alignment horizontal="left"/>
    </xf>
    <xf numFmtId="0" fontId="33" fillId="14" borderId="0" xfId="0" applyFont="1" applyFill="1" applyAlignment="1">
      <alignment horizontal="center"/>
    </xf>
    <xf numFmtId="0" fontId="33" fillId="14" borderId="35" xfId="0" applyFont="1" applyFill="1" applyBorder="1"/>
    <xf numFmtId="0" fontId="33" fillId="14" borderId="36" xfId="0" applyFont="1" applyFill="1" applyBorder="1" applyAlignment="1">
      <alignment horizontal="center"/>
    </xf>
    <xf numFmtId="11" fontId="33" fillId="14" borderId="0" xfId="0" applyNumberFormat="1" applyFont="1" applyFill="1"/>
    <xf numFmtId="0" fontId="30" fillId="14" borderId="31" xfId="0" applyFont="1" applyFill="1" applyBorder="1" applyAlignment="1">
      <alignment horizontal="center"/>
    </xf>
    <xf numFmtId="0" fontId="35" fillId="0" borderId="31" xfId="0" applyFont="1" applyBorder="1" applyAlignment="1">
      <alignment horizontal="center"/>
    </xf>
    <xf numFmtId="11" fontId="30" fillId="0" borderId="31" xfId="0" applyNumberFormat="1" applyFont="1" applyBorder="1"/>
    <xf numFmtId="0" fontId="31" fillId="0" borderId="31" xfId="0" applyFont="1" applyBorder="1" applyAlignment="1">
      <alignment horizontal="right"/>
    </xf>
    <xf numFmtId="0" fontId="30" fillId="0" borderId="31" xfId="0" applyFont="1" applyBorder="1" applyAlignment="1">
      <alignment horizontal="center"/>
    </xf>
    <xf numFmtId="0" fontId="30" fillId="0" borderId="31" xfId="2" applyFont="1" applyBorder="1" applyAlignment="1">
      <alignment horizontal="right"/>
    </xf>
    <xf numFmtId="166" fontId="31" fillId="0" borderId="31" xfId="0" applyNumberFormat="1" applyFont="1" applyBorder="1"/>
    <xf numFmtId="0" fontId="30" fillId="0" borderId="31" xfId="2" applyFont="1" applyBorder="1"/>
    <xf numFmtId="166" fontId="30" fillId="0" borderId="31" xfId="0" applyNumberFormat="1" applyFont="1" applyBorder="1" applyAlignment="1">
      <alignment horizontal="center"/>
    </xf>
    <xf numFmtId="0" fontId="30" fillId="0" borderId="31" xfId="0" applyFont="1" applyBorder="1" applyAlignment="1">
      <alignment wrapText="1"/>
    </xf>
    <xf numFmtId="0" fontId="33" fillId="12" borderId="37" xfId="0" applyFont="1" applyFill="1" applyBorder="1" applyAlignment="1">
      <alignment horizontal="center"/>
    </xf>
    <xf numFmtId="0" fontId="33" fillId="12" borderId="38" xfId="0" applyFont="1" applyFill="1" applyBorder="1" applyAlignment="1">
      <alignment horizontal="center"/>
    </xf>
    <xf numFmtId="0" fontId="33" fillId="12" borderId="39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right"/>
    </xf>
    <xf numFmtId="0" fontId="30" fillId="12" borderId="31" xfId="0" applyFont="1" applyFill="1" applyBorder="1"/>
    <xf numFmtId="0" fontId="30" fillId="15" borderId="39" xfId="0" applyFont="1" applyFill="1" applyBorder="1"/>
    <xf numFmtId="0" fontId="31" fillId="15" borderId="40" xfId="0" applyFont="1" applyFill="1" applyBorder="1" applyAlignment="1">
      <alignment horizontal="center"/>
    </xf>
    <xf numFmtId="0" fontId="30" fillId="15" borderId="40" xfId="0" applyFont="1" applyFill="1" applyBorder="1"/>
    <xf numFmtId="0" fontId="30" fillId="15" borderId="40" xfId="0" applyFont="1" applyFill="1" applyBorder="1" applyAlignment="1">
      <alignment horizontal="center"/>
    </xf>
    <xf numFmtId="0" fontId="30" fillId="15" borderId="41" xfId="0" applyFont="1" applyFill="1" applyBorder="1"/>
    <xf numFmtId="49" fontId="30" fillId="15" borderId="37" xfId="0" applyNumberFormat="1" applyFont="1" applyFill="1" applyBorder="1"/>
    <xf numFmtId="0" fontId="30" fillId="15" borderId="42" xfId="0" applyFont="1" applyFill="1" applyBorder="1"/>
    <xf numFmtId="0" fontId="32" fillId="15" borderId="36" xfId="0" applyFont="1" applyFill="1" applyBorder="1"/>
    <xf numFmtId="0" fontId="32" fillId="15" borderId="42" xfId="0" applyFont="1" applyFill="1" applyBorder="1"/>
    <xf numFmtId="0" fontId="30" fillId="15" borderId="36" xfId="0" applyFont="1" applyFill="1" applyBorder="1"/>
    <xf numFmtId="0" fontId="31" fillId="15" borderId="41" xfId="0" applyFont="1" applyFill="1" applyBorder="1" applyAlignment="1">
      <alignment horizontal="center"/>
    </xf>
    <xf numFmtId="0" fontId="30" fillId="15" borderId="41" xfId="0" applyFont="1" applyFill="1" applyBorder="1" applyAlignment="1">
      <alignment horizontal="center"/>
    </xf>
    <xf numFmtId="0" fontId="30" fillId="15" borderId="0" xfId="0" applyFont="1" applyFill="1"/>
    <xf numFmtId="49" fontId="30" fillId="15" borderId="35" xfId="0" applyNumberFormat="1" applyFont="1" applyFill="1" applyBorder="1"/>
    <xf numFmtId="0" fontId="31" fillId="15" borderId="34" xfId="0" applyFont="1" applyFill="1" applyBorder="1" applyAlignment="1">
      <alignment horizontal="center"/>
    </xf>
    <xf numFmtId="0" fontId="30" fillId="15" borderId="34" xfId="0" applyFont="1" applyFill="1" applyBorder="1"/>
    <xf numFmtId="0" fontId="30" fillId="15" borderId="34" xfId="0" applyFont="1" applyFill="1" applyBorder="1" applyAlignment="1">
      <alignment horizontal="center"/>
    </xf>
    <xf numFmtId="49" fontId="33" fillId="15" borderId="0" xfId="0" applyNumberFormat="1" applyFont="1" applyFill="1"/>
    <xf numFmtId="49" fontId="32" fillId="15" borderId="35" xfId="0" applyNumberFormat="1" applyFont="1" applyFill="1" applyBorder="1"/>
    <xf numFmtId="49" fontId="30" fillId="15" borderId="36" xfId="0" applyNumberFormat="1" applyFont="1" applyFill="1" applyBorder="1"/>
    <xf numFmtId="0" fontId="30" fillId="15" borderId="35" xfId="0" applyFont="1" applyFill="1" applyBorder="1"/>
    <xf numFmtId="11" fontId="31" fillId="15" borderId="0" xfId="0" applyNumberFormat="1" applyFont="1" applyFill="1"/>
    <xf numFmtId="11" fontId="31" fillId="15" borderId="36" xfId="0" applyNumberFormat="1" applyFont="1" applyFill="1" applyBorder="1"/>
    <xf numFmtId="0" fontId="31" fillId="15" borderId="36" xfId="0" applyFont="1" applyFill="1" applyBorder="1"/>
    <xf numFmtId="49" fontId="31" fillId="15" borderId="35" xfId="0" applyNumberFormat="1" applyFont="1" applyFill="1" applyBorder="1"/>
    <xf numFmtId="11" fontId="30" fillId="15" borderId="36" xfId="0" applyNumberFormat="1" applyFont="1" applyFill="1" applyBorder="1"/>
    <xf numFmtId="165" fontId="30" fillId="15" borderId="36" xfId="0" applyNumberFormat="1" applyFont="1" applyFill="1" applyBorder="1"/>
    <xf numFmtId="0" fontId="31" fillId="15" borderId="0" xfId="0" applyFont="1" applyFill="1"/>
    <xf numFmtId="0" fontId="33" fillId="15" borderId="0" xfId="0" applyFont="1" applyFill="1"/>
    <xf numFmtId="0" fontId="33" fillId="15" borderId="36" xfId="0" applyFont="1" applyFill="1" applyBorder="1"/>
    <xf numFmtId="9" fontId="30" fillId="0" borderId="31" xfId="5" applyFont="1" applyFill="1" applyBorder="1" applyAlignment="1" applyProtection="1">
      <alignment horizontal="right" readingOrder="1"/>
    </xf>
    <xf numFmtId="0" fontId="1" fillId="14" borderId="0" xfId="0" applyFont="1" applyFill="1" applyProtection="1">
      <protection hidden="1"/>
    </xf>
    <xf numFmtId="0" fontId="1" fillId="14" borderId="0" xfId="0" applyFont="1" applyFill="1" applyAlignment="1" applyProtection="1">
      <alignment horizontal="right"/>
      <protection hidden="1"/>
    </xf>
    <xf numFmtId="48" fontId="1" fillId="14" borderId="0" xfId="0" applyNumberFormat="1" applyFont="1" applyFill="1" applyProtection="1">
      <protection hidden="1"/>
    </xf>
    <xf numFmtId="0" fontId="1" fillId="14" borderId="0" xfId="0" applyFont="1" applyFill="1" applyAlignment="1">
      <alignment horizontal="right"/>
    </xf>
    <xf numFmtId="0" fontId="4" fillId="14" borderId="0" xfId="0" applyFont="1" applyFill="1" applyAlignment="1" applyProtection="1">
      <alignment horizontal="center"/>
      <protection hidden="1"/>
    </xf>
    <xf numFmtId="165" fontId="1" fillId="14" borderId="0" xfId="0" applyNumberFormat="1" applyFont="1" applyFill="1" applyProtection="1">
      <protection hidden="1"/>
    </xf>
    <xf numFmtId="11" fontId="1" fillId="11" borderId="31" xfId="0" applyNumberFormat="1" applyFont="1" applyFill="1" applyBorder="1" applyProtection="1">
      <protection hidden="1"/>
    </xf>
    <xf numFmtId="0" fontId="36" fillId="14" borderId="0" xfId="0" applyFont="1" applyFill="1" applyProtection="1">
      <protection hidden="1"/>
    </xf>
    <xf numFmtId="0" fontId="37" fillId="14" borderId="0" xfId="0" applyFont="1" applyFill="1" applyProtection="1">
      <protection hidden="1"/>
    </xf>
    <xf numFmtId="48" fontId="36" fillId="14" borderId="0" xfId="0" applyNumberFormat="1" applyFont="1" applyFill="1" applyProtection="1">
      <protection hidden="1"/>
    </xf>
    <xf numFmtId="166" fontId="36" fillId="14" borderId="0" xfId="0" applyNumberFormat="1" applyFont="1" applyFill="1" applyProtection="1">
      <protection hidden="1"/>
    </xf>
    <xf numFmtId="0" fontId="36" fillId="14" borderId="0" xfId="0" quotePrefix="1" applyFont="1" applyFill="1" applyProtection="1">
      <protection hidden="1"/>
    </xf>
    <xf numFmtId="0" fontId="38" fillId="14" borderId="0" xfId="4" applyFont="1" applyFill="1" applyProtection="1">
      <protection hidden="1"/>
    </xf>
    <xf numFmtId="11" fontId="36" fillId="14" borderId="0" xfId="0" applyNumberFormat="1" applyFont="1" applyFill="1" applyProtection="1">
      <protection hidden="1"/>
    </xf>
    <xf numFmtId="11" fontId="38" fillId="14" borderId="0" xfId="4" applyNumberFormat="1" applyFont="1" applyFill="1" applyProtection="1">
      <protection hidden="1"/>
    </xf>
    <xf numFmtId="0" fontId="36" fillId="14" borderId="0" xfId="0" applyFont="1" applyFill="1" applyAlignment="1" applyProtection="1">
      <alignment horizontal="right"/>
      <protection hidden="1"/>
    </xf>
    <xf numFmtId="1" fontId="36" fillId="14" borderId="0" xfId="0" applyNumberFormat="1" applyFont="1" applyFill="1" applyProtection="1">
      <protection hidden="1"/>
    </xf>
    <xf numFmtId="48" fontId="36" fillId="14" borderId="0" xfId="3" applyNumberFormat="1" applyFont="1" applyFill="1" applyAlignment="1">
      <alignment horizontal="center"/>
    </xf>
    <xf numFmtId="0" fontId="36" fillId="14" borderId="0" xfId="3" applyFont="1" applyFill="1"/>
    <xf numFmtId="165" fontId="36" fillId="14" borderId="0" xfId="0" applyNumberFormat="1" applyFont="1" applyFill="1" applyProtection="1">
      <protection hidden="1"/>
    </xf>
    <xf numFmtId="0" fontId="36" fillId="14" borderId="0" xfId="0" applyFont="1" applyFill="1" applyAlignment="1">
      <alignment horizontal="right"/>
    </xf>
    <xf numFmtId="1" fontId="36" fillId="14" borderId="0" xfId="0" applyNumberFormat="1" applyFont="1" applyFill="1"/>
    <xf numFmtId="166" fontId="36" fillId="14" borderId="0" xfId="0" applyNumberFormat="1" applyFont="1" applyFill="1"/>
    <xf numFmtId="0" fontId="27" fillId="2" borderId="0" xfId="0" applyFont="1" applyFill="1"/>
    <xf numFmtId="0" fontId="1" fillId="2" borderId="0" xfId="0" applyFont="1" applyFill="1"/>
    <xf numFmtId="0" fontId="28" fillId="2" borderId="0" xfId="0" applyFont="1" applyFill="1"/>
    <xf numFmtId="0" fontId="31" fillId="10" borderId="31" xfId="0" applyFont="1" applyFill="1" applyBorder="1" applyAlignment="1" applyProtection="1">
      <alignment horizontal="center"/>
      <protection locked="0"/>
    </xf>
    <xf numFmtId="0" fontId="1" fillId="10" borderId="31" xfId="0" applyFont="1" applyFill="1" applyBorder="1" applyProtection="1">
      <protection locked="0"/>
    </xf>
    <xf numFmtId="11" fontId="1" fillId="10" borderId="31" xfId="0" applyNumberFormat="1" applyFont="1" applyFill="1" applyBorder="1" applyProtection="1">
      <protection locked="0"/>
    </xf>
    <xf numFmtId="48" fontId="1" fillId="10" borderId="31" xfId="0" applyNumberFormat="1" applyFont="1" applyFill="1" applyBorder="1" applyProtection="1">
      <protection locked="0"/>
    </xf>
    <xf numFmtId="165" fontId="1" fillId="10" borderId="31" xfId="0" applyNumberFormat="1" applyFont="1" applyFill="1" applyBorder="1" applyProtection="1">
      <protection locked="0"/>
    </xf>
    <xf numFmtId="166" fontId="1" fillId="11" borderId="31" xfId="0" applyNumberFormat="1" applyFont="1" applyFill="1" applyBorder="1" applyProtection="1">
      <protection hidden="1"/>
    </xf>
    <xf numFmtId="164" fontId="1" fillId="11" borderId="31" xfId="0" applyNumberFormat="1" applyFont="1" applyFill="1" applyBorder="1" applyProtection="1">
      <protection hidden="1"/>
    </xf>
    <xf numFmtId="48" fontId="1" fillId="11" borderId="38" xfId="0" applyNumberFormat="1" applyFont="1" applyFill="1" applyBorder="1" applyProtection="1">
      <protection hidden="1"/>
    </xf>
    <xf numFmtId="48" fontId="0" fillId="10" borderId="31" xfId="0" applyNumberFormat="1" applyFill="1" applyBorder="1" applyAlignment="1" applyProtection="1">
      <alignment horizontal="right"/>
      <protection locked="0"/>
    </xf>
    <xf numFmtId="0" fontId="35" fillId="14" borderId="34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left"/>
    </xf>
    <xf numFmtId="0" fontId="35" fillId="14" borderId="41" xfId="0" applyFont="1" applyFill="1" applyBorder="1" applyAlignment="1">
      <alignment horizontal="left"/>
    </xf>
    <xf numFmtId="0" fontId="35" fillId="14" borderId="37" xfId="0" applyFont="1" applyFill="1" applyBorder="1" applyAlignment="1">
      <alignment horizontal="left"/>
    </xf>
    <xf numFmtId="0" fontId="33" fillId="13" borderId="33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11" fontId="33" fillId="13" borderId="33" xfId="0" applyNumberFormat="1" applyFont="1" applyFill="1" applyBorder="1" applyAlignment="1">
      <alignment horizontal="left"/>
    </xf>
    <xf numFmtId="11" fontId="33" fillId="13" borderId="40" xfId="0" applyNumberFormat="1" applyFont="1" applyFill="1" applyBorder="1" applyAlignment="1">
      <alignment horizontal="left"/>
    </xf>
    <xf numFmtId="0" fontId="30" fillId="14" borderId="33" xfId="0" applyFont="1" applyFill="1" applyBorder="1" applyAlignment="1">
      <alignment horizontal="left"/>
    </xf>
    <xf numFmtId="0" fontId="30" fillId="14" borderId="40" xfId="0" applyFont="1" applyFill="1" applyBorder="1" applyAlignment="1">
      <alignment horizontal="left"/>
    </xf>
    <xf numFmtId="0" fontId="30" fillId="14" borderId="32" xfId="0" applyFont="1" applyFill="1" applyBorder="1" applyAlignment="1">
      <alignment horizontal="left"/>
    </xf>
    <xf numFmtId="0" fontId="4" fillId="14" borderId="0" xfId="0" applyFont="1" applyFill="1" applyAlignment="1" applyProtection="1">
      <alignment horizontal="left"/>
      <protection hidden="1"/>
    </xf>
    <xf numFmtId="0" fontId="4" fillId="14" borderId="0" xfId="0" applyFont="1" applyFill="1" applyAlignment="1" applyProtection="1">
      <alignment horizontal="center" wrapText="1"/>
      <protection hidden="1"/>
    </xf>
    <xf numFmtId="0" fontId="4" fillId="14" borderId="0" xfId="0" applyFont="1" applyFill="1" applyAlignment="1" applyProtection="1">
      <alignment horizontal="center"/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0" fillId="5" borderId="43" xfId="3" applyFont="1" applyFill="1" applyBorder="1" applyAlignment="1">
      <alignment horizontal="center" wrapText="1"/>
    </xf>
    <xf numFmtId="0" fontId="10" fillId="5" borderId="14" xfId="3" applyFont="1" applyFill="1" applyBorder="1" applyAlignment="1">
      <alignment horizontal="center" wrapText="1"/>
    </xf>
    <xf numFmtId="0" fontId="10" fillId="6" borderId="44" xfId="3" applyFont="1" applyFill="1" applyBorder="1" applyAlignment="1">
      <alignment horizontal="center" wrapText="1"/>
    </xf>
    <xf numFmtId="0" fontId="10" fillId="6" borderId="45" xfId="3" applyFont="1" applyFill="1" applyBorder="1" applyAlignment="1">
      <alignment horizontal="center" wrapText="1"/>
    </xf>
    <xf numFmtId="0" fontId="10" fillId="7" borderId="43" xfId="3" applyFont="1" applyFill="1" applyBorder="1" applyAlignment="1">
      <alignment horizontal="center" wrapText="1"/>
    </xf>
    <xf numFmtId="0" fontId="10" fillId="7" borderId="14" xfId="3" applyFont="1" applyFill="1" applyBorder="1" applyAlignment="1">
      <alignment horizontal="center" wrapText="1"/>
    </xf>
    <xf numFmtId="49" fontId="16" fillId="4" borderId="43" xfId="3" applyNumberFormat="1" applyFont="1" applyFill="1" applyBorder="1" applyAlignment="1">
      <alignment horizontal="center" wrapText="1"/>
    </xf>
    <xf numFmtId="49" fontId="16" fillId="4" borderId="0" xfId="3" applyNumberFormat="1" applyFont="1" applyFill="1" applyAlignment="1">
      <alignment horizontal="center" wrapText="1"/>
    </xf>
  </cellXfs>
  <cellStyles count="9">
    <cellStyle name="Hyperlink" xfId="1" builtinId="8"/>
    <cellStyle name="Normal" xfId="0" builtinId="0"/>
    <cellStyle name="Normal 2" xfId="2" xr:uid="{D200BB36-5171-46C9-B4B7-82691AD91247}"/>
    <cellStyle name="Normal 3" xfId="3" xr:uid="{A233A991-EB55-4A28-875E-F46ED4381263}"/>
    <cellStyle name="Normal 4" xfId="4" xr:uid="{8666F8F2-8FCB-41CC-AA8C-C8F96EF5C951}"/>
    <cellStyle name="Percent" xfId="5" builtinId="5"/>
    <cellStyle name="Percent 2" xfId="6" xr:uid="{FB8BB9EA-9DC2-40A9-9C3E-17DC19BA32C1}"/>
    <cellStyle name="Percent 3" xfId="7" xr:uid="{7107731C-9CCA-4A0F-97CC-B58794DDCE00}"/>
    <cellStyle name="Percent 4" xfId="8" xr:uid="{65A707E2-B8F1-4D74-8B21-AA86610B6A86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CCM 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25.590099294627024</c:v>
                </c:pt>
                <c:pt idx="1">
                  <c:v>25.590077395264068</c:v>
                </c:pt>
                <c:pt idx="2">
                  <c:v>25.59005449030726</c:v>
                </c:pt>
                <c:pt idx="3">
                  <c:v>25.590030533586727</c:v>
                </c:pt>
                <c:pt idx="4">
                  <c:v>25.590005476812948</c:v>
                </c:pt>
                <c:pt idx="5">
                  <c:v>25.589979269480278</c:v>
                </c:pt>
                <c:pt idx="6">
                  <c:v>25.589951858764614</c:v>
                </c:pt>
                <c:pt idx="7">
                  <c:v>25.589923189417554</c:v>
                </c:pt>
                <c:pt idx="8">
                  <c:v>25.589893203654665</c:v>
                </c:pt>
                <c:pt idx="9">
                  <c:v>25.589861841039788</c:v>
                </c:pt>
                <c:pt idx="10">
                  <c:v>25.589829038362648</c:v>
                </c:pt>
                <c:pt idx="11">
                  <c:v>25.589794729512583</c:v>
                </c:pt>
                <c:pt idx="12">
                  <c:v>25.589758845344427</c:v>
                </c:pt>
                <c:pt idx="13">
                  <c:v>25.589721313540288</c:v>
                </c:pt>
                <c:pt idx="14">
                  <c:v>25.58968205846373</c:v>
                </c:pt>
                <c:pt idx="15">
                  <c:v>25.589641001007255</c:v>
                </c:pt>
                <c:pt idx="16">
                  <c:v>25.589598058433744</c:v>
                </c:pt>
                <c:pt idx="17">
                  <c:v>25.589553144209802</c:v>
                </c:pt>
                <c:pt idx="18">
                  <c:v>25.589506167831576</c:v>
                </c:pt>
                <c:pt idx="19">
                  <c:v>25.589457034643075</c:v>
                </c:pt>
                <c:pt idx="20">
                  <c:v>25.589405645645655</c:v>
                </c:pt>
                <c:pt idx="21">
                  <c:v>25.589351897298943</c:v>
                </c:pt>
                <c:pt idx="22">
                  <c:v>25.589295681312983</c:v>
                </c:pt>
                <c:pt idx="23">
                  <c:v>25.589236884430314</c:v>
                </c:pt>
                <c:pt idx="24">
                  <c:v>25.589175388198555</c:v>
                </c:pt>
                <c:pt idx="25">
                  <c:v>25.589111068732425</c:v>
                </c:pt>
                <c:pt idx="26">
                  <c:v>25.589043796464725</c:v>
                </c:pt>
                <c:pt idx="27">
                  <c:v>25.588973435886444</c:v>
                </c:pt>
                <c:pt idx="28">
                  <c:v>25.588899845274277</c:v>
                </c:pt>
                <c:pt idx="29">
                  <c:v>25.588822876406319</c:v>
                </c:pt>
                <c:pt idx="30">
                  <c:v>25.588742374264296</c:v>
                </c:pt>
                <c:pt idx="31">
                  <c:v>25.588658176723097</c:v>
                </c:pt>
                <c:pt idx="32">
                  <c:v>25.588570114224556</c:v>
                </c:pt>
                <c:pt idx="33">
                  <c:v>25.588478009438123</c:v>
                </c:pt>
                <c:pt idx="34">
                  <c:v>25.588381676904881</c:v>
                </c:pt>
                <c:pt idx="35">
                  <c:v>25.588280922665732</c:v>
                </c:pt>
                <c:pt idx="36">
                  <c:v>25.58817554387258</c:v>
                </c:pt>
                <c:pt idx="37">
                  <c:v>25.588065328382026</c:v>
                </c:pt>
                <c:pt idx="38">
                  <c:v>25.587950054330243</c:v>
                </c:pt>
                <c:pt idx="39">
                  <c:v>25.587829489688666</c:v>
                </c:pt>
                <c:pt idx="40">
                  <c:v>25.587703391799693</c:v>
                </c:pt>
                <c:pt idx="41">
                  <c:v>25.58757150689037</c:v>
                </c:pt>
                <c:pt idx="42">
                  <c:v>25.58743356956559</c:v>
                </c:pt>
                <c:pt idx="43">
                  <c:v>25.587289302276595</c:v>
                </c:pt>
                <c:pt idx="44">
                  <c:v>25.587138414766258</c:v>
                </c:pt>
                <c:pt idx="45">
                  <c:v>25.586980603489309</c:v>
                </c:pt>
                <c:pt idx="46">
                  <c:v>25.586815551005571</c:v>
                </c:pt>
                <c:pt idx="47">
                  <c:v>25.586642925346208</c:v>
                </c:pt>
                <c:pt idx="48">
                  <c:v>25.586462379351591</c:v>
                </c:pt>
                <c:pt idx="49">
                  <c:v>25.586273549977946</c:v>
                </c:pt>
                <c:pt idx="50">
                  <c:v>25.586076057574406</c:v>
                </c:pt>
                <c:pt idx="51">
                  <c:v>25.585869505125402</c:v>
                </c:pt>
                <c:pt idx="52">
                  <c:v>25.585653477460944</c:v>
                </c:pt>
                <c:pt idx="53">
                  <c:v>25.585427540429066</c:v>
                </c:pt>
                <c:pt idx="54">
                  <c:v>25.585191240033112</c:v>
                </c:pt>
                <c:pt idx="55">
                  <c:v>25.584944101528215</c:v>
                </c:pt>
                <c:pt idx="56">
                  <c:v>25.584685628478493</c:v>
                </c:pt>
                <c:pt idx="57">
                  <c:v>25.58441530177123</c:v>
                </c:pt>
                <c:pt idx="58">
                  <c:v>25.584132578586647</c:v>
                </c:pt>
                <c:pt idx="59">
                  <c:v>25.583836891321894</c:v>
                </c:pt>
                <c:pt idx="60">
                  <c:v>25.583527646466244</c:v>
                </c:pt>
                <c:pt idx="61">
                  <c:v>25.583204223426424</c:v>
                </c:pt>
                <c:pt idx="62">
                  <c:v>25.582865973299004</c:v>
                </c:pt>
                <c:pt idx="63">
                  <c:v>25.582512217588153</c:v>
                </c:pt>
                <c:pt idx="64">
                  <c:v>25.582142246865978</c:v>
                </c:pt>
                <c:pt idx="65">
                  <c:v>25.581755319373485</c:v>
                </c:pt>
                <c:pt idx="66">
                  <c:v>25.581350659558616</c:v>
                </c:pt>
                <c:pt idx="67">
                  <c:v>25.58092745655037</c:v>
                </c:pt>
                <c:pt idx="68">
                  <c:v>25.580484862564234</c:v>
                </c:pt>
                <c:pt idx="69">
                  <c:v>25.580021991237317</c:v>
                </c:pt>
                <c:pt idx="70">
                  <c:v>25.579537915890139</c:v>
                </c:pt>
                <c:pt idx="71">
                  <c:v>25.579031667711259</c:v>
                </c:pt>
                <c:pt idx="72">
                  <c:v>25.578502233862221</c:v>
                </c:pt>
                <c:pt idx="73">
                  <c:v>25.577948555498963</c:v>
                </c:pt>
                <c:pt idx="74">
                  <c:v>25.577369525706629</c:v>
                </c:pt>
                <c:pt idx="75">
                  <c:v>25.576763987343682</c:v>
                </c:pt>
                <c:pt idx="76">
                  <c:v>25.576130730792155</c:v>
                </c:pt>
                <c:pt idx="77">
                  <c:v>25.575468491609271</c:v>
                </c:pt>
                <c:pt idx="78">
                  <c:v>25.574775948077949</c:v>
                </c:pt>
                <c:pt idx="79">
                  <c:v>25.574051718650182</c:v>
                </c:pt>
                <c:pt idx="80">
                  <c:v>25.573294359280247</c:v>
                </c:pt>
                <c:pt idx="81">
                  <c:v>25.572502360642812</c:v>
                </c:pt>
                <c:pt idx="82">
                  <c:v>25.571674145231803</c:v>
                </c:pt>
                <c:pt idx="83">
                  <c:v>25.570808064334649</c:v>
                </c:pt>
                <c:pt idx="84">
                  <c:v>25.569902394877715</c:v>
                </c:pt>
                <c:pt idx="85">
                  <c:v>25.568955336136781</c:v>
                </c:pt>
                <c:pt idx="86">
                  <c:v>25.567965006308686</c:v>
                </c:pt>
                <c:pt idx="87">
                  <c:v>25.566929438938757</c:v>
                </c:pt>
                <c:pt idx="88">
                  <c:v>25.56584657919641</c:v>
                </c:pt>
                <c:pt idx="89">
                  <c:v>25.56471427999675</c:v>
                </c:pt>
                <c:pt idx="90">
                  <c:v>25.563530297959268</c:v>
                </c:pt>
                <c:pt idx="91">
                  <c:v>25.562292289199252</c:v>
                </c:pt>
                <c:pt idx="92">
                  <c:v>25.560997804946027</c:v>
                </c:pt>
                <c:pt idx="93">
                  <c:v>25.559644286981147</c:v>
                </c:pt>
                <c:pt idx="94">
                  <c:v>25.558229062890216</c:v>
                </c:pt>
                <c:pt idx="95">
                  <c:v>25.556749341122604</c:v>
                </c:pt>
                <c:pt idx="96">
                  <c:v>25.555202205851906</c:v>
                </c:pt>
                <c:pt idx="97">
                  <c:v>25.553584611630875</c:v>
                </c:pt>
                <c:pt idx="98">
                  <c:v>25.551893377833611</c:v>
                </c:pt>
                <c:pt idx="99">
                  <c:v>25.550125182879185</c:v>
                </c:pt>
                <c:pt idx="100">
                  <c:v>25.548276558228462</c:v>
                </c:pt>
                <c:pt idx="101">
                  <c:v>25.546343882148879</c:v>
                </c:pt>
                <c:pt idx="102">
                  <c:v>25.544323373239024</c:v>
                </c:pt>
                <c:pt idx="103">
                  <c:v>25.542211083706505</c:v>
                </c:pt>
                <c:pt idx="104">
                  <c:v>25.540002892393318</c:v>
                </c:pt>
                <c:pt idx="105">
                  <c:v>25.53769449753964</c:v>
                </c:pt>
                <c:pt idx="106">
                  <c:v>25.535281409282323</c:v>
                </c:pt>
                <c:pt idx="107">
                  <c:v>25.532758941879411</c:v>
                </c:pt>
                <c:pt idx="108">
                  <c:v>25.530122205655395</c:v>
                </c:pt>
                <c:pt idx="109">
                  <c:v>25.52736609866065</c:v>
                </c:pt>
                <c:pt idx="110">
                  <c:v>25.524485298040457</c:v>
                </c:pt>
                <c:pt idx="111">
                  <c:v>25.521474251106504</c:v>
                </c:pt>
                <c:pt idx="112">
                  <c:v>25.518327166107227</c:v>
                </c:pt>
                <c:pt idx="113">
                  <c:v>25.51503800269208</c:v>
                </c:pt>
                <c:pt idx="114">
                  <c:v>25.511600462065864</c:v>
                </c:pt>
                <c:pt idx="115">
                  <c:v>25.508007976829216</c:v>
                </c:pt>
                <c:pt idx="116">
                  <c:v>25.504253700504542</c:v>
                </c:pt>
                <c:pt idx="117">
                  <c:v>25.5003304967431</c:v>
                </c:pt>
                <c:pt idx="118">
                  <c:v>25.496230928214505</c:v>
                </c:pt>
                <c:pt idx="119">
                  <c:v>25.491947245178498</c:v>
                </c:pt>
                <c:pt idx="120">
                  <c:v>25.487471373739538</c:v>
                </c:pt>
                <c:pt idx="121">
                  <c:v>25.482794903788189</c:v>
                </c:pt>
                <c:pt idx="122">
                  <c:v>25.477909076632848</c:v>
                </c:pt>
                <c:pt idx="123">
                  <c:v>25.472804772328075</c:v>
                </c:pt>
                <c:pt idx="124">
                  <c:v>25.467472496706453</c:v>
                </c:pt>
                <c:pt idx="125">
                  <c:v>25.461902368123912</c:v>
                </c:pt>
                <c:pt idx="126">
                  <c:v>25.456084103931236</c:v>
                </c:pt>
                <c:pt idx="127">
                  <c:v>25.450007006683187</c:v>
                </c:pt>
                <c:pt idx="128">
                  <c:v>25.443659950104998</c:v>
                </c:pt>
                <c:pt idx="129">
                  <c:v>25.43703136483191</c:v>
                </c:pt>
                <c:pt idx="130">
                  <c:v>25.430109223947731</c:v>
                </c:pt>
                <c:pt idx="131">
                  <c:v>25.422881028344534</c:v>
                </c:pt>
                <c:pt idx="132">
                  <c:v>25.415333791934437</c:v>
                </c:pt>
                <c:pt idx="133">
                  <c:v>25.407454026744961</c:v>
                </c:pt>
                <c:pt idx="134">
                  <c:v>25.39922772793501</c:v>
                </c:pt>
                <c:pt idx="135">
                  <c:v>25.390640358772011</c:v>
                </c:pt>
                <c:pt idx="136">
                  <c:v>25.381676835614986</c:v>
                </c:pt>
                <c:pt idx="137">
                  <c:v>25.372321512954173</c:v>
                </c:pt>
                <c:pt idx="138">
                  <c:v>25.36255816856217</c:v>
                </c:pt>
                <c:pt idx="139">
                  <c:v>25.352369988815582</c:v>
                </c:pt>
                <c:pt idx="140">
                  <c:v>25.34173955425544</c:v>
                </c:pt>
                <c:pt idx="141">
                  <c:v>25.330648825455121</c:v>
                </c:pt>
                <c:pt idx="142">
                  <c:v>25.319079129276389</c:v>
                </c:pt>
                <c:pt idx="143">
                  <c:v>25.307011145594998</c:v>
                </c:pt>
                <c:pt idx="144">
                  <c:v>25.294424894587877</c:v>
                </c:pt>
                <c:pt idx="145">
                  <c:v>25.281299724678913</c:v>
                </c:pt>
                <c:pt idx="146">
                  <c:v>25.267614301245899</c:v>
                </c:pt>
                <c:pt idx="147">
                  <c:v>25.253346596201549</c:v>
                </c:pt>
                <c:pt idx="148">
                  <c:v>25.238473878563561</c:v>
                </c:pt>
                <c:pt idx="149">
                  <c:v>25.22297270614121</c:v>
                </c:pt>
                <c:pt idx="150">
                  <c:v>25.206818918467135</c:v>
                </c:pt>
                <c:pt idx="151">
                  <c:v>25.189987631113937</c:v>
                </c:pt>
                <c:pt idx="152">
                  <c:v>25.172453231539684</c:v>
                </c:pt>
                <c:pt idx="153">
                  <c:v>25.154189376612727</c:v>
                </c:pt>
                <c:pt idx="154">
                  <c:v>25.135168991971668</c:v>
                </c:pt>
                <c:pt idx="155">
                  <c:v>25.115364273381925</c:v>
                </c:pt>
                <c:pt idx="156">
                  <c:v>25.094746690255288</c:v>
                </c:pt>
                <c:pt idx="157">
                  <c:v>25.073286991499856</c:v>
                </c:pt>
                <c:pt idx="158">
                  <c:v>25.05095521387436</c:v>
                </c:pt>
                <c:pt idx="159">
                  <c:v>25.027720693018782</c:v>
                </c:pt>
                <c:pt idx="160">
                  <c:v>25.003552077335485</c:v>
                </c:pt>
                <c:pt idx="161">
                  <c:v>24.97841734489359</c:v>
                </c:pt>
                <c:pt idx="162">
                  <c:v>24.952283823526514</c:v>
                </c:pt>
                <c:pt idx="163">
                  <c:v>24.925118214287227</c:v>
                </c:pt>
                <c:pt idx="164">
                  <c:v>24.896886618421586</c:v>
                </c:pt>
                <c:pt idx="165">
                  <c:v>24.867554568009336</c:v>
                </c:pt>
                <c:pt idx="166">
                  <c:v>24.837087060413129</c:v>
                </c:pt>
                <c:pt idx="167">
                  <c:v>24.80544859666194</c:v>
                </c:pt>
                <c:pt idx="168">
                  <c:v>24.772603223880584</c:v>
                </c:pt>
                <c:pt idx="169">
                  <c:v>24.738514581858944</c:v>
                </c:pt>
                <c:pt idx="170">
                  <c:v>24.703145953831601</c:v>
                </c:pt>
                <c:pt idx="171">
                  <c:v>24.666460321518922</c:v>
                </c:pt>
                <c:pt idx="172">
                  <c:v>24.628420424450184</c:v>
                </c:pt>
                <c:pt idx="173">
                  <c:v>24.588988823563739</c:v>
                </c:pt>
                <c:pt idx="174">
                  <c:v>24.548127969045048</c:v>
                </c:pt>
                <c:pt idx="175">
                  <c:v>24.505800272332049</c:v>
                </c:pt>
                <c:pt idx="176">
                  <c:v>24.461968182177166</c:v>
                </c:pt>
                <c:pt idx="177">
                  <c:v>24.416594264621494</c:v>
                </c:pt>
                <c:pt idx="178">
                  <c:v>24.369641286691895</c:v>
                </c:pt>
                <c:pt idx="179">
                  <c:v>24.3210723035927</c:v>
                </c:pt>
                <c:pt idx="180">
                  <c:v>24.270850749121241</c:v>
                </c:pt>
                <c:pt idx="181">
                  <c:v>24.21894052899026</c:v>
                </c:pt>
                <c:pt idx="182">
                  <c:v>24.165306116701558</c:v>
                </c:pt>
                <c:pt idx="183">
                  <c:v>24.109912651567701</c:v>
                </c:pt>
                <c:pt idx="184">
                  <c:v>24.052726038441353</c:v>
                </c:pt>
                <c:pt idx="185">
                  <c:v>23.99371304866953</c:v>
                </c:pt>
                <c:pt idx="186">
                  <c:v>23.932841421754571</c:v>
                </c:pt>
                <c:pt idx="187">
                  <c:v>23.870079967169076</c:v>
                </c:pt>
                <c:pt idx="188">
                  <c:v>23.805398665743379</c:v>
                </c:pt>
                <c:pt idx="189">
                  <c:v>23.738768770018087</c:v>
                </c:pt>
                <c:pt idx="190">
                  <c:v>23.67016290293563</c:v>
                </c:pt>
                <c:pt idx="191">
                  <c:v>23.599555154229314</c:v>
                </c:pt>
                <c:pt idx="192">
                  <c:v>23.526921173864359</c:v>
                </c:pt>
                <c:pt idx="193">
                  <c:v>23.452238261880524</c:v>
                </c:pt>
                <c:pt idx="194">
                  <c:v>23.375485453996806</c:v>
                </c:pt>
                <c:pt idx="195">
                  <c:v>23.29664360235256</c:v>
                </c:pt>
                <c:pt idx="196">
                  <c:v>23.215695450777648</c:v>
                </c:pt>
                <c:pt idx="197">
                  <c:v>23.132625704020381</c:v>
                </c:pt>
                <c:pt idx="198">
                  <c:v>23.04742109039389</c:v>
                </c:pt>
                <c:pt idx="199">
                  <c:v>22.96007041734757</c:v>
                </c:pt>
                <c:pt idx="200">
                  <c:v>22.870564619523503</c:v>
                </c:pt>
                <c:pt idx="201">
                  <c:v>22.778896798911198</c:v>
                </c:pt>
                <c:pt idx="202">
                  <c:v>22.685062256780132</c:v>
                </c:pt>
                <c:pt idx="203">
                  <c:v>22.58905851713461</c:v>
                </c:pt>
                <c:pt idx="204">
                  <c:v>22.490885341507823</c:v>
                </c:pt>
                <c:pt idx="205">
                  <c:v>22.39054473498587</c:v>
                </c:pt>
                <c:pt idx="206">
                  <c:v>22.288040943426381</c:v>
                </c:pt>
                <c:pt idx="207">
                  <c:v>22.183380441914341</c:v>
                </c:pt>
                <c:pt idx="208">
                  <c:v>22.076571914572114</c:v>
                </c:pt>
                <c:pt idx="209">
                  <c:v>21.967626225913651</c:v>
                </c:pt>
                <c:pt idx="210">
                  <c:v>21.856556384006698</c:v>
                </c:pt>
                <c:pt idx="211">
                  <c:v>21.743377495769526</c:v>
                </c:pt>
                <c:pt idx="212">
                  <c:v>21.628106714797202</c:v>
                </c:pt>
                <c:pt idx="213">
                  <c:v>21.510763182163441</c:v>
                </c:pt>
                <c:pt idx="214">
                  <c:v>21.391367960701007</c:v>
                </c:pt>
                <c:pt idx="215">
                  <c:v>21.269943963302627</c:v>
                </c:pt>
                <c:pt idx="216">
                  <c:v>21.1465158758261</c:v>
                </c:pt>
                <c:pt idx="217">
                  <c:v>21.021110075213997</c:v>
                </c:pt>
                <c:pt idx="218">
                  <c:v>20.893754543460787</c:v>
                </c:pt>
                <c:pt idx="219">
                  <c:v>20.764478778076306</c:v>
                </c:pt>
                <c:pt idx="220">
                  <c:v>20.633313699699713</c:v>
                </c:pt>
                <c:pt idx="221">
                  <c:v>20.500291557517439</c:v>
                </c:pt>
                <c:pt idx="222">
                  <c:v>20.365445833133929</c:v>
                </c:pt>
                <c:pt idx="223">
                  <c:v>20.228811143526624</c:v>
                </c:pt>
                <c:pt idx="224">
                  <c:v>20.090423143700068</c:v>
                </c:pt>
                <c:pt idx="225">
                  <c:v>19.950318429626698</c:v>
                </c:pt>
                <c:pt idx="226">
                  <c:v>19.808534442034521</c:v>
                </c:pt>
                <c:pt idx="227">
                  <c:v>19.665109371565862</c:v>
                </c:pt>
                <c:pt idx="228">
                  <c:v>19.520082065796281</c:v>
                </c:pt>
                <c:pt idx="229">
                  <c:v>19.373491938562296</c:v>
                </c:pt>
                <c:pt idx="230">
                  <c:v>19.225378882006247</c:v>
                </c:pt>
                <c:pt idx="231">
                  <c:v>19.075783181701681</c:v>
                </c:pt>
                <c:pt idx="232">
                  <c:v>18.924745435183372</c:v>
                </c:pt>
                <c:pt idx="233">
                  <c:v>18.772306474158519</c:v>
                </c:pt>
                <c:pt idx="234">
                  <c:v>18.618507290636476</c:v>
                </c:pt>
                <c:pt idx="235">
                  <c:v>18.463388967170996</c:v>
                </c:pt>
                <c:pt idx="236">
                  <c:v>18.30699261136898</c:v>
                </c:pt>
                <c:pt idx="237">
                  <c:v>18.149359294781419</c:v>
                </c:pt>
                <c:pt idx="238">
                  <c:v>17.9905299962562</c:v>
                </c:pt>
                <c:pt idx="239">
                  <c:v>17.830545549797527</c:v>
                </c:pt>
                <c:pt idx="240">
                  <c:v>17.669446596945765</c:v>
                </c:pt>
                <c:pt idx="241">
                  <c:v>17.507273543662333</c:v>
                </c:pt>
                <c:pt idx="242">
                  <c:v>17.344066521677583</c:v>
                </c:pt>
                <c:pt idx="243">
                  <c:v>17.179865354236874</c:v>
                </c:pt>
                <c:pt idx="244">
                  <c:v>17.014709526157723</c:v>
                </c:pt>
                <c:pt idx="245">
                  <c:v>16.848638158093607</c:v>
                </c:pt>
                <c:pt idx="246">
                  <c:v>16.68168998488461</c:v>
                </c:pt>
                <c:pt idx="247">
                  <c:v>16.513903337859375</c:v>
                </c:pt>
                <c:pt idx="248">
                  <c:v>16.345316130945214</c:v>
                </c:pt>
                <c:pt idx="249">
                  <c:v>16.175965850431549</c:v>
                </c:pt>
                <c:pt idx="250">
                  <c:v>16.005889548225753</c:v>
                </c:pt>
                <c:pt idx="251">
                  <c:v>15.835123838436466</c:v>
                </c:pt>
                <c:pt idx="252">
                  <c:v>15.663704897114437</c:v>
                </c:pt>
                <c:pt idx="253">
                  <c:v>15.491668464979654</c:v>
                </c:pt>
                <c:pt idx="254">
                  <c:v>15.319049852963783</c:v>
                </c:pt>
                <c:pt idx="255">
                  <c:v>15.145883950396101</c:v>
                </c:pt>
                <c:pt idx="256">
                  <c:v>14.972205235662827</c:v>
                </c:pt>
                <c:pt idx="257">
                  <c:v>14.798047789173701</c:v>
                </c:pt>
                <c:pt idx="258">
                  <c:v>14.623445308470334</c:v>
                </c:pt>
                <c:pt idx="259">
                  <c:v>14.448431125315437</c:v>
                </c:pt>
                <c:pt idx="260">
                  <c:v>14.273038224607417</c:v>
                </c:pt>
                <c:pt idx="261">
                  <c:v>14.097299264965766</c:v>
                </c:pt>
                <c:pt idx="262">
                  <c:v>13.921246600839767</c:v>
                </c:pt>
                <c:pt idx="263">
                  <c:v>13.744912305996808</c:v>
                </c:pt>
                <c:pt idx="264">
                  <c:v>13.568328198249962</c:v>
                </c:pt>
                <c:pt idx="265">
                  <c:v>13.391525865289498</c:v>
                </c:pt>
                <c:pt idx="266">
                  <c:v>13.214536691487675</c:v>
                </c:pt>
                <c:pt idx="267">
                  <c:v>13.037391885547798</c:v>
                </c:pt>
                <c:pt idx="268">
                  <c:v>12.860122508874598</c:v>
                </c:pt>
                <c:pt idx="269">
                  <c:v>12.682759504543487</c:v>
                </c:pt>
                <c:pt idx="270">
                  <c:v>12.505333726750852</c:v>
                </c:pt>
                <c:pt idx="271">
                  <c:v>12.327875970628599</c:v>
                </c:pt>
                <c:pt idx="272">
                  <c:v>12.150417002307561</c:v>
                </c:pt>
                <c:pt idx="273">
                  <c:v>11.97298758911684</c:v>
                </c:pt>
                <c:pt idx="274">
                  <c:v>11.795618529805562</c:v>
                </c:pt>
                <c:pt idx="275">
                  <c:v>11.618340684673278</c:v>
                </c:pt>
                <c:pt idx="276">
                  <c:v>11.441185005496683</c:v>
                </c:pt>
                <c:pt idx="277">
                  <c:v>11.26418256513757</c:v>
                </c:pt>
                <c:pt idx="278">
                  <c:v>11.087364586715553</c:v>
                </c:pt>
                <c:pt idx="279">
                  <c:v>10.91076247222869</c:v>
                </c:pt>
                <c:pt idx="280">
                  <c:v>10.734407830500095</c:v>
                </c:pt>
                <c:pt idx="281">
                  <c:v>10.558332504329046</c:v>
                </c:pt>
                <c:pt idx="282">
                  <c:v>10.382568596717974</c:v>
                </c:pt>
                <c:pt idx="283">
                  <c:v>10.207148496047251</c:v>
                </c:pt>
                <c:pt idx="284">
                  <c:v>10.032104900061189</c:v>
                </c:pt>
                <c:pt idx="285">
                  <c:v>9.8574708385295597</c:v>
                </c:pt>
                <c:pt idx="286">
                  <c:v>9.6832796944398716</c:v>
                </c:pt>
                <c:pt idx="287">
                  <c:v>9.5095652235751764</c:v>
                </c:pt>
                <c:pt idx="288">
                  <c:v>9.3363615723248721</c:v>
                </c:pt>
                <c:pt idx="289">
                  <c:v>9.1637032935745353</c:v>
                </c:pt>
                <c:pt idx="290">
                  <c:v>8.9916253605132717</c:v>
                </c:pt>
                <c:pt idx="291">
                  <c:v>8.8201631781986585</c:v>
                </c:pt>
                <c:pt idx="292">
                  <c:v>8.6493525927103949</c:v>
                </c:pt>
                <c:pt idx="293">
                  <c:v>8.479229897725487</c:v>
                </c:pt>
                <c:pt idx="294">
                  <c:v>8.3098318383456444</c:v>
                </c:pt>
                <c:pt idx="295">
                  <c:v>8.1411956120045268</c:v>
                </c:pt>
                <c:pt idx="296">
                  <c:v>7.9733588662847712</c:v>
                </c:pt>
                <c:pt idx="297">
                  <c:v>7.8063596934767698</c:v>
                </c:pt>
                <c:pt idx="298">
                  <c:v>7.6402366217134201</c:v>
                </c:pt>
                <c:pt idx="299">
                  <c:v>7.4750286025185977</c:v>
                </c:pt>
                <c:pt idx="300">
                  <c:v>7.3107749946163159</c:v>
                </c:pt>
                <c:pt idx="301">
                  <c:v>7.1475155438548761</c:v>
                </c:pt>
                <c:pt idx="302">
                  <c:v>6.9852903591089541</c:v>
                </c:pt>
                <c:pt idx="303">
                  <c:v>6.8241398840393401</c:v>
                </c:pt>
                <c:pt idx="304">
                  <c:v>6.6641048646017067</c:v>
                </c:pt>
                <c:pt idx="305">
                  <c:v>6.5052263122165401</c:v>
                </c:pt>
                <c:pt idx="306">
                  <c:v>6.3475454625294523</c:v>
                </c:pt>
                <c:pt idx="307">
                  <c:v>6.1911037297183746</c:v>
                </c:pt>
                <c:pt idx="308">
                  <c:v>6.035942656326637</c:v>
                </c:pt>
                <c:pt idx="309">
                  <c:v>5.8821038586301668</c:v>
                </c:pt>
                <c:pt idx="310">
                  <c:v>5.7296289675800915</c:v>
                </c:pt>
                <c:pt idx="311">
                  <c:v>5.5785595653916831</c:v>
                </c:pt>
                <c:pt idx="312">
                  <c:v>5.4289371178920041</c:v>
                </c:pt>
                <c:pt idx="313">
                  <c:v>5.2808029027713488</c:v>
                </c:pt>
                <c:pt idx="314">
                  <c:v>5.1341979339264743</c:v>
                </c:pt>
                <c:pt idx="315">
                  <c:v>4.989162882126168</c:v>
                </c:pt>
                <c:pt idx="316">
                  <c:v>4.8457379922682655</c:v>
                </c:pt>
                <c:pt idx="317">
                  <c:v>4.7039629975437371</c:v>
                </c:pt>
                <c:pt idx="318">
                  <c:v>4.5638770308679657</c:v>
                </c:pt>
                <c:pt idx="319">
                  <c:v>4.4255185339765273</c:v>
                </c:pt>
                <c:pt idx="320">
                  <c:v>4.2889251646315039</c:v>
                </c:pt>
                <c:pt idx="321">
                  <c:v>4.1541337024201406</c:v>
                </c:pt>
                <c:pt idx="322">
                  <c:v>4.0211799536661514</c:v>
                </c:pt>
                <c:pt idx="323">
                  <c:v>3.8900986560099051</c:v>
                </c:pt>
                <c:pt idx="324">
                  <c:v>3.7609233832431026</c:v>
                </c:pt>
                <c:pt idx="325">
                  <c:v>3.6336864510107936</c:v>
                </c:pt>
                <c:pt idx="326">
                  <c:v>3.5084188240134644</c:v>
                </c:pt>
                <c:pt idx="327">
                  <c:v>3.3851500253594526</c:v>
                </c:pt>
                <c:pt idx="328">
                  <c:v>3.263908048724542</c:v>
                </c:pt>
                <c:pt idx="329">
                  <c:v>3.1447192739793426</c:v>
                </c:pt>
                <c:pt idx="330">
                  <c:v>3.0276083869398844</c:v>
                </c:pt>
                <c:pt idx="331">
                  <c:v>2.9125983038839083</c:v>
                </c:pt>
                <c:pt idx="332">
                  <c:v>2.7997101014554144</c:v>
                </c:pt>
                <c:pt idx="333">
                  <c:v>2.6889629525535192</c:v>
                </c:pt>
                <c:pt idx="334">
                  <c:v>2.5803740687642875</c:v>
                </c:pt>
                <c:pt idx="335">
                  <c:v>2.4739586498538757</c:v>
                </c:pt>
                <c:pt idx="336">
                  <c:v>2.3697298407915248</c:v>
                </c:pt>
                <c:pt idx="337">
                  <c:v>2.2676986967139747</c:v>
                </c:pt>
                <c:pt idx="338">
                  <c:v>2.1678741561843413</c:v>
                </c:pt>
                <c:pt idx="339">
                  <c:v>2.0702630230302779</c:v>
                </c:pt>
                <c:pt idx="340">
                  <c:v>1.9748699569775339</c:v>
                </c:pt>
                <c:pt idx="341">
                  <c:v>1.8816974732211182</c:v>
                </c:pt>
                <c:pt idx="342">
                  <c:v>1.7907459510042214</c:v>
                </c:pt>
                <c:pt idx="343">
                  <c:v>1.7020136511951798</c:v>
                </c:pt>
                <c:pt idx="344">
                  <c:v>1.6154967427816844</c:v>
                </c:pt>
                <c:pt idx="345">
                  <c:v>1.5311893381260995</c:v>
                </c:pt>
                <c:pt idx="346">
                  <c:v>1.4490835367530233</c:v>
                </c:pt>
                <c:pt idx="347">
                  <c:v>1.3691694773754979</c:v>
                </c:pt>
                <c:pt idx="348">
                  <c:v>1.291435397800885</c:v>
                </c:pt>
                <c:pt idx="349">
                  <c:v>1.2158677022992601</c:v>
                </c:pt>
                <c:pt idx="350">
                  <c:v>1.1424510359659839</c:v>
                </c:pt>
                <c:pt idx="351">
                  <c:v>1.0711683655667863</c:v>
                </c:pt>
                <c:pt idx="352">
                  <c:v>1.0020010663095518</c:v>
                </c:pt>
                <c:pt idx="353">
                  <c:v>0.93492901396491124</c:v>
                </c:pt>
                <c:pt idx="354">
                  <c:v>0.86993068172474719</c:v>
                </c:pt>
                <c:pt idx="355">
                  <c:v>0.80698324118278486</c:v>
                </c:pt>
                <c:pt idx="356">
                  <c:v>0.7460626668038508</c:v>
                </c:pt>
                <c:pt idx="357">
                  <c:v>0.68714384325534661</c:v>
                </c:pt>
                <c:pt idx="358">
                  <c:v>0.63020067497714438</c:v>
                </c:pt>
                <c:pt idx="359">
                  <c:v>0.57520619738092238</c:v>
                </c:pt>
                <c:pt idx="360">
                  <c:v>0.52213268908866639</c:v>
                </c:pt>
                <c:pt idx="361">
                  <c:v>0.47095178464576415</c:v>
                </c:pt>
                <c:pt idx="362">
                  <c:v>0.42163458717383795</c:v>
                </c:pt>
                <c:pt idx="363">
                  <c:v>0.37415178046049102</c:v>
                </c:pt>
                <c:pt idx="364">
                  <c:v>0.32847374002578045</c:v>
                </c:pt>
                <c:pt idx="365">
                  <c:v>0.28457064273846422</c:v>
                </c:pt>
                <c:pt idx="366">
                  <c:v>0.24241257460451199</c:v>
                </c:pt>
                <c:pt idx="367">
                  <c:v>0.20196963638911411</c:v>
                </c:pt>
                <c:pt idx="368">
                  <c:v>0.1632120467829731</c:v>
                </c:pt>
                <c:pt idx="369">
                  <c:v>0.1261102428616046</c:v>
                </c:pt>
                <c:pt idx="370">
                  <c:v>9.0634977640968367E-2</c:v>
                </c:pt>
                <c:pt idx="371">
                  <c:v>5.6757414567693232E-2</c:v>
                </c:pt>
                <c:pt idx="372">
                  <c:v>2.4449218828516261E-2</c:v>
                </c:pt>
                <c:pt idx="373">
                  <c:v>-6.3173545934402673E-3</c:v>
                </c:pt>
                <c:pt idx="374">
                  <c:v>-3.5569376152636785E-2</c:v>
                </c:pt>
                <c:pt idx="375">
                  <c:v>-6.3333160262758634E-2</c:v>
                </c:pt>
                <c:pt idx="376">
                  <c:v>-8.9634187069568272E-2</c:v>
                </c:pt>
                <c:pt idx="377">
                  <c:v>-0.11449702740637366</c:v>
                </c:pt>
                <c:pt idx="378">
                  <c:v>-0.13794527083285174</c:v>
                </c:pt>
                <c:pt idx="379">
                  <c:v>-0.16000145663298665</c:v>
                </c:pt>
                <c:pt idx="380">
                  <c:v>-0.18068700762024656</c:v>
                </c:pt>
                <c:pt idx="381">
                  <c:v>-0.20002216657835223</c:v>
                </c:pt>
                <c:pt idx="382">
                  <c:v>-0.21802593514635579</c:v>
                </c:pt>
                <c:pt idx="383">
                  <c:v>-0.23471601493757485</c:v>
                </c:pt>
                <c:pt idx="384">
                  <c:v>-0.25010875066811755</c:v>
                </c:pt>
                <c:pt idx="385">
                  <c:v>-0.26421907505880848</c:v>
                </c:pt>
                <c:pt idx="386">
                  <c:v>-0.27706045526004469</c:v>
                </c:pt>
                <c:pt idx="387">
                  <c:v>-0.28864484054282402</c:v>
                </c:pt>
                <c:pt idx="388">
                  <c:v>-0.29898261099005213</c:v>
                </c:pt>
                <c:pt idx="389">
                  <c:v>-0.30808252691537519</c:v>
                </c:pt>
                <c:pt idx="390">
                  <c:v>-0.31595167873175678</c:v>
                </c:pt>
                <c:pt idx="391">
                  <c:v>-0.32259543698948145</c:v>
                </c:pt>
                <c:pt idx="392">
                  <c:v>-0.32801740229800225</c:v>
                </c:pt>
                <c:pt idx="393">
                  <c:v>-0.33221935484380105</c:v>
                </c:pt>
                <c:pt idx="394">
                  <c:v>-0.33520120321784874</c:v>
                </c:pt>
                <c:pt idx="395">
                  <c:v>-0.33696093225975698</c:v>
                </c:pt>
                <c:pt idx="396">
                  <c:v>-0.33749454963051767</c:v>
                </c:pt>
                <c:pt idx="397">
                  <c:v>-0.33679603082188153</c:v>
                </c:pt>
                <c:pt idx="398">
                  <c:v>-0.33485726231253737</c:v>
                </c:pt>
                <c:pt idx="399">
                  <c:v>-0.33166798257989893</c:v>
                </c:pt>
                <c:pt idx="400">
                  <c:v>-0.32721572067997073</c:v>
                </c:pt>
                <c:pt idx="401">
                  <c:v>-0.32148573210739467</c:v>
                </c:pt>
                <c:pt idx="402">
                  <c:v>-0.31446093164846678</c:v>
                </c:pt>
                <c:pt idx="403">
                  <c:v>-0.30612182294727897</c:v>
                </c:pt>
                <c:pt idx="404">
                  <c:v>-0.29644642450349301</c:v>
                </c:pt>
                <c:pt idx="405">
                  <c:v>-0.28541019182838445</c:v>
                </c:pt>
                <c:pt idx="406">
                  <c:v>-0.27298593549246181</c:v>
                </c:pt>
                <c:pt idx="407">
                  <c:v>-0.25914373480589131</c:v>
                </c:pt>
                <c:pt idx="408">
                  <c:v>-0.24385084688404182</c:v>
                </c:pt>
                <c:pt idx="409">
                  <c:v>-0.22707161086790006</c:v>
                </c:pt>
                <c:pt idx="410">
                  <c:v>-0.20876734708642888</c:v>
                </c:pt>
                <c:pt idx="411">
                  <c:v>-0.18889625097524884</c:v>
                </c:pt>
                <c:pt idx="412">
                  <c:v>-0.16741328159867011</c:v>
                </c:pt>
                <c:pt idx="413">
                  <c:v>-0.14427004466179866</c:v>
                </c:pt>
                <c:pt idx="414">
                  <c:v>-0.1194146699577056</c:v>
                </c:pt>
                <c:pt idx="415">
                  <c:v>-9.2791683256160551E-2</c:v>
                </c:pt>
                <c:pt idx="416">
                  <c:v>-6.4341872731738498E-2</c:v>
                </c:pt>
                <c:pt idx="417">
                  <c:v>-3.4002150131235247E-2</c:v>
                </c:pt>
                <c:pt idx="418">
                  <c:v>-1.7054070192515541E-3</c:v>
                </c:pt>
                <c:pt idx="419">
                  <c:v>3.261963339376299E-2</c:v>
                </c:pt>
                <c:pt idx="420">
                  <c:v>6.9048568125309684E-2</c:v>
                </c:pt>
                <c:pt idx="421">
                  <c:v>0.10766146901722508</c:v>
                </c:pt>
                <c:pt idx="422">
                  <c:v>0.14854303875268762</c:v>
                </c:pt>
                <c:pt idx="423">
                  <c:v>0.191782766581163</c:v>
                </c:pt>
                <c:pt idx="424">
                  <c:v>0.23747508153845856</c:v>
                </c:pt>
                <c:pt idx="425">
                  <c:v>0.28571950031941912</c:v>
                </c:pt>
                <c:pt idx="426">
                  <c:v>0.33662076618410003</c:v>
                </c:pt>
                <c:pt idx="427">
                  <c:v>0.39028897431306409</c:v>
                </c:pt>
                <c:pt idx="428">
                  <c:v>0.44683967782516398</c:v>
                </c:pt>
                <c:pt idx="429">
                  <c:v>0.50639396718415708</c:v>
                </c:pt>
                <c:pt idx="430">
                  <c:v>0.5690785138713329</c:v>
                </c:pt>
                <c:pt idx="431">
                  <c:v>0.63502556689684186</c:v>
                </c:pt>
                <c:pt idx="432">
                  <c:v>0.70437288787214392</c:v>
                </c:pt>
                <c:pt idx="433">
                  <c:v>0.77726360680589379</c:v>
                </c:pt>
                <c:pt idx="434">
                  <c:v>0.85384597637116422</c:v>
                </c:pt>
                <c:pt idx="435">
                  <c:v>0.93427299688622378</c:v>
                </c:pt>
                <c:pt idx="436">
                  <c:v>1.0187018774171601</c:v>
                </c:pt>
                <c:pt idx="437">
                  <c:v>1.1072932898913812</c:v>
                </c:pt>
                <c:pt idx="438">
                  <c:v>1.2002103625347846</c:v>
                </c:pt>
                <c:pt idx="439">
                  <c:v>1.297617345794472</c:v>
                </c:pt>
                <c:pt idx="440">
                  <c:v>1.3996778676046797</c:v>
                </c:pt>
                <c:pt idx="441">
                  <c:v>1.5065526746725375</c:v>
                </c:pt>
                <c:pt idx="442">
                  <c:v>1.6183967315604999</c:v>
                </c:pt>
                <c:pt idx="443">
                  <c:v>1.7353555187704286</c:v>
                </c:pt>
                <c:pt idx="444">
                  <c:v>1.8575603337208788</c:v>
                </c:pt>
                <c:pt idx="445">
                  <c:v>1.9851223533725575</c:v>
                </c:pt>
                <c:pt idx="446">
                  <c:v>2.1181251633132927</c:v>
                </c:pt>
                <c:pt idx="447">
                  <c:v>2.2566153947409351</c:v>
                </c:pt>
                <c:pt idx="448">
                  <c:v>2.400591038145957</c:v>
                </c:pt>
                <c:pt idx="449">
                  <c:v>2.5499869222768008</c:v>
                </c:pt>
                <c:pt idx="450">
                  <c:v>2.7046567635384893</c:v>
                </c:pt>
                <c:pt idx="451">
                  <c:v>2.8643511131153754</c:v>
                </c:pt>
                <c:pt idx="452">
                  <c:v>3.0286904727932646</c:v>
                </c:pt>
                <c:pt idx="453">
                  <c:v>3.1971328424765524</c:v>
                </c:pt>
                <c:pt idx="454">
                  <c:v>3.3689350455349221</c:v>
                </c:pt>
                <c:pt idx="455">
                  <c:v>3.5431074170625325</c:v>
                </c:pt>
                <c:pt idx="456">
                  <c:v>3.7183619274730373</c:v>
                </c:pt>
                <c:pt idx="457">
                  <c:v>3.893054672931719</c:v>
                </c:pt>
                <c:pt idx="458">
                  <c:v>4.0651250430404815</c:v>
                </c:pt>
                <c:pt idx="459">
                  <c:v>4.232035922267201</c:v>
                </c:pt>
                <c:pt idx="460">
                  <c:v>4.3907220811396392</c:v>
                </c:pt>
                <c:pt idx="461">
                  <c:v>4.5375573789671391</c:v>
                </c:pt>
                <c:pt idx="462">
                  <c:v>4.6683550993232323</c:v>
                </c:pt>
                <c:pt idx="463">
                  <c:v>4.778418692651007</c:v>
                </c:pt>
                <c:pt idx="464">
                  <c:v>4.8626607498033501</c:v>
                </c:pt>
                <c:pt idx="465">
                  <c:v>4.9158039908448607</c:v>
                </c:pt>
                <c:pt idx="466">
                  <c:v>4.9326674037477698</c:v>
                </c:pt>
                <c:pt idx="467">
                  <c:v>4.9085229037609786</c:v>
                </c:pt>
                <c:pt idx="468">
                  <c:v>4.8394856513320308</c:v>
                </c:pt>
                <c:pt idx="469">
                  <c:v>4.7228810426589085</c:v>
                </c:pt>
                <c:pt idx="470">
                  <c:v>4.5575223720876492</c:v>
                </c:pt>
                <c:pt idx="471">
                  <c:v>4.3438424517703886</c:v>
                </c:pt>
                <c:pt idx="472">
                  <c:v>4.0838504520307097</c:v>
                </c:pt>
                <c:pt idx="473">
                  <c:v>3.7809234874128057</c:v>
                </c:pt>
                <c:pt idx="474">
                  <c:v>3.4394772718103912</c:v>
                </c:pt>
                <c:pt idx="475">
                  <c:v>3.0645795853607938</c:v>
                </c:pt>
                <c:pt idx="476">
                  <c:v>2.661570122433059</c:v>
                </c:pt>
                <c:pt idx="477">
                  <c:v>2.2357347451961371</c:v>
                </c:pt>
                <c:pt idx="478">
                  <c:v>1.7920599745358101</c:v>
                </c:pt>
                <c:pt idx="479">
                  <c:v>1.3350729072678023</c:v>
                </c:pt>
                <c:pt idx="480">
                  <c:v>0.86875734006291827</c:v>
                </c:pt>
                <c:pt idx="481">
                  <c:v>0.39652963685630949</c:v>
                </c:pt>
                <c:pt idx="482">
                  <c:v>-7.8743647257084409E-2</c:v>
                </c:pt>
                <c:pt idx="483">
                  <c:v>-0.55470240678636296</c:v>
                </c:pt>
                <c:pt idx="484">
                  <c:v>-1.0294364326636709</c:v>
                </c:pt>
                <c:pt idx="485">
                  <c:v>-1.5014245366558758</c:v>
                </c:pt>
                <c:pt idx="486">
                  <c:v>-1.9694750547400663</c:v>
                </c:pt>
                <c:pt idx="487">
                  <c:v>-2.4326710004293899</c:v>
                </c:pt>
                <c:pt idx="488">
                  <c:v>-2.8903214335103131</c:v>
                </c:pt>
                <c:pt idx="489">
                  <c:v>-3.3419195026110438</c:v>
                </c:pt>
                <c:pt idx="490">
                  <c:v>-3.7871069587815507</c:v>
                </c:pt>
                <c:pt idx="491">
                  <c:v>-4.2256445841016053</c:v>
                </c:pt>
                <c:pt idx="492">
                  <c:v>-4.6573878258006767</c:v>
                </c:pt>
                <c:pt idx="493">
                  <c:v>-5.0822668941095763</c:v>
                </c:pt>
                <c:pt idx="494">
                  <c:v>-5.5002706177762395</c:v>
                </c:pt>
                <c:pt idx="495">
                  <c:v>-5.9114334205858912</c:v>
                </c:pt>
                <c:pt idx="496">
                  <c:v>-6.315824864314564</c:v>
                </c:pt>
                <c:pt idx="497">
                  <c:v>-6.7135412862529638</c:v>
                </c:pt>
                <c:pt idx="498">
                  <c:v>-7.1046991363740837</c:v>
                </c:pt>
                <c:pt idx="499">
                  <c:v>-7.4894296875217279</c:v>
                </c:pt>
                <c:pt idx="500">
                  <c:v>-7.8795524931547991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2-463D-81A0-68F554CF810C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51.147142837739956</c:v>
                </c:pt>
                <c:pt idx="1">
                  <c:v>50.952380197445024</c:v>
                </c:pt>
                <c:pt idx="2">
                  <c:v>50.75760895943047</c:v>
                </c:pt>
                <c:pt idx="3">
                  <c:v>50.562829588521268</c:v>
                </c:pt>
                <c:pt idx="4">
                  <c:v>50.368042533254382</c:v>
                </c:pt>
                <c:pt idx="5">
                  <c:v>50.173248226773111</c:v>
                </c:pt>
                <c:pt idx="6">
                  <c:v>49.978447087690746</c:v>
                </c:pt>
                <c:pt idx="7">
                  <c:v>49.78363952092613</c:v>
                </c:pt>
                <c:pt idx="8">
                  <c:v>49.58882591851166</c:v>
                </c:pt>
                <c:pt idx="9">
                  <c:v>49.394006660376455</c:v>
                </c:pt>
                <c:pt idx="10">
                  <c:v>49.199182115105366</c:v>
                </c:pt>
                <c:pt idx="11">
                  <c:v>49.004352640675933</c:v>
                </c:pt>
                <c:pt idx="12">
                  <c:v>48.809518585173493</c:v>
                </c:pt>
                <c:pt idx="13">
                  <c:v>48.614680287488099</c:v>
                </c:pt>
                <c:pt idx="14">
                  <c:v>48.419838077992225</c:v>
                </c:pt>
                <c:pt idx="15">
                  <c:v>48.224992279201366</c:v>
                </c:pt>
                <c:pt idx="16">
                  <c:v>48.030143206420462</c:v>
                </c:pt>
                <c:pt idx="17">
                  <c:v>47.835291168374297</c:v>
                </c:pt>
                <c:pt idx="18">
                  <c:v>47.640436467825808</c:v>
                </c:pt>
                <c:pt idx="19">
                  <c:v>47.445579402182602</c:v>
                </c:pt>
                <c:pt idx="20">
                  <c:v>47.250720264092053</c:v>
                </c:pt>
                <c:pt idx="21">
                  <c:v>47.055859342027276</c:v>
                </c:pt>
                <c:pt idx="22">
                  <c:v>46.860996920865048</c:v>
                </c:pt>
                <c:pt idx="23">
                  <c:v>46.66613328245603</c:v>
                </c:pt>
                <c:pt idx="24">
                  <c:v>46.471268706188752</c:v>
                </c:pt>
                <c:pt idx="25">
                  <c:v>46.276403469549351</c:v>
                </c:pt>
                <c:pt idx="26">
                  <c:v>46.081537848676106</c:v>
                </c:pt>
                <c:pt idx="27">
                  <c:v>45.886672118912628</c:v>
                </c:pt>
                <c:pt idx="28">
                  <c:v>45.691806555358085</c:v>
                </c:pt>
                <c:pt idx="29">
                  <c:v>45.496941433417277</c:v>
                </c:pt>
                <c:pt idx="30">
                  <c:v>45.302077029350727</c:v>
                </c:pt>
                <c:pt idx="31">
                  <c:v>45.107213620827245</c:v>
                </c:pt>
                <c:pt idx="32">
                  <c:v>44.912351487477252</c:v>
                </c:pt>
                <c:pt idx="33">
                  <c:v>44.717490911451485</c:v>
                </c:pt>
                <c:pt idx="34">
                  <c:v>44.522632177983198</c:v>
                </c:pt>
                <c:pt idx="35">
                  <c:v>44.327775575956608</c:v>
                </c:pt>
                <c:pt idx="36">
                  <c:v>44.132921398481926</c:v>
                </c:pt>
                <c:pt idx="37">
                  <c:v>43.938069943478695</c:v>
                </c:pt>
                <c:pt idx="38">
                  <c:v>43.743221514267944</c:v>
                </c:pt>
                <c:pt idx="39">
                  <c:v>43.548376420174378</c:v>
                </c:pt>
                <c:pt idx="40">
                  <c:v>43.353534977140491</c:v>
                </c:pt>
                <c:pt idx="41">
                  <c:v>43.158697508351956</c:v>
                </c:pt>
                <c:pt idx="42">
                  <c:v>42.963864344878488</c:v>
                </c:pt>
                <c:pt idx="43">
                  <c:v>42.76903582632773</c:v>
                </c:pt>
                <c:pt idx="44">
                  <c:v>42.574212301516212</c:v>
                </c:pt>
                <c:pt idx="45">
                  <c:v>42.379394129157788</c:v>
                </c:pt>
                <c:pt idx="46">
                  <c:v>42.184581678569714</c:v>
                </c:pt>
                <c:pt idx="47">
                  <c:v>41.989775330399468</c:v>
                </c:pt>
                <c:pt idx="48">
                  <c:v>41.794975477372731</c:v>
                </c:pt>
                <c:pt idx="49">
                  <c:v>41.600182525062891</c:v>
                </c:pt>
                <c:pt idx="50">
                  <c:v>41.40539689268612</c:v>
                </c:pt>
                <c:pt idx="51">
                  <c:v>41.210619013919924</c:v>
                </c:pt>
                <c:pt idx="52">
                  <c:v>41.015849337750446</c:v>
                </c:pt>
                <c:pt idx="53">
                  <c:v>40.821088329345891</c:v>
                </c:pt>
                <c:pt idx="54">
                  <c:v>40.626336470961959</c:v>
                </c:pt>
                <c:pt idx="55">
                  <c:v>40.431594262876629</c:v>
                </c:pt>
                <c:pt idx="56">
                  <c:v>40.236862224359228</c:v>
                </c:pt>
                <c:pt idx="57">
                  <c:v>40.042140894673651</c:v>
                </c:pt>
                <c:pt idx="58">
                  <c:v>39.847430834117411</c:v>
                </c:pt>
                <c:pt idx="59">
                  <c:v>39.652732625099489</c:v>
                </c:pt>
                <c:pt idx="60">
                  <c:v>39.458046873257032</c:v>
                </c:pt>
                <c:pt idx="61">
                  <c:v>39.263374208614465</c:v>
                </c:pt>
                <c:pt idx="62">
                  <c:v>39.068715286784922</c:v>
                </c:pt>
                <c:pt idx="63">
                  <c:v>38.874070790218219</c:v>
                </c:pt>
                <c:pt idx="64">
                  <c:v>38.679441429494624</c:v>
                </c:pt>
                <c:pt idx="65">
                  <c:v>38.484827944669249</c:v>
                </c:pt>
                <c:pt idx="66">
                  <c:v>38.290231106665978</c:v>
                </c:pt>
                <c:pt idx="67">
                  <c:v>38.095651718726188</c:v>
                </c:pt>
                <c:pt idx="68">
                  <c:v>37.901090617912033</c:v>
                </c:pt>
                <c:pt idx="69">
                  <c:v>37.706548676666849</c:v>
                </c:pt>
                <c:pt idx="70">
                  <c:v>37.512026804435735</c:v>
                </c:pt>
                <c:pt idx="71">
                  <c:v>37.317525949348017</c:v>
                </c:pt>
                <c:pt idx="72">
                  <c:v>37.123047099963038</c:v>
                </c:pt>
                <c:pt idx="73">
                  <c:v>36.928591287082611</c:v>
                </c:pt>
                <c:pt idx="74">
                  <c:v>36.734159585632426</c:v>
                </c:pt>
                <c:pt idx="75">
                  <c:v>36.539753116613326</c:v>
                </c:pt>
                <c:pt idx="76">
                  <c:v>36.345373049126465</c:v>
                </c:pt>
                <c:pt idx="77">
                  <c:v>36.151020602472883</c:v>
                </c:pt>
                <c:pt idx="78">
                  <c:v>35.956697048332074</c:v>
                </c:pt>
                <c:pt idx="79">
                  <c:v>35.762403713019296</c:v>
                </c:pt>
                <c:pt idx="80">
                  <c:v>35.568141979825164</c:v>
                </c:pt>
                <c:pt idx="81">
                  <c:v>35.373913291439528</c:v>
                </c:pt>
                <c:pt idx="82">
                  <c:v>35.179719152462347</c:v>
                </c:pt>
                <c:pt idx="83">
                  <c:v>34.985561132002289</c:v>
                </c:pt>
                <c:pt idx="84">
                  <c:v>34.791440866366401</c:v>
                </c:pt>
                <c:pt idx="85">
                  <c:v>34.597360061841037</c:v>
                </c:pt>
                <c:pt idx="86">
                  <c:v>34.403320497567904</c:v>
                </c:pt>
                <c:pt idx="87">
                  <c:v>34.20932402851615</c:v>
                </c:pt>
                <c:pt idx="88">
                  <c:v>34.015372588549326</c:v>
                </c:pt>
                <c:pt idx="89">
                  <c:v>33.82146819359361</c:v>
                </c:pt>
                <c:pt idx="90">
                  <c:v>33.627612944903468</c:v>
                </c:pt>
                <c:pt idx="91">
                  <c:v>33.433809032427462</c:v>
                </c:pt>
                <c:pt idx="92">
                  <c:v>33.240058738275778</c:v>
                </c:pt>
                <c:pt idx="93">
                  <c:v>33.046364440287817</c:v>
                </c:pt>
                <c:pt idx="94">
                  <c:v>32.852728615699604</c:v>
                </c:pt>
                <c:pt idx="95">
                  <c:v>32.659153844912154</c:v>
                </c:pt>
                <c:pt idx="96">
                  <c:v>32.465642815357931</c:v>
                </c:pt>
                <c:pt idx="97">
                  <c:v>32.272198325464316</c:v>
                </c:pt>
                <c:pt idx="98">
                  <c:v>32.078823288711973</c:v>
                </c:pt>
                <c:pt idx="99">
                  <c:v>31.88552073778542</c:v>
                </c:pt>
                <c:pt idx="100">
                  <c:v>31.692293828811216</c:v>
                </c:pt>
                <c:pt idx="101">
                  <c:v>31.499145845681099</c:v>
                </c:pt>
                <c:pt idx="102">
                  <c:v>31.306080204453579</c:v>
                </c:pt>
                <c:pt idx="103">
                  <c:v>31.11310045782767</c:v>
                </c:pt>
                <c:pt idx="104">
                  <c:v>30.920210299683259</c:v>
                </c:pt>
                <c:pt idx="105">
                  <c:v>30.727413569677491</c:v>
                </c:pt>
                <c:pt idx="106">
                  <c:v>30.534714257889807</c:v>
                </c:pt>
                <c:pt idx="107">
                  <c:v>30.342116509503512</c:v>
                </c:pt>
                <c:pt idx="108">
                  <c:v>30.149624629512019</c:v>
                </c:pt>
                <c:pt idx="109">
                  <c:v>29.95724308743581</c:v>
                </c:pt>
                <c:pt idx="110">
                  <c:v>29.76497652203544</c:v>
                </c:pt>
                <c:pt idx="111">
                  <c:v>29.572829746001929</c:v>
                </c:pt>
                <c:pt idx="112">
                  <c:v>29.380807750606813</c:v>
                </c:pt>
                <c:pt idx="113">
                  <c:v>29.1889157102894</c:v>
                </c:pt>
                <c:pt idx="114">
                  <c:v>28.997158987158933</c:v>
                </c:pt>
                <c:pt idx="115">
                  <c:v>28.805543135384362</c:v>
                </c:pt>
                <c:pt idx="116">
                  <c:v>28.614073905445885</c:v>
                </c:pt>
                <c:pt idx="117">
                  <c:v>28.422757248214381</c:v>
                </c:pt>
                <c:pt idx="118">
                  <c:v>28.231599318827055</c:v>
                </c:pt>
                <c:pt idx="119">
                  <c:v>28.04060648032285</c:v>
                </c:pt>
                <c:pt idx="120">
                  <c:v>27.849785306996253</c:v>
                </c:pt>
                <c:pt idx="121">
                  <c:v>27.659142587427922</c:v>
                </c:pt>
                <c:pt idx="122">
                  <c:v>27.46868532714603</c:v>
                </c:pt>
                <c:pt idx="123">
                  <c:v>27.278420750867625</c:v>
                </c:pt>
                <c:pt idx="124">
                  <c:v>27.08835630426794</c:v>
                </c:pt>
                <c:pt idx="125">
                  <c:v>26.898499655219151</c:v>
                </c:pt>
                <c:pt idx="126">
                  <c:v>26.708858694440586</c:v>
                </c:pt>
                <c:pt idx="127">
                  <c:v>26.519441535492717</c:v>
                </c:pt>
                <c:pt idx="128">
                  <c:v>26.330256514050486</c:v>
                </c:pt>
                <c:pt idx="129">
                  <c:v>26.141312186379547</c:v>
                </c:pt>
                <c:pt idx="130">
                  <c:v>25.952617326945148</c:v>
                </c:pt>
                <c:pt idx="131">
                  <c:v>25.764180925069837</c:v>
                </c:pt>
                <c:pt idx="132">
                  <c:v>25.576012180559985</c:v>
                </c:pt>
                <c:pt idx="133">
                  <c:v>25.388120498214935</c:v>
                </c:pt>
                <c:pt idx="134">
                  <c:v>25.200515481129084</c:v>
                </c:pt>
                <c:pt idx="135">
                  <c:v>25.013206922697055</c:v>
                </c:pt>
                <c:pt idx="136">
                  <c:v>24.826204797227227</c:v>
                </c:pt>
                <c:pt idx="137">
                  <c:v>24.63951924906921</c:v>
                </c:pt>
                <c:pt idx="138">
                  <c:v>24.453160580159988</c:v>
                </c:pt>
                <c:pt idx="139">
                  <c:v>24.267139235890198</c:v>
                </c:pt>
                <c:pt idx="140">
                  <c:v>24.081465789198141</c:v>
                </c:pt>
                <c:pt idx="141">
                  <c:v>23.896150922793815</c:v>
                </c:pt>
                <c:pt idx="142">
                  <c:v>23.71120540942476</c:v>
                </c:pt>
                <c:pt idx="143">
                  <c:v>23.526640090092975</c:v>
                </c:pt>
                <c:pt idx="144">
                  <c:v>23.342465850142158</c:v>
                </c:pt>
                <c:pt idx="145">
                  <c:v>23.158693593138764</c:v>
                </c:pt>
                <c:pt idx="146">
                  <c:v>22.975334212477659</c:v>
                </c:pt>
                <c:pt idx="147">
                  <c:v>22.792398560656423</c:v>
                </c:pt>
                <c:pt idx="148">
                  <c:v>22.609897416168959</c:v>
                </c:pt>
                <c:pt idx="149">
                  <c:v>22.427841447988495</c:v>
                </c:pt>
                <c:pt idx="150">
                  <c:v>22.246241177619694</c:v>
                </c:pt>
                <c:pt idx="151">
                  <c:v>22.065106938722078</c:v>
                </c:pt>
                <c:pt idx="152">
                  <c:v>21.884448834324157</c:v>
                </c:pt>
                <c:pt idx="153">
                  <c:v>21.70427669167055</c:v>
                </c:pt>
                <c:pt idx="154">
                  <c:v>21.52460001476787</c:v>
                </c:pt>
                <c:pt idx="155">
                  <c:v>21.345427934722082</c:v>
                </c:pt>
                <c:pt idx="156">
                  <c:v>21.166769157989329</c:v>
                </c:pt>
                <c:pt idx="157">
                  <c:v>20.988631912688806</c:v>
                </c:pt>
                <c:pt idx="158">
                  <c:v>20.811023893163867</c:v>
                </c:pt>
                <c:pt idx="159">
                  <c:v>20.633952203005279</c:v>
                </c:pt>
                <c:pt idx="160">
                  <c:v>20.457423296789912</c:v>
                </c:pt>
                <c:pt idx="161">
                  <c:v>20.281442920820705</c:v>
                </c:pt>
                <c:pt idx="162">
                  <c:v>20.106016053191947</c:v>
                </c:pt>
                <c:pt idx="163">
                  <c:v>19.931146843537508</c:v>
                </c:pt>
                <c:pt idx="164">
                  <c:v>19.756838552858294</c:v>
                </c:pt>
                <c:pt idx="165">
                  <c:v>19.583093493856978</c:v>
                </c:pt>
                <c:pt idx="166">
                  <c:v>19.409912972242267</c:v>
                </c:pt>
                <c:pt idx="167">
                  <c:v>19.237297229493823</c:v>
                </c:pt>
                <c:pt idx="168">
                  <c:v>19.06524538760706</c:v>
                </c:pt>
                <c:pt idx="169">
                  <c:v>18.893755396360802</c:v>
                </c:pt>
                <c:pt idx="170">
                  <c:v>18.72282398366599</c:v>
                </c:pt>
                <c:pt idx="171">
                  <c:v>18.552446609571497</c:v>
                </c:pt>
                <c:pt idx="172">
                  <c:v>18.382617424505305</c:v>
                </c:pt>
                <c:pt idx="173">
                  <c:v>18.213329232333223</c:v>
                </c:pt>
                <c:pt idx="174">
                  <c:v>18.044573458807605</c:v>
                </c:pt>
                <c:pt idx="175">
                  <c:v>17.876340125964795</c:v>
                </c:pt>
                <c:pt idx="176">
                  <c:v>17.708617833005285</c:v>
                </c:pt>
                <c:pt idx="177">
                  <c:v>17.541393744160615</c:v>
                </c:pt>
                <c:pt idx="178">
                  <c:v>17.374653584007781</c:v>
                </c:pt>
                <c:pt idx="179">
                  <c:v>17.208381640643367</c:v>
                </c:pt>
                <c:pt idx="180">
                  <c:v>17.04256077707246</c:v>
                </c:pt>
                <c:pt idx="181">
                  <c:v>16.87717245109836</c:v>
                </c:pt>
                <c:pt idx="182">
                  <c:v>16.712196743929759</c:v>
                </c:pt>
                <c:pt idx="183">
                  <c:v>16.547612397635255</c:v>
                </c:pt>
                <c:pt idx="184">
                  <c:v>16.383396861493978</c:v>
                </c:pt>
                <c:pt idx="185">
                  <c:v>16.219526347196499</c:v>
                </c:pt>
                <c:pt idx="186">
                  <c:v>16.055975892756479</c:v>
                </c:pt>
                <c:pt idx="187">
                  <c:v>15.892719434895215</c:v>
                </c:pt>
                <c:pt idx="188">
                  <c:v>15.729729889566409</c:v>
                </c:pt>
                <c:pt idx="189">
                  <c:v>15.566979240188829</c:v>
                </c:pt>
                <c:pt idx="190">
                  <c:v>15.404438633064165</c:v>
                </c:pt>
                <c:pt idx="191">
                  <c:v>15.242078479364098</c:v>
                </c:pt>
                <c:pt idx="192">
                  <c:v>15.079868562993401</c:v>
                </c:pt>
                <c:pt idx="193">
                  <c:v>14.917778153553487</c:v>
                </c:pt>
                <c:pt idx="194">
                  <c:v>14.755776123569481</c:v>
                </c:pt>
                <c:pt idx="195">
                  <c:v>14.593831069087951</c:v>
                </c:pt>
                <c:pt idx="196">
                  <c:v>14.431911432702218</c:v>
                </c:pt>
                <c:pt idx="197">
                  <c:v>14.269985628038018</c:v>
                </c:pt>
                <c:pt idx="198">
                  <c:v>14.108022164707338</c:v>
                </c:pt>
                <c:pt idx="199">
                  <c:v>13.945989772734487</c:v>
                </c:pt>
                <c:pt idx="200">
                  <c:v>13.783857525467415</c:v>
                </c:pt>
                <c:pt idx="201">
                  <c:v>13.621594960006453</c:v>
                </c:pt>
                <c:pt idx="202">
                  <c:v>13.459172194218793</c:v>
                </c:pt>
                <c:pt idx="203">
                  <c:v>13.296560039451888</c:v>
                </c:pt>
                <c:pt idx="204">
                  <c:v>13.133730108117538</c:v>
                </c:pt>
                <c:pt idx="205">
                  <c:v>12.970654915387758</c:v>
                </c:pt>
                <c:pt idx="206">
                  <c:v>12.80730797431719</c:v>
                </c:pt>
                <c:pt idx="207">
                  <c:v>12.643663883793929</c:v>
                </c:pt>
                <c:pt idx="208">
                  <c:v>12.479698408810354</c:v>
                </c:pt>
                <c:pt idx="209">
                  <c:v>12.315388552638113</c:v>
                </c:pt>
                <c:pt idx="210">
                  <c:v>12.150712620590943</c:v>
                </c:pt>
                <c:pt idx="211">
                  <c:v>11.985650275153143</c:v>
                </c:pt>
                <c:pt idx="212">
                  <c:v>11.820182582353679</c:v>
                </c:pt>
                <c:pt idx="213">
                  <c:v>11.654292049353097</c:v>
                </c:pt>
                <c:pt idx="214">
                  <c:v>11.487962653310143</c:v>
                </c:pt>
                <c:pt idx="215">
                  <c:v>11.321179861672293</c:v>
                </c:pt>
                <c:pt idx="216">
                  <c:v>11.15393064412148</c:v>
                </c:pt>
                <c:pt idx="217">
                  <c:v>10.986203476474591</c:v>
                </c:pt>
                <c:pt idx="218">
                  <c:v>10.817988336905835</c:v>
                </c:pt>
                <c:pt idx="219">
                  <c:v>10.649276694914089</c:v>
                </c:pt>
                <c:pt idx="220">
                  <c:v>10.480061493507881</c:v>
                </c:pt>
                <c:pt idx="221">
                  <c:v>10.310337125117982</c:v>
                </c:pt>
                <c:pt idx="222">
                  <c:v>10.140099401782582</c:v>
                </c:pt>
                <c:pt idx="223">
                  <c:v>9.9693455201672148</c:v>
                </c:pt>
                <c:pt idx="224">
                  <c:v>9.7980740220001117</c:v>
                </c:pt>
                <c:pt idx="225">
                  <c:v>9.6262847505071516</c:v>
                </c:pt>
                <c:pt idx="226">
                  <c:v>9.4539788034306902</c:v>
                </c:pt>
                <c:pt idx="227">
                  <c:v>9.2811584832083263</c:v>
                </c:pt>
                <c:pt idx="228">
                  <c:v>9.1078272448742226</c:v>
                </c:pt>
                <c:pt idx="229">
                  <c:v>8.9339896422250291</c:v>
                </c:pt>
                <c:pt idx="230">
                  <c:v>8.7596512727726168</c:v>
                </c:pt>
                <c:pt idx="231">
                  <c:v>8.5848187219721339</c:v>
                </c:pt>
                <c:pt idx="232">
                  <c:v>8.4094995071907537</c:v>
                </c:pt>
                <c:pt idx="233">
                  <c:v>8.2337020218426993</c:v>
                </c:pt>
                <c:pt idx="234">
                  <c:v>8.0574354800872108</c:v>
                </c:pt>
                <c:pt idx="235">
                  <c:v>7.880709862445924</c:v>
                </c:pt>
                <c:pt idx="236">
                  <c:v>7.7035358626641415</c:v>
                </c:pt>
                <c:pt idx="237">
                  <c:v>7.5259248361006748</c:v>
                </c:pt>
                <c:pt idx="238">
                  <c:v>7.3478887498984111</c:v>
                </c:pt>
                <c:pt idx="239">
                  <c:v>7.1694401351511949</c:v>
                </c:pt>
                <c:pt idx="240">
                  <c:v>6.9905920412503804</c:v>
                </c:pt>
                <c:pt idx="241">
                  <c:v>6.8113579925614633</c:v>
                </c:pt>
                <c:pt idx="242">
                  <c:v>6.6317519475523525</c:v>
                </c:pt>
                <c:pt idx="243">
                  <c:v>6.4517882604655696</c:v>
                </c:pt>
                <c:pt idx="244">
                  <c:v>6.2714816456005273</c:v>
                </c:pt>
                <c:pt idx="245">
                  <c:v>6.0908471442487713</c:v>
                </c:pt>
                <c:pt idx="246">
                  <c:v>5.9099000943021132</c:v>
                </c:pt>
                <c:pt idx="247">
                  <c:v>5.7286561025338365</c:v>
                </c:pt>
                <c:pt idx="248">
                  <c:v>5.5471310195360672</c:v>
                </c:pt>
                <c:pt idx="249">
                  <c:v>5.3653409172795641</c:v>
                </c:pt>
                <c:pt idx="250">
                  <c:v>5.1833020692488105</c:v>
                </c:pt>
                <c:pt idx="251">
                  <c:v>5.0010309330934621</c:v>
                </c:pt>
                <c:pt idx="252">
                  <c:v>4.8185441357261993</c:v>
                </c:pt>
                <c:pt idx="253">
                  <c:v>4.6358584607887803</c:v>
                </c:pt>
                <c:pt idx="254">
                  <c:v>4.4529908384002326</c:v>
                </c:pt>
                <c:pt idx="255">
                  <c:v>4.2699583370964938</c:v>
                </c:pt>
                <c:pt idx="256">
                  <c:v>4.0867781578628968</c:v>
                </c:pt>
                <c:pt idx="257">
                  <c:v>3.9034676301611384</c:v>
                </c:pt>
                <c:pt idx="258">
                  <c:v>3.7200442098465771</c:v>
                </c:pt>
                <c:pt idx="259">
                  <c:v>3.5365254788696241</c:v>
                </c:pt>
                <c:pt idx="260">
                  <c:v>3.3529291466561855</c:v>
                </c:pt>
                <c:pt idx="261">
                  <c:v>3.1692730530577897</c:v>
                </c:pt>
                <c:pt idx="262">
                  <c:v>2.9855751727630437</c:v>
                </c:pt>
                <c:pt idx="263">
                  <c:v>2.8018536210632696</c:v>
                </c:pt>
                <c:pt idx="264">
                  <c:v>2.6181266608624725</c:v>
                </c:pt>
                <c:pt idx="265">
                  <c:v>2.4344127108237661</c:v>
                </c:pt>
                <c:pt idx="266">
                  <c:v>2.2507303545442863</c:v>
                </c:pt>
                <c:pt idx="267">
                  <c:v>2.0670983506501859</c:v>
                </c:pt>
                <c:pt idx="268">
                  <c:v>1.8835356437050184</c:v>
                </c:pt>
                <c:pt idx="269">
                  <c:v>1.7000613758214698</c:v>
                </c:pt>
                <c:pt idx="270">
                  <c:v>1.5166948988708473</c:v>
                </c:pt>
                <c:pt idx="271">
                  <c:v>1.3334557871797994</c:v>
                </c:pt>
                <c:pt idx="272">
                  <c:v>1.1503638506054816</c:v>
                </c:pt>
                <c:pt idx="273">
                  <c:v>0.96743914787904295</c:v>
                </c:pt>
                <c:pt idx="274">
                  <c:v>0.78470200010444557</c:v>
                </c:pt>
                <c:pt idx="275">
                  <c:v>0.60217300430041476</c:v>
                </c:pt>
                <c:pt idx="276">
                  <c:v>0.41987304686699822</c:v>
                </c:pt>
                <c:pt idx="277">
                  <c:v>0.2378233168622863</c:v>
                </c:pt>
                <c:pt idx="278">
                  <c:v>5.6045318963201751E-2</c:v>
                </c:pt>
                <c:pt idx="279">
                  <c:v>-0.12543911400949348</c:v>
                </c:pt>
                <c:pt idx="280">
                  <c:v>-0.3066078091345652</c:v>
                </c:pt>
                <c:pt idx="281">
                  <c:v>-0.48743824213000941</c:v>
                </c:pt>
                <c:pt idx="282">
                  <c:v>-0.66790752692856969</c:v>
                </c:pt>
                <c:pt idx="283">
                  <c:v>-0.84799240622666083</c:v>
                </c:pt>
                <c:pt idx="284">
                  <c:v>-1.0276692431549819</c:v>
                </c:pt>
                <c:pt idx="285">
                  <c:v>-1.2069140142178316</c:v>
                </c:pt>
                <c:pt idx="286">
                  <c:v>-1.3857023036570109</c:v>
                </c:pt>
                <c:pt idx="287">
                  <c:v>-1.5640092993989096</c:v>
                </c:pt>
                <c:pt idx="288">
                  <c:v>-1.7418097907494019</c:v>
                </c:pt>
                <c:pt idx="289">
                  <c:v>-1.9190781680031108</c:v>
                </c:pt>
                <c:pt idx="290">
                  <c:v>-2.0957884241409062</c:v>
                </c:pt>
                <c:pt idx="291">
                  <c:v>-2.2719141587892331</c:v>
                </c:pt>
                <c:pt idx="292">
                  <c:v>-2.4474285846216048</c:v>
                </c:pt>
                <c:pt idx="293">
                  <c:v>-2.6223045363821722</c:v>
                </c:pt>
                <c:pt idx="294">
                  <c:v>-2.7965144827130501</c:v>
                </c:pt>
                <c:pt idx="295">
                  <c:v>-2.9700305409680503</c:v>
                </c:pt>
                <c:pt idx="296">
                  <c:v>-3.1428244951956916</c:v>
                </c:pt>
                <c:pt idx="297">
                  <c:v>-3.3148678174677233</c:v>
                </c:pt>
                <c:pt idx="298">
                  <c:v>-3.4861316927309591</c:v>
                </c:pt>
                <c:pt idx="299">
                  <c:v>-3.6565870473508264</c:v>
                </c:pt>
                <c:pt idx="300">
                  <c:v>-3.8262045815094288</c:v>
                </c:pt>
                <c:pt idx="301">
                  <c:v>-3.9949548056094883</c:v>
                </c:pt>
                <c:pt idx="302">
                  <c:v>-4.1628080808269425</c:v>
                </c:pt>
                <c:pt idx="303">
                  <c:v>-4.3297346639359358</c:v>
                </c:pt>
                <c:pt idx="304">
                  <c:v>-4.4957047565179105</c:v>
                </c:pt>
                <c:pt idx="305">
                  <c:v>-4.6606885586433</c:v>
                </c:pt>
                <c:pt idx="306">
                  <c:v>-4.824656327094849</c:v>
                </c:pt>
                <c:pt idx="307">
                  <c:v>-4.9875784381739123</c:v>
                </c:pt>
                <c:pt idx="308">
                  <c:v>-5.1494254551041605</c:v>
                </c:pt>
                <c:pt idx="309">
                  <c:v>-5.3101682000179959</c:v>
                </c:pt>
                <c:pt idx="310">
                  <c:v>-5.4697778304724531</c:v>
                </c:pt>
                <c:pt idx="311">
                  <c:v>-5.6282259204118708</c:v>
                </c:pt>
                <c:pt idx="312">
                  <c:v>-5.7854845454475923</c:v>
                </c:pt>
                <c:pt idx="313">
                  <c:v>-5.9415263722896601</c:v>
                </c:pt>
                <c:pt idx="314">
                  <c:v>-6.0963247521213297</c:v>
                </c:pt>
                <c:pt idx="315">
                  <c:v>-6.2498538176561347</c:v>
                </c:pt>
                <c:pt idx="316">
                  <c:v>-6.4020885835791219</c:v>
                </c:pt>
                <c:pt idx="317">
                  <c:v>-6.5530050500216728</c:v>
                </c:pt>
                <c:pt idx="318">
                  <c:v>-6.7025803086678142</c:v>
                </c:pt>
                <c:pt idx="319">
                  <c:v>-6.8507926510521475</c:v>
                </c:pt>
                <c:pt idx="320">
                  <c:v>-6.9976216785528091</c:v>
                </c:pt>
                <c:pt idx="321">
                  <c:v>-7.1430484135414565</c:v>
                </c:pt>
                <c:pt idx="322">
                  <c:v>-7.287055411110452</c:v>
                </c:pt>
                <c:pt idx="323">
                  <c:v>-7.4296268707535758</c:v>
                </c:pt>
                <c:pt idx="324">
                  <c:v>-7.5707487473421882</c:v>
                </c:pt>
                <c:pt idx="325">
                  <c:v>-7.7104088607037387</c:v>
                </c:pt>
                <c:pt idx="326">
                  <c:v>-7.8485970030854126</c:v>
                </c:pt>
                <c:pt idx="327">
                  <c:v>-7.9853050437596345</c:v>
                </c:pt>
                <c:pt idx="328">
                  <c:v>-8.1205270300142605</c:v>
                </c:pt>
                <c:pt idx="329">
                  <c:v>-8.2542592837624369</c:v>
                </c:pt>
                <c:pt idx="330">
                  <c:v>-8.3865004930016305</c:v>
                </c:pt>
                <c:pt idx="331">
                  <c:v>-8.5172517973598438</c:v>
                </c:pt>
                <c:pt idx="332">
                  <c:v>-8.6465168669791197</c:v>
                </c:pt>
                <c:pt idx="333">
                  <c:v>-8.7743019740059562</c:v>
                </c:pt>
                <c:pt idx="334">
                  <c:v>-8.9006160559898788</c:v>
                </c:pt>
                <c:pt idx="335">
                  <c:v>-9.0254707705247466</c:v>
                </c:pt>
                <c:pt idx="336">
                  <c:v>-9.1488805405114295</c:v>
                </c:pt>
                <c:pt idx="337">
                  <c:v>-9.2708625894727668</c:v>
                </c:pt>
                <c:pt idx="338">
                  <c:v>-9.3914369664052888</c:v>
                </c:pt>
                <c:pt idx="339">
                  <c:v>-9.5106265597163393</c:v>
                </c:pt>
                <c:pt idx="340">
                  <c:v>-9.6284570998611958</c:v>
                </c:pt>
                <c:pt idx="341">
                  <c:v>-9.7449571503673837</c:v>
                </c:pt>
                <c:pt idx="342">
                  <c:v>-9.8601580870041374</c:v>
                </c:pt>
                <c:pt idx="343">
                  <c:v>-9.9740940649355743</c:v>
                </c:pt>
                <c:pt idx="344">
                  <c:v>-10.086801973770655</c:v>
                </c:pt>
                <c:pt idx="345">
                  <c:v>-10.198321380501268</c:v>
                </c:pt>
                <c:pt idx="346">
                  <c:v>-10.3086944603983</c:v>
                </c:pt>
                <c:pt idx="347">
                  <c:v>-10.417965916010498</c:v>
                </c:pt>
                <c:pt idx="348">
                  <c:v>-10.526182884483278</c:v>
                </c:pt>
                <c:pt idx="349">
                  <c:v>-10.633394833487618</c:v>
                </c:pt>
                <c:pt idx="350">
                  <c:v>-10.739653446115561</c:v>
                </c:pt>
                <c:pt idx="351">
                  <c:v>-10.845012495157642</c:v>
                </c:pt>
                <c:pt idx="352">
                  <c:v>-10.949527707244682</c:v>
                </c:pt>
                <c:pt idx="353">
                  <c:v>-11.053256617379525</c:v>
                </c:pt>
                <c:pt idx="354">
                  <c:v>-11.156258414443831</c:v>
                </c:pt>
                <c:pt idx="355">
                  <c:v>-11.258593778298223</c:v>
                </c:pt>
                <c:pt idx="356">
                  <c:v>-11.3603247091435</c:v>
                </c:pt>
                <c:pt idx="357">
                  <c:v>-11.461514349835229</c:v>
                </c:pt>
                <c:pt idx="358">
                  <c:v>-11.562226801880453</c:v>
                </c:pt>
                <c:pt idx="359">
                  <c:v>-11.662526935865653</c:v>
                </c:pt>
                <c:pt idx="360">
                  <c:v>-11.762480197088303</c:v>
                </c:pt>
                <c:pt idx="361">
                  <c:v>-11.862152407178899</c:v>
                </c:pt>
                <c:pt idx="362">
                  <c:v>-11.961609562514235</c:v>
                </c:pt>
                <c:pt idx="363">
                  <c:v>-12.060917630233122</c:v>
                </c:pt>
                <c:pt idx="364">
                  <c:v>-12.160142342666507</c:v>
                </c:pt>
                <c:pt idx="365">
                  <c:v>-12.259348991003733</c:v>
                </c:pt>
                <c:pt idx="366">
                  <c:v>-12.358602219009647</c:v>
                </c:pt>
                <c:pt idx="367">
                  <c:v>-12.457965817606006</c:v>
                </c:pt>
                <c:pt idx="368">
                  <c:v>-12.557502521121814</c:v>
                </c:pt>
                <c:pt idx="369">
                  <c:v>-12.657273806012022</c:v>
                </c:pt>
                <c:pt idx="370">
                  <c:v>-12.757339692818707</c:v>
                </c:pt>
                <c:pt idx="371">
                  <c:v>-12.857758552142625</c:v>
                </c:pt>
                <c:pt idx="372">
                  <c:v>-12.958586915365338</c:v>
                </c:pt>
                <c:pt idx="373">
                  <c:v>-13.059879290834598</c:v>
                </c:pt>
                <c:pt idx="374">
                  <c:v>-13.161687986198469</c:v>
                </c:pt>
                <c:pt idx="375">
                  <c:v>-13.264062937537938</c:v>
                </c:pt>
                <c:pt idx="376">
                  <c:v>-13.367051545904278</c:v>
                </c:pt>
                <c:pt idx="377">
                  <c:v>-13.470698521826352</c:v>
                </c:pt>
                <c:pt idx="378">
                  <c:v>-13.575045738299753</c:v>
                </c:pt>
                <c:pt idx="379">
                  <c:v>-13.680132092716082</c:v>
                </c:pt>
                <c:pt idx="380">
                  <c:v>-13.785993378128492</c:v>
                </c:pt>
                <c:pt idx="381">
                  <c:v>-13.892662164186346</c:v>
                </c:pt>
                <c:pt idx="382">
                  <c:v>-14.000167688001913</c:v>
                </c:pt>
                <c:pt idx="383">
                  <c:v>-14.108535755137488</c:v>
                </c:pt>
                <c:pt idx="384">
                  <c:v>-14.217788650825288</c:v>
                </c:pt>
                <c:pt idx="385">
                  <c:v>-14.327945061454734</c:v>
                </c:pt>
                <c:pt idx="386">
                  <c:v>-14.439020006275795</c:v>
                </c:pt>
                <c:pt idx="387">
                  <c:v>-14.551024779189193</c:v>
                </c:pt>
                <c:pt idx="388">
                  <c:v>-14.663966900409129</c:v>
                </c:pt>
                <c:pt idx="389">
                  <c:v>-14.777850077700602</c:v>
                </c:pt>
                <c:pt idx="390">
                  <c:v>-14.892674176815218</c:v>
                </c:pt>
                <c:pt idx="391">
                  <c:v>-15.008435200670672</c:v>
                </c:pt>
                <c:pt idx="392">
                  <c:v>-15.125125276742626</c:v>
                </c:pt>
                <c:pt idx="393">
                  <c:v>-15.242732652069002</c:v>
                </c:pt>
                <c:pt idx="394">
                  <c:v>-15.361241695202519</c:v>
                </c:pt>
                <c:pt idx="395">
                  <c:v>-15.480632904384453</c:v>
                </c:pt>
                <c:pt idx="396">
                  <c:v>-15.600882921164336</c:v>
                </c:pt>
                <c:pt idx="397">
                  <c:v>-15.721964548640168</c:v>
                </c:pt>
                <c:pt idx="398">
                  <c:v>-15.843846773461218</c:v>
                </c:pt>
                <c:pt idx="399">
                  <c:v>-15.966494790696084</c:v>
                </c:pt>
                <c:pt idx="400">
                  <c:v>-16.089870030658293</c:v>
                </c:pt>
                <c:pt idx="401">
                  <c:v>-16.213930186756816</c:v>
                </c:pt>
                <c:pt idx="402">
                  <c:v>-16.338629243437122</c:v>
                </c:pt>
                <c:pt idx="403">
                  <c:v>-16.463917503283138</c:v>
                </c:pt>
                <c:pt idx="404">
                  <c:v>-16.58974161235491</c:v>
                </c:pt>
                <c:pt idx="405">
                  <c:v>-16.716044582857027</c:v>
                </c:pt>
                <c:pt idx="406">
                  <c:v>-16.842765812259891</c:v>
                </c:pt>
                <c:pt idx="407">
                  <c:v>-16.96984109802732</c:v>
                </c:pt>
                <c:pt idx="408">
                  <c:v>-17.097202647142627</c:v>
                </c:pt>
                <c:pt idx="409">
                  <c:v>-17.224779079678179</c:v>
                </c:pt>
                <c:pt idx="410">
                  <c:v>-17.352495425705701</c:v>
                </c:pt>
                <c:pt idx="411">
                  <c:v>-17.480273114911601</c:v>
                </c:pt>
                <c:pt idx="412">
                  <c:v>-17.608029958355207</c:v>
                </c:pt>
                <c:pt idx="413">
                  <c:v>-17.735680121890233</c:v>
                </c:pt>
                <c:pt idx="414">
                  <c:v>-17.863134090871391</c:v>
                </c:pt>
                <c:pt idx="415">
                  <c:v>-17.990298625872143</c:v>
                </c:pt>
                <c:pt idx="416">
                  <c:v>-18.117076709275164</c:v>
                </c:pt>
                <c:pt idx="417">
                  <c:v>-18.243367482738986</c:v>
                </c:pt>
                <c:pt idx="418">
                  <c:v>-18.369066175727589</c:v>
                </c:pt>
                <c:pt idx="419">
                  <c:v>-18.494064025488125</c:v>
                </c:pt>
                <c:pt idx="420">
                  <c:v>-18.618248189116628</c:v>
                </c:pt>
                <c:pt idx="421">
                  <c:v>-18.741501648645357</c:v>
                </c:pt>
                <c:pt idx="422">
                  <c:v>-18.863703110440674</c:v>
                </c:pt>
                <c:pt idx="423">
                  <c:v>-18.984726900643466</c:v>
                </c:pt>
                <c:pt idx="424">
                  <c:v>-19.104442858906427</c:v>
                </c:pt>
                <c:pt idx="425">
                  <c:v>-19.222716233340314</c:v>
                </c:pt>
                <c:pt idx="426">
                  <c:v>-19.339407580376193</c:v>
                </c:pt>
                <c:pt idx="427">
                  <c:v>-19.454372674237852</c:v>
                </c:pt>
                <c:pt idx="428">
                  <c:v>-19.567462431932558</c:v>
                </c:pt>
                <c:pt idx="429">
                  <c:v>-19.678522861172251</c:v>
                </c:pt>
                <c:pt idx="430">
                  <c:v>-19.787395040497174</c:v>
                </c:pt>
                <c:pt idx="431">
                  <c:v>-19.893915143184621</c:v>
                </c:pt>
                <c:pt idx="432">
                  <c:v>-19.997914519386313</c:v>
                </c:pt>
                <c:pt idx="433">
                  <c:v>-20.099219854499282</c:v>
                </c:pt>
                <c:pt idx="434">
                  <c:v>-20.197653426195455</c:v>
                </c:pt>
                <c:pt idx="435">
                  <c:v>-20.293033488040209</c:v>
                </c:pt>
                <c:pt idx="436">
                  <c:v>-20.385174814464911</c:v>
                </c:pt>
                <c:pt idx="437">
                  <c:v>-20.473889450376412</c:v>
                </c:pt>
                <c:pt idx="438">
                  <c:v>-20.558987719259832</c:v>
                </c:pt>
                <c:pt idx="439">
                  <c:v>-20.640279556778967</c:v>
                </c:pt>
                <c:pt idx="440">
                  <c:v>-20.717576253178688</c:v>
                </c:pt>
                <c:pt idx="441">
                  <c:v>-20.790692707967818</c:v>
                </c:pt>
                <c:pt idx="442">
                  <c:v>-20.859450325259708</c:v>
                </c:pt>
                <c:pt idx="443">
                  <c:v>-20.923680708707391</c:v>
                </c:pt>
                <c:pt idx="444">
                  <c:v>-20.983230352283453</c:v>
                </c:pt>
                <c:pt idx="445">
                  <c:v>-21.037966568279948</c:v>
                </c:pt>
                <c:pt idx="446">
                  <c:v>-21.087784947843652</c:v>
                </c:pt>
                <c:pt idx="447">
                  <c:v>-21.132618712725908</c:v>
                </c:pt>
                <c:pt idx="448">
                  <c:v>-21.172450389557941</c:v>
                </c:pt>
                <c:pt idx="449">
                  <c:v>-21.207326318172207</c:v>
                </c:pt>
                <c:pt idx="450">
                  <c:v>-21.237374588918883</c:v>
                </c:pt>
                <c:pt idx="451">
                  <c:v>-21.262827081775832</c:v>
                </c:pt>
                <c:pt idx="452">
                  <c:v>-21.284046336364284</c:v>
                </c:pt>
                <c:pt idx="453">
                  <c:v>-21.301557989950528</c:v>
                </c:pt>
                <c:pt idx="454">
                  <c:v>-21.316089437373758</c:v>
                </c:pt>
                <c:pt idx="455">
                  <c:v>-21.328615127882244</c:v>
                </c:pt>
                <c:pt idx="456">
                  <c:v>-21.340408426516237</c:v>
                </c:pt>
                <c:pt idx="457">
                  <c:v>-21.353099108592364</c:v>
                </c:pt>
                <c:pt idx="458">
                  <c:v>-21.368734176923038</c:v>
                </c:pt>
                <c:pt idx="459">
                  <c:v>-21.389837645327169</c:v>
                </c:pt>
                <c:pt idx="460">
                  <c:v>-21.419462132451372</c:v>
                </c:pt>
                <c:pt idx="461">
                  <c:v>-21.461221644177005</c:v>
                </c:pt>
                <c:pt idx="462">
                  <c:v>-21.519291223411901</c:v>
                </c:pt>
                <c:pt idx="463">
                  <c:v>-21.598356192935086</c:v>
                </c:pt>
                <c:pt idx="464">
                  <c:v>-21.70349316750757</c:v>
                </c:pt>
                <c:pt idx="465">
                  <c:v>-21.839969050945719</c:v>
                </c:pt>
                <c:pt idx="466">
                  <c:v>-22.012954883543571</c:v>
                </c:pt>
                <c:pt idx="467">
                  <c:v>-22.227169169082931</c:v>
                </c:pt>
                <c:pt idx="468">
                  <c:v>-22.486487543564955</c:v>
                </c:pt>
                <c:pt idx="469">
                  <c:v>-22.793575771598437</c:v>
                </c:pt>
                <c:pt idx="470">
                  <c:v>-23.149612071239112</c:v>
                </c:pt>
                <c:pt idx="471">
                  <c:v>-23.554155481872083</c:v>
                </c:pt>
                <c:pt idx="472">
                  <c:v>-24.005189011698072</c:v>
                </c:pt>
                <c:pt idx="473">
                  <c:v>-24.499328039850102</c:v>
                </c:pt>
                <c:pt idx="474">
                  <c:v>-25.032149649748071</c:v>
                </c:pt>
                <c:pt idx="475">
                  <c:v>-25.598579151007865</c:v>
                </c:pt>
                <c:pt idx="476">
                  <c:v>-26.193270220575844</c:v>
                </c:pt>
                <c:pt idx="477">
                  <c:v>-26.810930638602251</c:v>
                </c:pt>
                <c:pt idx="478">
                  <c:v>-27.446567787283698</c:v>
                </c:pt>
                <c:pt idx="479">
                  <c:v>-28.095648723723819</c:v>
                </c:pt>
                <c:pt idx="480">
                  <c:v>-28.754184046394716</c:v>
                </c:pt>
                <c:pt idx="481">
                  <c:v>-29.418752018420928</c:v>
                </c:pt>
                <c:pt idx="482">
                  <c:v>-30.086480934681692</c:v>
                </c:pt>
                <c:pt idx="483">
                  <c:v>-30.755005753870606</c:v>
                </c:pt>
                <c:pt idx="484">
                  <c:v>-31.42241153690351</c:v>
                </c:pt>
                <c:pt idx="485">
                  <c:v>-32.087172563207005</c:v>
                </c:pt>
                <c:pt idx="486">
                  <c:v>-32.748092826251472</c:v>
                </c:pt>
                <c:pt idx="487">
                  <c:v>-33.404251179310307</c:v>
                </c:pt>
                <c:pt idx="488">
                  <c:v>-34.054952696898916</c:v>
                </c:pt>
                <c:pt idx="489">
                  <c:v>-34.699686710306601</c:v>
                </c:pt>
                <c:pt idx="490">
                  <c:v>-35.338091314395903</c:v>
                </c:pt>
                <c:pt idx="491">
                  <c:v>-35.969923789678219</c:v>
                </c:pt>
                <c:pt idx="492">
                  <c:v>-36.595036230142483</c:v>
                </c:pt>
                <c:pt idx="493">
                  <c:v>-37.213355635051315</c:v>
                </c:pt>
                <c:pt idx="494">
                  <c:v>-37.824867758627271</c:v>
                </c:pt>
                <c:pt idx="495">
                  <c:v>-38.429604080966691</c:v>
                </c:pt>
                <c:pt idx="496">
                  <c:v>-39.027631345599076</c:v>
                </c:pt>
                <c:pt idx="497">
                  <c:v>-39.619043191825234</c:v>
                </c:pt>
                <c:pt idx="498">
                  <c:v>-40.203953486899977</c:v>
                </c:pt>
                <c:pt idx="499">
                  <c:v>-40.782491031428577</c:v>
                </c:pt>
                <c:pt idx="500">
                  <c:v>-41.366473012508465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2-463D-81A0-68F554CF810C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25.557043543112933</c:v>
                </c:pt>
                <c:pt idx="1">
                  <c:v>25.362302802180952</c:v>
                </c:pt>
                <c:pt idx="2">
                  <c:v>25.16755446912321</c:v>
                </c:pt>
                <c:pt idx="3">
                  <c:v>24.972799054934537</c:v>
                </c:pt>
                <c:pt idx="4">
                  <c:v>24.778037056441438</c:v>
                </c:pt>
                <c:pt idx="5">
                  <c:v>24.583268957292837</c:v>
                </c:pt>
                <c:pt idx="6">
                  <c:v>24.388495228926132</c:v>
                </c:pt>
                <c:pt idx="7">
                  <c:v>24.193716331508579</c:v>
                </c:pt>
                <c:pt idx="8">
                  <c:v>23.998932714856998</c:v>
                </c:pt>
                <c:pt idx="9">
                  <c:v>23.804144819336667</c:v>
                </c:pt>
                <c:pt idx="10">
                  <c:v>23.609353076742718</c:v>
                </c:pt>
                <c:pt idx="11">
                  <c:v>23.414557911163346</c:v>
                </c:pt>
                <c:pt idx="12">
                  <c:v>23.219759739829069</c:v>
                </c:pt>
                <c:pt idx="13">
                  <c:v>23.024958973947815</c:v>
                </c:pt>
                <c:pt idx="14">
                  <c:v>22.830156019528491</c:v>
                </c:pt>
                <c:pt idx="15">
                  <c:v>22.635351278194111</c:v>
                </c:pt>
                <c:pt idx="16">
                  <c:v>22.440545147986718</c:v>
                </c:pt>
                <c:pt idx="17">
                  <c:v>22.245738024164496</c:v>
                </c:pt>
                <c:pt idx="18">
                  <c:v>22.050930299994228</c:v>
                </c:pt>
                <c:pt idx="19">
                  <c:v>21.856122367539527</c:v>
                </c:pt>
                <c:pt idx="20">
                  <c:v>21.661314618446397</c:v>
                </c:pt>
                <c:pt idx="21">
                  <c:v>21.466507444728332</c:v>
                </c:pt>
                <c:pt idx="22">
                  <c:v>21.271701239552062</c:v>
                </c:pt>
                <c:pt idx="23">
                  <c:v>21.076896398025717</c:v>
                </c:pt>
                <c:pt idx="24">
                  <c:v>20.882093317990197</c:v>
                </c:pt>
                <c:pt idx="25">
                  <c:v>20.687292400816926</c:v>
                </c:pt>
                <c:pt idx="26">
                  <c:v>20.492494052211384</c:v>
                </c:pt>
                <c:pt idx="27">
                  <c:v>20.297698683026184</c:v>
                </c:pt>
                <c:pt idx="28">
                  <c:v>20.102906710083804</c:v>
                </c:pt>
                <c:pt idx="29">
                  <c:v>19.908118557010958</c:v>
                </c:pt>
                <c:pt idx="30">
                  <c:v>19.713334655086427</c:v>
                </c:pt>
                <c:pt idx="31">
                  <c:v>19.518555444104148</c:v>
                </c:pt>
                <c:pt idx="32">
                  <c:v>19.323781373252697</c:v>
                </c:pt>
                <c:pt idx="33">
                  <c:v>19.129012902013361</c:v>
                </c:pt>
                <c:pt idx="34">
                  <c:v>18.934250501078321</c:v>
                </c:pt>
                <c:pt idx="35">
                  <c:v>18.73949465329088</c:v>
                </c:pt>
                <c:pt idx="36">
                  <c:v>18.544745854609342</c:v>
                </c:pt>
                <c:pt idx="37">
                  <c:v>18.350004615096669</c:v>
                </c:pt>
                <c:pt idx="38">
                  <c:v>18.155271459937701</c:v>
                </c:pt>
                <c:pt idx="39">
                  <c:v>17.960546930485709</c:v>
                </c:pt>
                <c:pt idx="40">
                  <c:v>17.765831585340798</c:v>
                </c:pt>
                <c:pt idx="41">
                  <c:v>17.571126001461586</c:v>
                </c:pt>
                <c:pt idx="42">
                  <c:v>17.376430775312894</c:v>
                </c:pt>
                <c:pt idx="43">
                  <c:v>17.181746524051135</c:v>
                </c:pt>
                <c:pt idx="44">
                  <c:v>16.987073886749954</c:v>
                </c:pt>
                <c:pt idx="45">
                  <c:v>16.792413525668476</c:v>
                </c:pt>
                <c:pt idx="46">
                  <c:v>16.597766127564142</c:v>
                </c:pt>
                <c:pt idx="47">
                  <c:v>16.403132405053263</c:v>
                </c:pt>
                <c:pt idx="48">
                  <c:v>16.208513098021143</c:v>
                </c:pt>
                <c:pt idx="49">
                  <c:v>16.013908975084941</c:v>
                </c:pt>
                <c:pt idx="50">
                  <c:v>15.819320835111712</c:v>
                </c:pt>
                <c:pt idx="51">
                  <c:v>15.624749508794519</c:v>
                </c:pt>
                <c:pt idx="52">
                  <c:v>15.430195860289501</c:v>
                </c:pt>
                <c:pt idx="53">
                  <c:v>15.235660788916825</c:v>
                </c:pt>
                <c:pt idx="54">
                  <c:v>15.041145230928844</c:v>
                </c:pt>
                <c:pt idx="55">
                  <c:v>14.846650161348418</c:v>
                </c:pt>
                <c:pt idx="56">
                  <c:v>14.652176595880738</c:v>
                </c:pt>
                <c:pt idx="57">
                  <c:v>14.457725592902424</c:v>
                </c:pt>
                <c:pt idx="58">
                  <c:v>14.263298255530765</c:v>
                </c:pt>
                <c:pt idx="59">
                  <c:v>14.068895733777591</c:v>
                </c:pt>
                <c:pt idx="60">
                  <c:v>13.874519226790785</c:v>
                </c:pt>
                <c:pt idx="61">
                  <c:v>13.680169985188044</c:v>
                </c:pt>
                <c:pt idx="62">
                  <c:v>13.48584931348592</c:v>
                </c:pt>
                <c:pt idx="63">
                  <c:v>13.291558572630066</c:v>
                </c:pt>
                <c:pt idx="64">
                  <c:v>13.097299182628648</c:v>
                </c:pt>
                <c:pt idx="65">
                  <c:v>12.903072625295763</c:v>
                </c:pt>
                <c:pt idx="66">
                  <c:v>12.708880447107362</c:v>
                </c:pt>
                <c:pt idx="67">
                  <c:v>12.514724262175822</c:v>
                </c:pt>
                <c:pt idx="68">
                  <c:v>12.320605755347799</c:v>
                </c:pt>
                <c:pt idx="69">
                  <c:v>12.126526685429532</c:v>
                </c:pt>
                <c:pt idx="70">
                  <c:v>11.932488888545594</c:v>
                </c:pt>
                <c:pt idx="71">
                  <c:v>11.738494281636758</c:v>
                </c:pt>
                <c:pt idx="72">
                  <c:v>11.544544866100818</c:v>
                </c:pt>
                <c:pt idx="73">
                  <c:v>11.350642731583651</c:v>
                </c:pt>
                <c:pt idx="74">
                  <c:v>11.1567900599258</c:v>
                </c:pt>
                <c:pt idx="75">
                  <c:v>10.962989129269642</c:v>
                </c:pt>
                <c:pt idx="76">
                  <c:v>10.76924231833431</c:v>
                </c:pt>
                <c:pt idx="77">
                  <c:v>10.575552110863615</c:v>
                </c:pt>
                <c:pt idx="78">
                  <c:v>10.381921100254122</c:v>
                </c:pt>
                <c:pt idx="79">
                  <c:v>10.188351994369116</c:v>
                </c:pt>
                <c:pt idx="80">
                  <c:v>9.9948476205449168</c:v>
                </c:pt>
                <c:pt idx="81">
                  <c:v>9.8014109307967185</c:v>
                </c:pt>
                <c:pt idx="82">
                  <c:v>9.6080450072305457</c:v>
                </c:pt>
                <c:pt idx="83">
                  <c:v>9.4147530676676396</c:v>
                </c:pt>
                <c:pt idx="84">
                  <c:v>9.221538471488687</c:v>
                </c:pt>
                <c:pt idx="85">
                  <c:v>9.0284047257042541</c:v>
                </c:pt>
                <c:pt idx="86">
                  <c:v>8.8353554912592216</c:v>
                </c:pt>
                <c:pt idx="87">
                  <c:v>8.6423945895773926</c:v>
                </c:pt>
                <c:pt idx="88">
                  <c:v>8.4495260093529119</c:v>
                </c:pt>
                <c:pt idx="89">
                  <c:v>8.2567539135968619</c:v>
                </c:pt>
                <c:pt idx="90">
                  <c:v>8.0640826469442004</c:v>
                </c:pt>
                <c:pt idx="91">
                  <c:v>7.8715167432282076</c:v>
                </c:pt>
                <c:pt idx="92">
                  <c:v>7.6790609333297546</c:v>
                </c:pt>
                <c:pt idx="93">
                  <c:v>7.486720153306667</c:v>
                </c:pt>
                <c:pt idx="94">
                  <c:v>7.2944995528093894</c:v>
                </c:pt>
                <c:pt idx="95">
                  <c:v>7.102404503789554</c:v>
                </c:pt>
                <c:pt idx="96">
                  <c:v>6.9104406095060238</c:v>
                </c:pt>
                <c:pt idx="97">
                  <c:v>6.7186137138334381</c:v>
                </c:pt>
                <c:pt idx="98">
                  <c:v>6.5269299108783621</c:v>
                </c:pt>
                <c:pt idx="99">
                  <c:v>6.3353955549062366</c:v>
                </c:pt>
                <c:pt idx="100">
                  <c:v>6.1440172705827525</c:v>
                </c:pt>
                <c:pt idx="101">
                  <c:v>5.9528019635322202</c:v>
                </c:pt>
                <c:pt idx="102">
                  <c:v>5.7617568312145568</c:v>
                </c:pt>
                <c:pt idx="103">
                  <c:v>5.5708893741211671</c:v>
                </c:pt>
                <c:pt idx="104">
                  <c:v>5.3802074072899417</c:v>
                </c:pt>
                <c:pt idx="105">
                  <c:v>5.1897190721378506</c:v>
                </c:pt>
                <c:pt idx="106">
                  <c:v>4.9994328486074826</c:v>
                </c:pt>
                <c:pt idx="107">
                  <c:v>4.8093575676241009</c:v>
                </c:pt>
                <c:pt idx="108">
                  <c:v>4.6195024238566234</c:v>
                </c:pt>
                <c:pt idx="109">
                  <c:v>4.4298769887751606</c:v>
                </c:pt>
                <c:pt idx="110">
                  <c:v>4.2404912239949812</c:v>
                </c:pt>
                <c:pt idx="111">
                  <c:v>4.051355494895426</c:v>
                </c:pt>
                <c:pt idx="112">
                  <c:v>3.8624805844995844</c:v>
                </c:pt>
                <c:pt idx="113">
                  <c:v>3.6738777075973217</c:v>
                </c:pt>
                <c:pt idx="114">
                  <c:v>3.485558525093067</c:v>
                </c:pt>
                <c:pt idx="115">
                  <c:v>3.2975351585551471</c:v>
                </c:pt>
                <c:pt idx="116">
                  <c:v>3.1098202049413439</c:v>
                </c:pt>
                <c:pt idx="117">
                  <c:v>2.9224267514712796</c:v>
                </c:pt>
                <c:pt idx="118">
                  <c:v>2.7353683906125488</c:v>
                </c:pt>
                <c:pt idx="119">
                  <c:v>2.5486592351443509</c:v>
                </c:pt>
                <c:pt idx="120">
                  <c:v>2.362313933256714</c:v>
                </c:pt>
                <c:pt idx="121">
                  <c:v>2.176347683639734</c:v>
                </c:pt>
                <c:pt idx="122">
                  <c:v>1.990776250513183</c:v>
                </c:pt>
                <c:pt idx="123">
                  <c:v>1.80561597853955</c:v>
                </c:pt>
                <c:pt idx="124">
                  <c:v>1.620883807561488</c:v>
                </c:pt>
                <c:pt idx="125">
                  <c:v>1.4365972870952384</c:v>
                </c:pt>
                <c:pt idx="126">
                  <c:v>1.2527745905093504</c:v>
                </c:pt>
                <c:pt idx="127">
                  <c:v>1.0694345288095306</c:v>
                </c:pt>
                <c:pt idx="128">
                  <c:v>0.88659656394548991</c:v>
                </c:pt>
                <c:pt idx="129">
                  <c:v>0.70428082154763838</c:v>
                </c:pt>
                <c:pt idx="130">
                  <c:v>0.52250810299741834</c:v>
                </c:pt>
                <c:pt idx="131">
                  <c:v>0.34129989672530436</c:v>
                </c:pt>
                <c:pt idx="132">
                  <c:v>0.16067838862554679</c:v>
                </c:pt>
                <c:pt idx="133">
                  <c:v>-1.9333528530025294E-2</c:v>
                </c:pt>
                <c:pt idx="134">
                  <c:v>-0.1987122468059267</c:v>
                </c:pt>
                <c:pt idx="135">
                  <c:v>-0.37743343607495461</c:v>
                </c:pt>
                <c:pt idx="136">
                  <c:v>-0.55547203838775994</c:v>
                </c:pt>
                <c:pt idx="137">
                  <c:v>-0.73280226388496494</c:v>
                </c:pt>
                <c:pt idx="138">
                  <c:v>-0.90939758840218143</c:v>
                </c:pt>
                <c:pt idx="139">
                  <c:v>-1.0852307529253833</c:v>
                </c:pt>
                <c:pt idx="140">
                  <c:v>-1.2602737650572999</c:v>
                </c:pt>
                <c:pt idx="141">
                  <c:v>-1.4344979026613067</c:v>
                </c:pt>
                <c:pt idx="142">
                  <c:v>-1.6078737198516293</c:v>
                </c:pt>
                <c:pt idx="143">
                  <c:v>-1.7803710555020249</c:v>
                </c:pt>
                <c:pt idx="144">
                  <c:v>-1.9519590444457189</c:v>
                </c:pt>
                <c:pt idx="145">
                  <c:v>-2.1226061315401497</c:v>
                </c:pt>
                <c:pt idx="146">
                  <c:v>-2.2922800887682397</c:v>
                </c:pt>
                <c:pt idx="147">
                  <c:v>-2.4609480355451265</c:v>
                </c:pt>
                <c:pt idx="148">
                  <c:v>-2.6285764623946029</c:v>
                </c:pt>
                <c:pt idx="149">
                  <c:v>-2.7951312581527139</c:v>
                </c:pt>
                <c:pt idx="150">
                  <c:v>-2.9605777408474427</c:v>
                </c:pt>
                <c:pt idx="151">
                  <c:v>-3.1248806923918595</c:v>
                </c:pt>
                <c:pt idx="152">
                  <c:v>-3.2880043972155262</c:v>
                </c:pt>
                <c:pt idx="153">
                  <c:v>-3.4499126849421762</c:v>
                </c:pt>
                <c:pt idx="154">
                  <c:v>-3.6105689772037977</c:v>
                </c:pt>
                <c:pt idx="155">
                  <c:v>-3.7699363386598419</c:v>
                </c:pt>
                <c:pt idx="156">
                  <c:v>-3.9279775322659582</c:v>
                </c:pt>
                <c:pt idx="157">
                  <c:v>-4.0846550788110489</c:v>
                </c:pt>
                <c:pt idx="158">
                  <c:v>-4.2399313207104932</c:v>
                </c:pt>
                <c:pt idx="159">
                  <c:v>-4.3937684900135014</c:v>
                </c:pt>
                <c:pt idx="160">
                  <c:v>-4.5461287805455717</c:v>
                </c:pt>
                <c:pt idx="161">
                  <c:v>-4.6969744240728852</c:v>
                </c:pt>
                <c:pt idx="162">
                  <c:v>-4.846267770334566</c:v>
                </c:pt>
                <c:pt idx="163">
                  <c:v>-4.9939713707497182</c:v>
                </c:pt>
                <c:pt idx="164">
                  <c:v>-5.140048065563291</c:v>
                </c:pt>
                <c:pt idx="165">
                  <c:v>-5.2844610741523557</c:v>
                </c:pt>
                <c:pt idx="166">
                  <c:v>-5.4271740881708617</c:v>
                </c:pt>
                <c:pt idx="167">
                  <c:v>-5.5681513671681158</c:v>
                </c:pt>
                <c:pt idx="168">
                  <c:v>-5.7073578362735242</c:v>
                </c:pt>
                <c:pt idx="169">
                  <c:v>-5.8447591854981411</c:v>
                </c:pt>
                <c:pt idx="170">
                  <c:v>-5.9803219701656127</c:v>
                </c:pt>
                <c:pt idx="171">
                  <c:v>-6.1140137119474245</c:v>
                </c:pt>
                <c:pt idx="172">
                  <c:v>-6.2458029999448765</c:v>
                </c:pt>
                <c:pt idx="173">
                  <c:v>-6.3756595912305141</c:v>
                </c:pt>
                <c:pt idx="174">
                  <c:v>-6.503554510237441</c:v>
                </c:pt>
                <c:pt idx="175">
                  <c:v>-6.6294601463672542</c:v>
                </c:pt>
                <c:pt idx="176">
                  <c:v>-6.7533503491718827</c:v>
                </c:pt>
                <c:pt idx="177">
                  <c:v>-6.875200520460881</c:v>
                </c:pt>
                <c:pt idx="178">
                  <c:v>-6.9949877026841136</c:v>
                </c:pt>
                <c:pt idx="179">
                  <c:v>-7.1126906629493325</c:v>
                </c:pt>
                <c:pt idx="180">
                  <c:v>-7.2282899720487803</c:v>
                </c:pt>
                <c:pt idx="181">
                  <c:v>-7.3417680778918983</c:v>
                </c:pt>
                <c:pt idx="182">
                  <c:v>-7.4531093727717979</c:v>
                </c:pt>
                <c:pt idx="183">
                  <c:v>-7.5623002539324453</c:v>
                </c:pt>
                <c:pt idx="184">
                  <c:v>-7.6693291769473761</c:v>
                </c:pt>
                <c:pt idx="185">
                  <c:v>-7.7741867014730301</c:v>
                </c:pt>
                <c:pt idx="186">
                  <c:v>-7.876865528998092</c:v>
                </c:pt>
                <c:pt idx="187">
                  <c:v>-7.9773605322738614</c:v>
                </c:pt>
                <c:pt idx="188">
                  <c:v>-8.0756687761769701</c:v>
                </c:pt>
                <c:pt idx="189">
                  <c:v>-8.1717895298292582</c:v>
                </c:pt>
                <c:pt idx="190">
                  <c:v>-8.2657242698714644</c:v>
                </c:pt>
                <c:pt idx="191">
                  <c:v>-8.3574766748652163</c:v>
                </c:pt>
                <c:pt idx="192">
                  <c:v>-8.4470526108709585</c:v>
                </c:pt>
                <c:pt idx="193">
                  <c:v>-8.5344601083270373</c:v>
                </c:pt>
                <c:pt idx="194">
                  <c:v>-8.6197093304273249</c:v>
                </c:pt>
                <c:pt idx="195">
                  <c:v>-8.7028125332646091</c:v>
                </c:pt>
                <c:pt idx="196">
                  <c:v>-8.7837840180754299</c:v>
                </c:pt>
                <c:pt idx="197">
                  <c:v>-8.8626400759823625</c:v>
                </c:pt>
                <c:pt idx="198">
                  <c:v>-8.939398925686552</c:v>
                </c:pt>
                <c:pt idx="199">
                  <c:v>-9.0140806446130828</c:v>
                </c:pt>
                <c:pt idx="200">
                  <c:v>-9.0867070940560879</c:v>
                </c:pt>
                <c:pt idx="201">
                  <c:v>-9.1573018389047451</c:v>
                </c:pt>
                <c:pt idx="202">
                  <c:v>-9.2258900625613389</c:v>
                </c:pt>
                <c:pt idx="203">
                  <c:v>-9.292498477682722</c:v>
                </c:pt>
                <c:pt idx="204">
                  <c:v>-9.3571552333902854</c:v>
                </c:pt>
                <c:pt idx="205">
                  <c:v>-9.4198898195981116</c:v>
                </c:pt>
                <c:pt idx="206">
                  <c:v>-9.4807329691091908</c:v>
                </c:pt>
                <c:pt idx="207">
                  <c:v>-9.5397165581204124</c:v>
                </c:pt>
                <c:pt idx="208">
                  <c:v>-9.59687350576176</c:v>
                </c:pt>
                <c:pt idx="209">
                  <c:v>-9.6522376732755379</c:v>
                </c:pt>
                <c:pt idx="210">
                  <c:v>-9.7058437634157553</c:v>
                </c:pt>
                <c:pt idx="211">
                  <c:v>-9.757727220616383</c:v>
                </c:pt>
                <c:pt idx="212">
                  <c:v>-9.8079241324435227</c:v>
                </c:pt>
                <c:pt idx="213">
                  <c:v>-9.8564711328103431</c:v>
                </c:pt>
                <c:pt idx="214">
                  <c:v>-9.9034053073908641</c:v>
                </c:pt>
                <c:pt idx="215">
                  <c:v>-9.9487641016303332</c:v>
                </c:pt>
                <c:pt idx="216">
                  <c:v>-9.99258523170462</c:v>
                </c:pt>
                <c:pt idx="217">
                  <c:v>-10.034906598739406</c:v>
                </c:pt>
                <c:pt idx="218">
                  <c:v>-10.075766206554952</c:v>
                </c:pt>
                <c:pt idx="219">
                  <c:v>-10.115202083162217</c:v>
                </c:pt>
                <c:pt idx="220">
                  <c:v>-10.153252206191832</c:v>
                </c:pt>
                <c:pt idx="221">
                  <c:v>-10.189954432399457</c:v>
                </c:pt>
                <c:pt idx="222">
                  <c:v>-10.225346431351348</c:v>
                </c:pt>
                <c:pt idx="223">
                  <c:v>-10.259465623359409</c:v>
                </c:pt>
                <c:pt idx="224">
                  <c:v>-10.292349121699957</c:v>
                </c:pt>
                <c:pt idx="225">
                  <c:v>-10.324033679119546</c:v>
                </c:pt>
                <c:pt idx="226">
                  <c:v>-10.354555638603831</c:v>
                </c:pt>
                <c:pt idx="227">
                  <c:v>-10.383950888357536</c:v>
                </c:pt>
                <c:pt idx="228">
                  <c:v>-10.412254820922058</c:v>
                </c:pt>
                <c:pt idx="229">
                  <c:v>-10.439502296337267</c:v>
                </c:pt>
                <c:pt idx="230">
                  <c:v>-10.46572760923363</c:v>
                </c:pt>
                <c:pt idx="231">
                  <c:v>-10.490964459729547</c:v>
                </c:pt>
                <c:pt idx="232">
                  <c:v>-10.515245927992618</c:v>
                </c:pt>
                <c:pt idx="233">
                  <c:v>-10.53860445231582</c:v>
                </c:pt>
                <c:pt idx="234">
                  <c:v>-10.561071810549265</c:v>
                </c:pt>
                <c:pt idx="235">
                  <c:v>-10.582679104725072</c:v>
                </c:pt>
                <c:pt idx="236">
                  <c:v>-10.603456748704838</c:v>
                </c:pt>
                <c:pt idx="237">
                  <c:v>-10.623434458680745</c:v>
                </c:pt>
                <c:pt idx="238">
                  <c:v>-10.642641246357789</c:v>
                </c:pt>
                <c:pt idx="239">
                  <c:v>-10.661105414646332</c:v>
                </c:pt>
                <c:pt idx="240">
                  <c:v>-10.678854555695384</c:v>
                </c:pt>
                <c:pt idx="241">
                  <c:v>-10.695915551100869</c:v>
                </c:pt>
                <c:pt idx="242">
                  <c:v>-10.71231457412523</c:v>
                </c:pt>
                <c:pt idx="243">
                  <c:v>-10.728077093771304</c:v>
                </c:pt>
                <c:pt idx="244">
                  <c:v>-10.743227880557196</c:v>
                </c:pt>
                <c:pt idx="245">
                  <c:v>-10.757791013844836</c:v>
                </c:pt>
                <c:pt idx="246">
                  <c:v>-10.771789890582497</c:v>
                </c:pt>
                <c:pt idx="247">
                  <c:v>-10.785247235325539</c:v>
                </c:pt>
                <c:pt idx="248">
                  <c:v>-10.798185111409147</c:v>
                </c:pt>
                <c:pt idx="249">
                  <c:v>-10.810624933151985</c:v>
                </c:pt>
                <c:pt idx="250">
                  <c:v>-10.822587478976942</c:v>
                </c:pt>
                <c:pt idx="251">
                  <c:v>-10.834092905343004</c:v>
                </c:pt>
                <c:pt idx="252">
                  <c:v>-10.845160761388238</c:v>
                </c:pt>
                <c:pt idx="253">
                  <c:v>-10.855810004190873</c:v>
                </c:pt>
                <c:pt idx="254">
                  <c:v>-10.86605901456355</c:v>
                </c:pt>
                <c:pt idx="255">
                  <c:v>-10.875925613299607</c:v>
                </c:pt>
                <c:pt idx="256">
                  <c:v>-10.88542707779993</c:v>
                </c:pt>
                <c:pt idx="257">
                  <c:v>-10.894580159012563</c:v>
                </c:pt>
                <c:pt idx="258">
                  <c:v>-10.903401098623757</c:v>
                </c:pt>
                <c:pt idx="259">
                  <c:v>-10.911905646445813</c:v>
                </c:pt>
                <c:pt idx="260">
                  <c:v>-10.920109077951231</c:v>
                </c:pt>
                <c:pt idx="261">
                  <c:v>-10.928026211907977</c:v>
                </c:pt>
                <c:pt idx="262">
                  <c:v>-10.935671428076724</c:v>
                </c:pt>
                <c:pt idx="263">
                  <c:v>-10.943058684933538</c:v>
                </c:pt>
                <c:pt idx="264">
                  <c:v>-10.950201537387489</c:v>
                </c:pt>
                <c:pt idx="265">
                  <c:v>-10.957113154465732</c:v>
                </c:pt>
                <c:pt idx="266">
                  <c:v>-10.963806336943389</c:v>
                </c:pt>
                <c:pt idx="267">
                  <c:v>-10.970293534897612</c:v>
                </c:pt>
                <c:pt idx="268">
                  <c:v>-10.97658686516958</c:v>
                </c:pt>
                <c:pt idx="269">
                  <c:v>-10.982698128722017</c:v>
                </c:pt>
                <c:pt idx="270">
                  <c:v>-10.988638827880004</c:v>
                </c:pt>
                <c:pt idx="271">
                  <c:v>-10.994420183448799</c:v>
                </c:pt>
                <c:pt idx="272">
                  <c:v>-11.00005315170208</c:v>
                </c:pt>
                <c:pt idx="273">
                  <c:v>-11.005548441237798</c:v>
                </c:pt>
                <c:pt idx="274">
                  <c:v>-11.010916529701117</c:v>
                </c:pt>
                <c:pt idx="275">
                  <c:v>-11.016167680372863</c:v>
                </c:pt>
                <c:pt idx="276">
                  <c:v>-11.021311958629685</c:v>
                </c:pt>
                <c:pt idx="277">
                  <c:v>-11.026359248275284</c:v>
                </c:pt>
                <c:pt idx="278">
                  <c:v>-11.031319267752352</c:v>
                </c:pt>
                <c:pt idx="279">
                  <c:v>-11.036201586238183</c:v>
                </c:pt>
                <c:pt idx="280">
                  <c:v>-11.04101563963466</c:v>
                </c:pt>
                <c:pt idx="281">
                  <c:v>-11.045770746459056</c:v>
                </c:pt>
                <c:pt idx="282">
                  <c:v>-11.050476123646543</c:v>
                </c:pt>
                <c:pt idx="283">
                  <c:v>-11.055140902273912</c:v>
                </c:pt>
                <c:pt idx="284">
                  <c:v>-11.05977414321617</c:v>
                </c:pt>
                <c:pt idx="285">
                  <c:v>-11.064384852747391</c:v>
                </c:pt>
                <c:pt idx="286">
                  <c:v>-11.068981998096882</c:v>
                </c:pt>
                <c:pt idx="287">
                  <c:v>-11.073574522974086</c:v>
                </c:pt>
                <c:pt idx="288">
                  <c:v>-11.078171363074274</c:v>
                </c:pt>
                <c:pt idx="289">
                  <c:v>-11.082781461577646</c:v>
                </c:pt>
                <c:pt idx="290">
                  <c:v>-11.087413784654178</c:v>
                </c:pt>
                <c:pt idx="291">
                  <c:v>-11.092077336987892</c:v>
                </c:pt>
                <c:pt idx="292">
                  <c:v>-11.096781177332</c:v>
                </c:pt>
                <c:pt idx="293">
                  <c:v>-11.101534434107659</c:v>
                </c:pt>
                <c:pt idx="294">
                  <c:v>-11.106346321058695</c:v>
                </c:pt>
                <c:pt idx="295">
                  <c:v>-11.111226152972577</c:v>
                </c:pt>
                <c:pt idx="296">
                  <c:v>-11.116183361480463</c:v>
                </c:pt>
                <c:pt idx="297">
                  <c:v>-11.121227510944493</c:v>
                </c:pt>
                <c:pt idx="298">
                  <c:v>-11.126368314444379</c:v>
                </c:pt>
                <c:pt idx="299">
                  <c:v>-11.131615649869424</c:v>
                </c:pt>
                <c:pt idx="300">
                  <c:v>-11.136979576125745</c:v>
                </c:pt>
                <c:pt idx="301">
                  <c:v>-11.142470349464364</c:v>
                </c:pt>
                <c:pt idx="302">
                  <c:v>-11.148098439935897</c:v>
                </c:pt>
                <c:pt idx="303">
                  <c:v>-11.153874547975276</c:v>
                </c:pt>
                <c:pt idx="304">
                  <c:v>-11.159809621119617</c:v>
                </c:pt>
                <c:pt idx="305">
                  <c:v>-11.16591487085984</c:v>
                </c:pt>
                <c:pt idx="306">
                  <c:v>-11.172201789624301</c:v>
                </c:pt>
                <c:pt idx="307">
                  <c:v>-11.178682167892287</c:v>
                </c:pt>
                <c:pt idx="308">
                  <c:v>-11.185368111430797</c:v>
                </c:pt>
                <c:pt idx="309">
                  <c:v>-11.192272058648163</c:v>
                </c:pt>
                <c:pt idx="310">
                  <c:v>-11.199406798052545</c:v>
                </c:pt>
                <c:pt idx="311">
                  <c:v>-11.206785485803554</c:v>
                </c:pt>
                <c:pt idx="312">
                  <c:v>-11.214421663339596</c:v>
                </c:pt>
                <c:pt idx="313">
                  <c:v>-11.222329275061009</c:v>
                </c:pt>
                <c:pt idx="314">
                  <c:v>-11.230522686047804</c:v>
                </c:pt>
                <c:pt idx="315">
                  <c:v>-11.239016699782303</c:v>
                </c:pt>
                <c:pt idx="316">
                  <c:v>-11.247826575847387</c:v>
                </c:pt>
                <c:pt idx="317">
                  <c:v>-11.25696804756541</c:v>
                </c:pt>
                <c:pt idx="318">
                  <c:v>-11.26645733953578</c:v>
                </c:pt>
                <c:pt idx="319">
                  <c:v>-11.276311185028675</c:v>
                </c:pt>
                <c:pt idx="320">
                  <c:v>-11.286546843184313</c:v>
                </c:pt>
                <c:pt idx="321">
                  <c:v>-11.297182115961597</c:v>
                </c:pt>
                <c:pt idx="322">
                  <c:v>-11.308235364776603</c:v>
                </c:pt>
                <c:pt idx="323">
                  <c:v>-11.319725526763481</c:v>
                </c:pt>
                <c:pt idx="324">
                  <c:v>-11.331672130585291</c:v>
                </c:pt>
                <c:pt idx="325">
                  <c:v>-11.344095311714533</c:v>
                </c:pt>
                <c:pt idx="326">
                  <c:v>-11.357015827098877</c:v>
                </c:pt>
                <c:pt idx="327">
                  <c:v>-11.370455069119087</c:v>
                </c:pt>
                <c:pt idx="328">
                  <c:v>-11.384435078738802</c:v>
                </c:pt>
                <c:pt idx="329">
                  <c:v>-11.398978557741779</c:v>
                </c:pt>
                <c:pt idx="330">
                  <c:v>-11.414108879941516</c:v>
                </c:pt>
                <c:pt idx="331">
                  <c:v>-11.429850101243753</c:v>
                </c:pt>
                <c:pt idx="332">
                  <c:v>-11.446226968434534</c:v>
                </c:pt>
                <c:pt idx="333">
                  <c:v>-11.463264926559475</c:v>
                </c:pt>
                <c:pt idx="334">
                  <c:v>-11.480990124754166</c:v>
                </c:pt>
                <c:pt idx="335">
                  <c:v>-11.499429420378622</c:v>
                </c:pt>
                <c:pt idx="336">
                  <c:v>-11.518610381302954</c:v>
                </c:pt>
                <c:pt idx="337">
                  <c:v>-11.538561286186741</c:v>
                </c:pt>
                <c:pt idx="338">
                  <c:v>-11.55931112258963</c:v>
                </c:pt>
                <c:pt idx="339">
                  <c:v>-11.580889582746618</c:v>
                </c:pt>
                <c:pt idx="340">
                  <c:v>-11.603327056838729</c:v>
                </c:pt>
                <c:pt idx="341">
                  <c:v>-11.626654623588502</c:v>
                </c:pt>
                <c:pt idx="342">
                  <c:v>-11.65090403800836</c:v>
                </c:pt>
                <c:pt idx="343">
                  <c:v>-11.676107716130755</c:v>
                </c:pt>
                <c:pt idx="344">
                  <c:v>-11.702298716552338</c:v>
                </c:pt>
                <c:pt idx="345">
                  <c:v>-11.729510718627367</c:v>
                </c:pt>
                <c:pt idx="346">
                  <c:v>-11.757777997151322</c:v>
                </c:pt>
                <c:pt idx="347">
                  <c:v>-11.787135393385997</c:v>
                </c:pt>
                <c:pt idx="348">
                  <c:v>-11.817618282284164</c:v>
                </c:pt>
                <c:pt idx="349">
                  <c:v>-11.849262535786877</c:v>
                </c:pt>
                <c:pt idx="350">
                  <c:v>-11.882104482081544</c:v>
                </c:pt>
                <c:pt idx="351">
                  <c:v>-11.916180860724428</c:v>
                </c:pt>
                <c:pt idx="352">
                  <c:v>-11.951528773554234</c:v>
                </c:pt>
                <c:pt idx="353">
                  <c:v>-11.988185631344436</c:v>
                </c:pt>
                <c:pt idx="354">
                  <c:v>-12.026189096168579</c:v>
                </c:pt>
                <c:pt idx="355">
                  <c:v>-12.065577019481008</c:v>
                </c:pt>
                <c:pt idx="356">
                  <c:v>-12.106387375947351</c:v>
                </c:pt>
                <c:pt idx="357">
                  <c:v>-12.148658193090576</c:v>
                </c:pt>
                <c:pt idx="358">
                  <c:v>-12.192427476857597</c:v>
                </c:pt>
                <c:pt idx="359">
                  <c:v>-12.237733133246575</c:v>
                </c:pt>
                <c:pt idx="360">
                  <c:v>-12.284612886176969</c:v>
                </c:pt>
                <c:pt idx="361">
                  <c:v>-12.333104191824663</c:v>
                </c:pt>
                <c:pt idx="362">
                  <c:v>-12.383244149688073</c:v>
                </c:pt>
                <c:pt idx="363">
                  <c:v>-12.435069410693613</c:v>
                </c:pt>
                <c:pt idx="364">
                  <c:v>-12.488616082692287</c:v>
                </c:pt>
                <c:pt idx="365">
                  <c:v>-12.543919633742197</c:v>
                </c:pt>
                <c:pt idx="366">
                  <c:v>-12.601014793614159</c:v>
                </c:pt>
                <c:pt idx="367">
                  <c:v>-12.65993545399512</c:v>
                </c:pt>
                <c:pt idx="368">
                  <c:v>-12.720714567904787</c:v>
                </c:pt>
                <c:pt idx="369">
                  <c:v>-12.783384048873627</c:v>
                </c:pt>
                <c:pt idx="370">
                  <c:v>-12.847974670459676</c:v>
                </c:pt>
                <c:pt idx="371">
                  <c:v>-12.914515966710319</c:v>
                </c:pt>
                <c:pt idx="372">
                  <c:v>-12.983036134193854</c:v>
                </c:pt>
                <c:pt idx="373">
                  <c:v>-13.053561936241158</c:v>
                </c:pt>
                <c:pt idx="374">
                  <c:v>-13.126118610045832</c:v>
                </c:pt>
                <c:pt idx="375">
                  <c:v>-13.20072977727518</c:v>
                </c:pt>
                <c:pt idx="376">
                  <c:v>-13.277417358834709</c:v>
                </c:pt>
                <c:pt idx="377">
                  <c:v>-13.356201494419977</c:v>
                </c:pt>
                <c:pt idx="378">
                  <c:v>-13.437100467466902</c:v>
                </c:pt>
                <c:pt idx="379">
                  <c:v>-13.520130636083096</c:v>
                </c:pt>
                <c:pt idx="380">
                  <c:v>-13.605306370508245</c:v>
                </c:pt>
                <c:pt idx="381">
                  <c:v>-13.692639997607994</c:v>
                </c:pt>
                <c:pt idx="382">
                  <c:v>-13.782141752855557</c:v>
                </c:pt>
                <c:pt idx="383">
                  <c:v>-13.873819740199913</c:v>
                </c:pt>
                <c:pt idx="384">
                  <c:v>-13.967679900157171</c:v>
                </c:pt>
                <c:pt idx="385">
                  <c:v>-14.063725986395927</c:v>
                </c:pt>
                <c:pt idx="386">
                  <c:v>-14.16195955101575</c:v>
                </c:pt>
                <c:pt idx="387">
                  <c:v>-14.262379938646369</c:v>
                </c:pt>
                <c:pt idx="388">
                  <c:v>-14.364984289419077</c:v>
                </c:pt>
                <c:pt idx="389">
                  <c:v>-14.469767550785226</c:v>
                </c:pt>
                <c:pt idx="390">
                  <c:v>-14.576722498083461</c:v>
                </c:pt>
                <c:pt idx="391">
                  <c:v>-14.685839763681191</c:v>
                </c:pt>
                <c:pt idx="392">
                  <c:v>-14.797107874444624</c:v>
                </c:pt>
                <c:pt idx="393">
                  <c:v>-14.910513297225201</c:v>
                </c:pt>
                <c:pt idx="394">
                  <c:v>-15.02604049198467</c:v>
                </c:pt>
                <c:pt idx="395">
                  <c:v>-15.143671972124697</c:v>
                </c:pt>
                <c:pt idx="396">
                  <c:v>-15.263388371533818</c:v>
                </c:pt>
                <c:pt idx="397">
                  <c:v>-15.385168517818286</c:v>
                </c:pt>
                <c:pt idx="398">
                  <c:v>-15.50898951114868</c:v>
                </c:pt>
                <c:pt idx="399">
                  <c:v>-15.634826808116184</c:v>
                </c:pt>
                <c:pt idx="400">
                  <c:v>-15.762654309978322</c:v>
                </c:pt>
                <c:pt idx="401">
                  <c:v>-15.892444454649421</c:v>
                </c:pt>
                <c:pt idx="402">
                  <c:v>-16.024168311788657</c:v>
                </c:pt>
                <c:pt idx="403">
                  <c:v>-16.157795680335859</c:v>
                </c:pt>
                <c:pt idx="404">
                  <c:v>-16.293295187851417</c:v>
                </c:pt>
                <c:pt idx="405">
                  <c:v>-16.430634391028644</c:v>
                </c:pt>
                <c:pt idx="406">
                  <c:v>-16.569779876767431</c:v>
                </c:pt>
                <c:pt idx="407">
                  <c:v>-16.710697363221428</c:v>
                </c:pt>
                <c:pt idx="408">
                  <c:v>-16.853351800258586</c:v>
                </c:pt>
                <c:pt idx="409">
                  <c:v>-16.99770746881028</c:v>
                </c:pt>
                <c:pt idx="410">
                  <c:v>-17.143728078619272</c:v>
                </c:pt>
                <c:pt idx="411">
                  <c:v>-17.291376863936353</c:v>
                </c:pt>
                <c:pt idx="412">
                  <c:v>-17.440616676756537</c:v>
                </c:pt>
                <c:pt idx="413">
                  <c:v>-17.591410077228435</c:v>
                </c:pt>
                <c:pt idx="414">
                  <c:v>-17.743719420913685</c:v>
                </c:pt>
                <c:pt idx="415">
                  <c:v>-17.897506942615983</c:v>
                </c:pt>
                <c:pt idx="416">
                  <c:v>-18.052734836543426</c:v>
                </c:pt>
                <c:pt idx="417">
                  <c:v>-18.209365332607749</c:v>
                </c:pt>
                <c:pt idx="418">
                  <c:v>-18.367360768708338</c:v>
                </c:pt>
                <c:pt idx="419">
                  <c:v>-18.52668365888189</c:v>
                </c:pt>
                <c:pt idx="420">
                  <c:v>-18.687296757241938</c:v>
                </c:pt>
                <c:pt idx="421">
                  <c:v>-18.849163117662581</c:v>
                </c:pt>
                <c:pt idx="422">
                  <c:v>-19.012246149193363</c:v>
                </c:pt>
                <c:pt idx="423">
                  <c:v>-19.176509667224629</c:v>
                </c:pt>
                <c:pt idx="424">
                  <c:v>-19.341917940444887</c:v>
                </c:pt>
                <c:pt idx="425">
                  <c:v>-19.508435733659734</c:v>
                </c:pt>
                <c:pt idx="426">
                  <c:v>-19.676028346560294</c:v>
                </c:pt>
                <c:pt idx="427">
                  <c:v>-19.844661648550918</c:v>
                </c:pt>
                <c:pt idx="428">
                  <c:v>-20.014302109757722</c:v>
                </c:pt>
                <c:pt idx="429">
                  <c:v>-20.184916828356407</c:v>
                </c:pt>
                <c:pt idx="430">
                  <c:v>-20.356473554368506</c:v>
                </c:pt>
                <c:pt idx="431">
                  <c:v>-20.528940710081464</c:v>
                </c:pt>
                <c:pt idx="432">
                  <c:v>-20.702287407258456</c:v>
                </c:pt>
                <c:pt idx="433">
                  <c:v>-20.876483461305174</c:v>
                </c:pt>
                <c:pt idx="434">
                  <c:v>-21.05149940256662</c:v>
                </c:pt>
                <c:pt idx="435">
                  <c:v>-21.227306484926434</c:v>
                </c:pt>
                <c:pt idx="436">
                  <c:v>-21.403876691882072</c:v>
                </c:pt>
                <c:pt idx="437">
                  <c:v>-21.581182740267792</c:v>
                </c:pt>
                <c:pt idx="438">
                  <c:v>-21.759198081794615</c:v>
                </c:pt>
                <c:pt idx="439">
                  <c:v>-21.937896902573438</c:v>
                </c:pt>
                <c:pt idx="440">
                  <c:v>-22.117254120783368</c:v>
                </c:pt>
                <c:pt idx="441">
                  <c:v>-22.297245382640355</c:v>
                </c:pt>
                <c:pt idx="442">
                  <c:v>-22.477847056820206</c:v>
                </c:pt>
                <c:pt idx="443">
                  <c:v>-22.65903622747782</c:v>
                </c:pt>
                <c:pt idx="444">
                  <c:v>-22.840790686004333</c:v>
                </c:pt>
                <c:pt idx="445">
                  <c:v>-23.023088921652505</c:v>
                </c:pt>
                <c:pt idx="446">
                  <c:v>-23.205910111156946</c:v>
                </c:pt>
                <c:pt idx="447">
                  <c:v>-23.389234107466844</c:v>
                </c:pt>
                <c:pt idx="448">
                  <c:v>-23.573041427703899</c:v>
                </c:pt>
                <c:pt idx="449">
                  <c:v>-23.757313240449008</c:v>
                </c:pt>
                <c:pt idx="450">
                  <c:v>-23.94203135245737</c:v>
                </c:pt>
                <c:pt idx="451">
                  <c:v>-24.127178194891208</c:v>
                </c:pt>
                <c:pt idx="452">
                  <c:v>-24.312736809157549</c:v>
                </c:pt>
                <c:pt idx="453">
                  <c:v>-24.49869083242708</c:v>
                </c:pt>
                <c:pt idx="454">
                  <c:v>-24.68502448290868</c:v>
                </c:pt>
                <c:pt idx="455">
                  <c:v>-24.871722544944777</c:v>
                </c:pt>
                <c:pt idx="456">
                  <c:v>-25.058770353989274</c:v>
                </c:pt>
                <c:pt idx="457">
                  <c:v>-25.246153781524082</c:v>
                </c:pt>
                <c:pt idx="458">
                  <c:v>-25.433859219963519</c:v>
                </c:pt>
                <c:pt idx="459">
                  <c:v>-25.621873567594371</c:v>
                </c:pt>
                <c:pt idx="460">
                  <c:v>-25.810184213591011</c:v>
                </c:pt>
                <c:pt idx="461">
                  <c:v>-25.998779023144145</c:v>
                </c:pt>
                <c:pt idx="462">
                  <c:v>-26.187646322735134</c:v>
                </c:pt>
                <c:pt idx="463">
                  <c:v>-26.376774885586094</c:v>
                </c:pt>
                <c:pt idx="464">
                  <c:v>-26.56615391731092</c:v>
                </c:pt>
                <c:pt idx="465">
                  <c:v>-26.755773041790579</c:v>
                </c:pt>
                <c:pt idx="466">
                  <c:v>-26.945622287291343</c:v>
                </c:pt>
                <c:pt idx="467">
                  <c:v>-27.135692072843909</c:v>
                </c:pt>
                <c:pt idx="468">
                  <c:v>-27.325973194896985</c:v>
                </c:pt>
                <c:pt idx="469">
                  <c:v>-27.516456814257346</c:v>
                </c:pt>
                <c:pt idx="470">
                  <c:v>-27.707134443326762</c:v>
                </c:pt>
                <c:pt idx="471">
                  <c:v>-27.897997933642472</c:v>
                </c:pt>
                <c:pt idx="472">
                  <c:v>-28.089039463728781</c:v>
                </c:pt>
                <c:pt idx="473">
                  <c:v>-28.280251527262909</c:v>
                </c:pt>
                <c:pt idx="474">
                  <c:v>-28.471626921558464</c:v>
                </c:pt>
                <c:pt idx="475">
                  <c:v>-28.663158736368658</c:v>
                </c:pt>
                <c:pt idx="476">
                  <c:v>-28.854840343008902</c:v>
                </c:pt>
                <c:pt idx="477">
                  <c:v>-29.046665383798388</c:v>
                </c:pt>
                <c:pt idx="478">
                  <c:v>-29.238627761819508</c:v>
                </c:pt>
                <c:pt idx="479">
                  <c:v>-29.43072163099162</c:v>
                </c:pt>
                <c:pt idx="480">
                  <c:v>-29.622941386457633</c:v>
                </c:pt>
                <c:pt idx="481">
                  <c:v>-29.815281655277239</c:v>
                </c:pt>
                <c:pt idx="482">
                  <c:v>-30.007737287424607</c:v>
                </c:pt>
                <c:pt idx="483">
                  <c:v>-30.200303347084244</c:v>
                </c:pt>
                <c:pt idx="484">
                  <c:v>-30.392975104239838</c:v>
                </c:pt>
                <c:pt idx="485">
                  <c:v>-30.585748026551126</c:v>
                </c:pt>
                <c:pt idx="486">
                  <c:v>-30.778617771511406</c:v>
                </c:pt>
                <c:pt idx="487">
                  <c:v>-30.971580178880917</c:v>
                </c:pt>
                <c:pt idx="488">
                  <c:v>-31.164631263388603</c:v>
                </c:pt>
                <c:pt idx="489">
                  <c:v>-31.357767207695556</c:v>
                </c:pt>
                <c:pt idx="490">
                  <c:v>-31.550984355614354</c:v>
                </c:pt>
                <c:pt idx="491">
                  <c:v>-31.744279205576611</c:v>
                </c:pt>
                <c:pt idx="492">
                  <c:v>-31.937648404341804</c:v>
                </c:pt>
                <c:pt idx="493">
                  <c:v>-32.131088740941735</c:v>
                </c:pt>
                <c:pt idx="494">
                  <c:v>-32.324597140851033</c:v>
                </c:pt>
                <c:pt idx="495">
                  <c:v>-32.518170660380797</c:v>
                </c:pt>
                <c:pt idx="496">
                  <c:v>-32.711806481284512</c:v>
                </c:pt>
                <c:pt idx="497">
                  <c:v>-32.905501905572272</c:v>
                </c:pt>
                <c:pt idx="498">
                  <c:v>-33.099254350525896</c:v>
                </c:pt>
                <c:pt idx="499">
                  <c:v>-33.293061343906849</c:v>
                </c:pt>
                <c:pt idx="500">
                  <c:v>-33.486920519353667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192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-0.62937241584178372</c:v>
                </c:pt>
                <c:pt idx="1">
                  <c:v>-0.64366090047203239</c:v>
                </c:pt>
                <c:pt idx="2">
                  <c:v>-0.65827372436170928</c:v>
                </c:pt>
                <c:pt idx="3">
                  <c:v>-0.67321824641185324</c:v>
                </c:pt>
                <c:pt idx="4">
                  <c:v>-0.68850199225287967</c:v>
                </c:pt>
                <c:pt idx="5">
                  <c:v>-0.70413265800564573</c:v>
                </c:pt>
                <c:pt idx="6">
                  <c:v>-0.72011811412627247</c:v>
                </c:pt>
                <c:pt idx="7">
                  <c:v>-0.73646640933644913</c:v>
                </c:pt>
                <c:pt idx="8">
                  <c:v>-0.75318577464097591</c:v>
                </c:pt>
                <c:pt idx="9">
                  <c:v>-0.77028462743452775</c:v>
                </c:pt>
                <c:pt idx="10">
                  <c:v>-0.78777157569934264</c:v>
                </c:pt>
                <c:pt idx="11">
                  <c:v>-0.80565542229598175</c:v>
                </c:pt>
                <c:pt idx="12">
                  <c:v>-0.8239451693487535</c:v>
                </c:pt>
                <c:pt idx="13">
                  <c:v>-0.8426500227282413</c:v>
                </c:pt>
                <c:pt idx="14">
                  <c:v>-0.86177939663250136</c:v>
                </c:pt>
                <c:pt idx="15">
                  <c:v>-0.88134291826923328</c:v>
                </c:pt>
                <c:pt idx="16">
                  <c:v>-0.90135043264096204</c:v>
                </c:pt>
                <c:pt idx="17">
                  <c:v>-0.9218120074352758</c:v>
                </c:pt>
                <c:pt idx="18">
                  <c:v>-0.94273793802230432</c:v>
                </c:pt>
                <c:pt idx="19">
                  <c:v>-0.96413875256155379</c:v>
                </c:pt>
                <c:pt idx="20">
                  <c:v>-0.9860252172204268</c:v>
                </c:pt>
                <c:pt idx="21">
                  <c:v>-1.0084083415064597</c:v>
                </c:pt>
                <c:pt idx="22">
                  <c:v>-1.03129938371576</c:v>
                </c:pt>
                <c:pt idx="23">
                  <c:v>-1.0547098564997677</c:v>
                </c:pt>
                <c:pt idx="24">
                  <c:v>-1.0786515325526935</c:v>
                </c:pt>
                <c:pt idx="25">
                  <c:v>-1.1031364504220798</c:v>
                </c:pt>
                <c:pt idx="26">
                  <c:v>-1.1281769204446923</c:v>
                </c:pt>
                <c:pt idx="27">
                  <c:v>-1.1537855308103151</c:v>
                </c:pt>
                <c:pt idx="28">
                  <c:v>-1.1799751537556598</c:v>
                </c:pt>
                <c:pt idx="29">
                  <c:v>-1.2067589518910469</c:v>
                </c:pt>
                <c:pt idx="30">
                  <c:v>-1.2341503846621591</c:v>
                </c:pt>
                <c:pt idx="31">
                  <c:v>-1.262163214949475</c:v>
                </c:pt>
                <c:pt idx="32">
                  <c:v>-1.2908115158076479</c:v>
                </c:pt>
                <c:pt idx="33">
                  <c:v>-1.3201096773477121</c:v>
                </c:pt>
                <c:pt idx="34">
                  <c:v>-1.3500724137642137</c:v>
                </c:pt>
                <c:pt idx="35">
                  <c:v>-1.3807147705100606</c:v>
                </c:pt>
                <c:pt idx="36">
                  <c:v>-1.4120521316215977</c:v>
                </c:pt>
                <c:pt idx="37">
                  <c:v>-1.4441002271962888</c:v>
                </c:pt>
                <c:pt idx="38">
                  <c:v>-1.4768751410257097</c:v>
                </c:pt>
                <c:pt idx="39">
                  <c:v>-1.5103933183861571</c:v>
                </c:pt>
                <c:pt idx="40">
                  <c:v>-1.5446715739896582</c:v>
                </c:pt>
                <c:pt idx="41">
                  <c:v>-1.5797271000975581</c:v>
                </c:pt>
                <c:pt idx="42">
                  <c:v>-1.6155774747995024</c:v>
                </c:pt>
                <c:pt idx="43">
                  <c:v>-1.6522406704596748</c:v>
                </c:pt>
                <c:pt idx="44">
                  <c:v>-1.6897350623335743</c:v>
                </c:pt>
                <c:pt idx="45">
                  <c:v>-1.7280794373567039</c:v>
                </c:pt>
                <c:pt idx="46">
                  <c:v>-1.7672930031082279</c:v>
                </c:pt>
                <c:pt idx="47">
                  <c:v>-1.8073953969514656</c:v>
                </c:pt>
                <c:pt idx="48">
                  <c:v>-1.8484066953535709</c:v>
                </c:pt>
                <c:pt idx="49">
                  <c:v>-1.8903474233862738</c:v>
                </c:pt>
                <c:pt idx="50">
                  <c:v>-1.9332385644101715</c:v>
                </c:pt>
                <c:pt idx="51">
                  <c:v>-1.9771015699437555</c:v>
                </c:pt>
                <c:pt idx="52">
                  <c:v>-2.0219583697198624</c:v>
                </c:pt>
                <c:pt idx="53">
                  <c:v>-2.0678313819304788</c:v>
                </c:pt>
                <c:pt idx="54">
                  <c:v>-2.1147435236619136</c:v>
                </c:pt>
                <c:pt idx="55">
                  <c:v>-2.1627182215215037</c:v>
                </c:pt>
                <c:pt idx="56">
                  <c:v>-2.2117794224572105</c:v>
                </c:pt>
                <c:pt idx="57">
                  <c:v>-2.261951604771133</c:v>
                </c:pt>
                <c:pt idx="58">
                  <c:v>-2.3132597893277267</c:v>
                </c:pt>
                <c:pt idx="59">
                  <c:v>-2.3657295509574454</c:v>
                </c:pt>
                <c:pt idx="60">
                  <c:v>-2.4193870300559985</c:v>
                </c:pt>
                <c:pt idx="61">
                  <c:v>-2.4742589443797063</c:v>
                </c:pt>
                <c:pt idx="62">
                  <c:v>-2.5303726010362575</c:v>
                </c:pt>
                <c:pt idx="63">
                  <c:v>-2.5877559086708453</c:v>
                </c:pt>
                <c:pt idx="64">
                  <c:v>-2.6464373898466316</c:v>
                </c:pt>
                <c:pt idx="65">
                  <c:v>-2.7064461936181576</c:v>
                </c:pt>
                <c:pt idx="66">
                  <c:v>-2.7678121082965266</c:v>
                </c:pt>
                <c:pt idx="67">
                  <c:v>-2.8305655744037668</c:v>
                </c:pt>
                <c:pt idx="68">
                  <c:v>-2.8947376978143189</c:v>
                </c:pt>
                <c:pt idx="69">
                  <c:v>-2.9603602630801054</c:v>
                </c:pt>
                <c:pt idx="70">
                  <c:v>-3.0274657469361048</c:v>
                </c:pt>
                <c:pt idx="71">
                  <c:v>-3.0960873319815834</c:v>
                </c:pt>
                <c:pt idx="72">
                  <c:v>-3.1662589205327794</c:v>
                </c:pt>
                <c:pt idx="73">
                  <c:v>-3.2380151486408564</c:v>
                </c:pt>
                <c:pt idx="74">
                  <c:v>-3.3113914002691236</c:v>
                </c:pt>
                <c:pt idx="75">
                  <c:v>-3.3864238216227034</c:v>
                </c:pt>
                <c:pt idx="76">
                  <c:v>-3.463149335621488</c:v>
                </c:pt>
                <c:pt idx="77">
                  <c:v>-3.5416056565090082</c:v>
                </c:pt>
                <c:pt idx="78">
                  <c:v>-3.6218313045859931</c:v>
                </c:pt>
                <c:pt idx="79">
                  <c:v>-3.7038656210580352</c:v>
                </c:pt>
                <c:pt idx="80">
                  <c:v>-3.7877487829853438</c:v>
                </c:pt>
                <c:pt idx="81">
                  <c:v>-3.8735218183208366</c:v>
                </c:pt>
                <c:pt idx="82">
                  <c:v>-3.9612266210219791</c:v>
                </c:pt>
                <c:pt idx="83">
                  <c:v>-4.0509059662201095</c:v>
                </c:pt>
                <c:pt idx="84">
                  <c:v>-4.1426035254294256</c:v>
                </c:pt>
                <c:pt idx="85">
                  <c:v>-4.2363638817766862</c:v>
                </c:pt>
                <c:pt idx="86">
                  <c:v>-4.3322325452300063</c:v>
                </c:pt>
                <c:pt idx="87">
                  <c:v>-4.4302559678042748</c:v>
                </c:pt>
                <c:pt idx="88">
                  <c:v>-4.5304815587179998</c:v>
                </c:pt>
                <c:pt idx="89">
                  <c:v>-4.6329576994747974</c:v>
                </c:pt>
                <c:pt idx="90">
                  <c:v>-4.7377337588402497</c:v>
                </c:pt>
                <c:pt idx="91">
                  <c:v>-4.8448601076821731</c:v>
                </c:pt>
                <c:pt idx="92">
                  <c:v>-4.9543881336405589</c:v>
                </c:pt>
                <c:pt idx="93">
                  <c:v>-5.0663702555900461</c:v>
                </c:pt>
                <c:pt idx="94">
                  <c:v>-5.1808599378556863</c:v>
                </c:pt>
                <c:pt idx="95">
                  <c:v>-5.2979117041381647</c:v>
                </c:pt>
                <c:pt idx="96">
                  <c:v>-5.4175811511036729</c:v>
                </c:pt>
                <c:pt idx="97">
                  <c:v>-5.5399249615885298</c:v>
                </c:pt>
                <c:pt idx="98">
                  <c:v>-5.6650009173649138</c:v>
                </c:pt>
                <c:pt idx="99">
                  <c:v>-5.7928679114122836</c:v>
                </c:pt>
                <c:pt idx="100">
                  <c:v>-5.9235859596325078</c:v>
                </c:pt>
                <c:pt idx="101">
                  <c:v>-6.0572162119429898</c:v>
                </c:pt>
                <c:pt idx="102">
                  <c:v>-6.1938209626807179</c:v>
                </c:pt>
                <c:pt idx="103">
                  <c:v>-6.3334636602390368</c:v>
                </c:pt>
                <c:pt idx="104">
                  <c:v>-6.4762089158614531</c:v>
                </c:pt>
                <c:pt idx="105">
                  <c:v>-6.6221225115050366</c:v>
                </c:pt>
                <c:pt idx="106">
                  <c:v>-6.7712714066854085</c:v>
                </c:pt>
                <c:pt idx="107">
                  <c:v>-6.9237237442050725</c:v>
                </c:pt>
                <c:pt idx="108">
                  <c:v>-7.0795488546658696</c:v>
                </c:pt>
                <c:pt idx="109">
                  <c:v>-7.2388172596546836</c:v>
                </c:pt>
                <c:pt idx="110">
                  <c:v>-7.4016006734888862</c:v>
                </c:pt>
                <c:pt idx="111">
                  <c:v>-7.5679720033994364</c:v>
                </c:pt>
                <c:pt idx="112">
                  <c:v>-7.7380053480228375</c:v>
                </c:pt>
                <c:pt idx="113">
                  <c:v>-7.9117759940640218</c:v>
                </c:pt>
                <c:pt idx="114">
                  <c:v>-8.0893604109892774</c:v>
                </c:pt>
                <c:pt idx="115">
                  <c:v>-8.2708362435926137</c:v>
                </c:pt>
                <c:pt idx="116">
                  <c:v>-8.4562823022793001</c:v>
                </c:pt>
                <c:pt idx="117">
                  <c:v>-8.6457785508952174</c:v>
                </c:pt>
                <c:pt idx="118">
                  <c:v>-8.8394060919249817</c:v>
                </c:pt>
                <c:pt idx="119">
                  <c:v>-9.0372471488730142</c:v>
                </c:pt>
                <c:pt idx="120">
                  <c:v>-9.2393850456309146</c:v>
                </c:pt>
                <c:pt idx="121">
                  <c:v>-9.4459041826274284</c:v>
                </c:pt>
                <c:pt idx="122">
                  <c:v>-9.6568900095462133</c:v>
                </c:pt>
                <c:pt idx="123">
                  <c:v>-9.8724289943882884</c:v>
                </c:pt>
                <c:pt idx="124">
                  <c:v>-10.092608588646447</c:v>
                </c:pt>
                <c:pt idx="125">
                  <c:v>-10.317517188348338</c:v>
                </c:pt>
                <c:pt idx="126">
                  <c:v>-10.547244090719611</c:v>
                </c:pt>
                <c:pt idx="127">
                  <c:v>-10.78187944620354</c:v>
                </c:pt>
                <c:pt idx="128">
                  <c:v>-11.021514205571311</c:v>
                </c:pt>
                <c:pt idx="129">
                  <c:v>-11.266240061842323</c:v>
                </c:pt>
                <c:pt idx="130">
                  <c:v>-11.516149386733947</c:v>
                </c:pt>
                <c:pt idx="131">
                  <c:v>-11.771335161343645</c:v>
                </c:pt>
                <c:pt idx="132">
                  <c:v>-12.031890900769479</c:v>
                </c:pt>
                <c:pt idx="133">
                  <c:v>-12.297910572362433</c:v>
                </c:pt>
                <c:pt idx="134">
                  <c:v>-12.569488507301923</c:v>
                </c:pt>
                <c:pt idx="135">
                  <c:v>-12.846719305186834</c:v>
                </c:pt>
                <c:pt idx="136">
                  <c:v>-13.129697731323757</c:v>
                </c:pt>
                <c:pt idx="137">
                  <c:v>-13.418518606403818</c:v>
                </c:pt>
                <c:pt idx="138">
                  <c:v>-13.713276688257217</c:v>
                </c:pt>
                <c:pt idx="139">
                  <c:v>-14.014066545374119</c:v>
                </c:pt>
                <c:pt idx="140">
                  <c:v>-14.320982421899094</c:v>
                </c:pt>
                <c:pt idx="141">
                  <c:v>-14.634118093801559</c:v>
                </c:pt>
                <c:pt idx="142">
                  <c:v>-14.953566715948233</c:v>
                </c:pt>
                <c:pt idx="143">
                  <c:v>-15.279420659813441</c:v>
                </c:pt>
                <c:pt idx="144">
                  <c:v>-15.611771341581377</c:v>
                </c:pt>
                <c:pt idx="145">
                  <c:v>-15.950709040425446</c:v>
                </c:pt>
                <c:pt idx="146">
                  <c:v>-16.296322706764563</c:v>
                </c:pt>
                <c:pt idx="147">
                  <c:v>-16.648699760341838</c:v>
                </c:pt>
                <c:pt idx="148">
                  <c:v>-17.007925877998179</c:v>
                </c:pt>
                <c:pt idx="149">
                  <c:v>-17.374084771059877</c:v>
                </c:pt>
                <c:pt idx="150">
                  <c:v>-17.747257952308367</c:v>
                </c:pt>
                <c:pt idx="151">
                  <c:v>-18.127524492549782</c:v>
                </c:pt>
                <c:pt idx="152">
                  <c:v>-18.51496076686767</c:v>
                </c:pt>
                <c:pt idx="153">
                  <c:v>-18.909640190703122</c:v>
                </c:pt>
                <c:pt idx="154">
                  <c:v>-19.311632945983906</c:v>
                </c:pt>
                <c:pt idx="155">
                  <c:v>-19.721005697602411</c:v>
                </c:pt>
                <c:pt idx="156">
                  <c:v>-20.137821300627863</c:v>
                </c:pt>
                <c:pt idx="157">
                  <c:v>-20.562138498735411</c:v>
                </c:pt>
                <c:pt idx="158">
                  <c:v>-20.994011614429237</c:v>
                </c:pt>
                <c:pt idx="159">
                  <c:v>-21.433490231752</c:v>
                </c:pt>
                <c:pt idx="160">
                  <c:v>-21.880618872276916</c:v>
                </c:pt>
                <c:pt idx="161">
                  <c:v>-22.335436665306535</c:v>
                </c:pt>
                <c:pt idx="162">
                  <c:v>-22.797977013322015</c:v>
                </c:pt>
                <c:pt idx="163">
                  <c:v>-23.268267253853043</c:v>
                </c:pt>
                <c:pt idx="164">
                  <c:v>-23.746328319084583</c:v>
                </c:pt>
                <c:pt idx="165">
                  <c:v>-24.232174394630427</c:v>
                </c:pt>
                <c:pt idx="166">
                  <c:v>-24.725812579067775</c:v>
                </c:pt>
                <c:pt idx="167">
                  <c:v>-25.227242545934192</c:v>
                </c:pt>
                <c:pt idx="168">
                  <c:v>-25.736456210054488</c:v>
                </c:pt>
                <c:pt idx="169">
                  <c:v>-26.253437400170196</c:v>
                </c:pt>
                <c:pt idx="170">
                  <c:v>-26.778161539993356</c:v>
                </c:pt>
                <c:pt idx="171">
                  <c:v>-27.310595339910119</c:v>
                </c:pt>
                <c:pt idx="172">
                  <c:v>-27.850696501675529</c:v>
                </c:pt>
                <c:pt idx="173">
                  <c:v>-28.398413438549746</c:v>
                </c:pt>
                <c:pt idx="174">
                  <c:v>-28.953685013381449</c:v>
                </c:pt>
                <c:pt idx="175">
                  <c:v>-29.516440297246131</c:v>
                </c:pt>
                <c:pt idx="176">
                  <c:v>-30.086598351262221</c:v>
                </c:pt>
                <c:pt idx="177">
                  <c:v>-30.664068034253027</c:v>
                </c:pt>
                <c:pt idx="178">
                  <c:v>-31.248747838911893</c:v>
                </c:pt>
                <c:pt idx="179">
                  <c:v>-31.840525759101084</c:v>
                </c:pt>
                <c:pt idx="180">
                  <c:v>-32.439279190865342</c:v>
                </c:pt>
                <c:pt idx="181">
                  <c:v>-33.044874869640125</c:v>
                </c:pt>
                <c:pt idx="182">
                  <c:v>-33.657168846030622</c:v>
                </c:pt>
                <c:pt idx="183">
                  <c:v>-34.276006502363693</c:v>
                </c:pt>
                <c:pt idx="184">
                  <c:v>-34.901222612046567</c:v>
                </c:pt>
                <c:pt idx="185">
                  <c:v>-35.532641443522671</c:v>
                </c:pt>
                <c:pt idx="186">
                  <c:v>-36.170076910374341</c:v>
                </c:pt>
                <c:pt idx="187">
                  <c:v>-36.813332768819905</c:v>
                </c:pt>
                <c:pt idx="188">
                  <c:v>-37.462202863540433</c:v>
                </c:pt>
                <c:pt idx="189">
                  <c:v>-38.116471422404842</c:v>
                </c:pt>
                <c:pt idx="190">
                  <c:v>-38.775913400308923</c:v>
                </c:pt>
                <c:pt idx="191">
                  <c:v>-39.440294871922276</c:v>
                </c:pt>
                <c:pt idx="192">
                  <c:v>-40.109373472740039</c:v>
                </c:pt>
                <c:pt idx="193">
                  <c:v>-40.78289888739431</c:v>
                </c:pt>
                <c:pt idx="194">
                  <c:v>-41.460613383752644</c:v>
                </c:pt>
                <c:pt idx="195">
                  <c:v>-42.142252390896282</c:v>
                </c:pt>
                <c:pt idx="196">
                  <c:v>-42.827545118634895</c:v>
                </c:pt>
                <c:pt idx="197">
                  <c:v>-43.516215215798162</c:v>
                </c:pt>
                <c:pt idx="198">
                  <c:v>-44.207981464148432</c:v>
                </c:pt>
                <c:pt idx="199">
                  <c:v>-44.902558504380409</c:v>
                </c:pt>
                <c:pt idx="200">
                  <c:v>-45.59965759032572</c:v>
                </c:pt>
                <c:pt idx="201">
                  <c:v>-46.29898736718355</c:v>
                </c:pt>
                <c:pt idx="202">
                  <c:v>-47.000254669325159</c:v>
                </c:pt>
                <c:pt idx="203">
                  <c:v>-47.703165333003703</c:v>
                </c:pt>
                <c:pt idx="204">
                  <c:v>-48.407425019138799</c:v>
                </c:pt>
                <c:pt idx="205">
                  <c:v>-49.112740041228292</c:v>
                </c:pt>
                <c:pt idx="206">
                  <c:v>-49.818818193384288</c:v>
                </c:pt>
                <c:pt idx="207">
                  <c:v>-50.52536957348498</c:v>
                </c:pt>
                <c:pt idx="208">
                  <c:v>-51.232107396503253</c:v>
                </c:pt>
                <c:pt idx="209">
                  <c:v>-51.938748793171222</c:v>
                </c:pt>
                <c:pt idx="210">
                  <c:v>-52.645015589315463</c:v>
                </c:pt>
                <c:pt idx="211">
                  <c:v>-53.350635061414842</c:v>
                </c:pt>
                <c:pt idx="212">
                  <c:v>-54.05534066418538</c:v>
                </c:pt>
                <c:pt idx="213">
                  <c:v>-54.758872726325968</c:v>
                </c:pt>
                <c:pt idx="214">
                  <c:v>-55.460979110873453</c:v>
                </c:pt>
                <c:pt idx="215">
                  <c:v>-56.161415837016762</c:v>
                </c:pt>
                <c:pt idx="216">
                  <c:v>-56.859947660594237</c:v>
                </c:pt>
                <c:pt idx="217">
                  <c:v>-57.556348610938215</c:v>
                </c:pt>
                <c:pt idx="218">
                  <c:v>-58.250402482141304</c:v>
                </c:pt>
                <c:pt idx="219">
                  <c:v>-58.941903277263869</c:v>
                </c:pt>
                <c:pt idx="220">
                  <c:v>-59.630655604433429</c:v>
                </c:pt>
                <c:pt idx="221">
                  <c:v>-60.316475024206689</c:v>
                </c:pt>
                <c:pt idx="222">
                  <c:v>-60.999188347991144</c:v>
                </c:pt>
                <c:pt idx="223">
                  <c:v>-61.678633887703782</c:v>
                </c:pt>
                <c:pt idx="224">
                  <c:v>-62.354661657228263</c:v>
                </c:pt>
                <c:pt idx="225">
                  <c:v>-63.027133526583263</c:v>
                </c:pt>
                <c:pt idx="226">
                  <c:v>-63.695923330017223</c:v>
                </c:pt>
                <c:pt idx="227">
                  <c:v>-64.360916929554975</c:v>
                </c:pt>
                <c:pt idx="228">
                  <c:v>-65.022012235754943</c:v>
                </c:pt>
                <c:pt idx="229">
                  <c:v>-65.679119187670082</c:v>
                </c:pt>
                <c:pt idx="230">
                  <c:v>-66.332159694187652</c:v>
                </c:pt>
                <c:pt idx="231">
                  <c:v>-66.981067539065066</c:v>
                </c:pt>
                <c:pt idx="232">
                  <c:v>-67.625788252113836</c:v>
                </c:pt>
                <c:pt idx="233">
                  <c:v>-68.266278949047759</c:v>
                </c:pt>
                <c:pt idx="234">
                  <c:v>-68.902508142576849</c:v>
                </c:pt>
                <c:pt idx="235">
                  <c:v>-69.534455527352762</c:v>
                </c:pt>
                <c:pt idx="236">
                  <c:v>-70.162111741352774</c:v>
                </c:pt>
                <c:pt idx="237">
                  <c:v>-70.785478106283406</c:v>
                </c:pt>
                <c:pt idx="238">
                  <c:v>-71.404566349510603</c:v>
                </c:pt>
                <c:pt idx="239">
                  <c:v>-72.019398309967656</c:v>
                </c:pt>
                <c:pt idx="240">
                  <c:v>-72.630005630397619</c:v>
                </c:pt>
                <c:pt idx="241">
                  <c:v>-73.236429438180522</c:v>
                </c:pt>
                <c:pt idx="242">
                  <c:v>-73.838720016888161</c:v>
                </c:pt>
                <c:pt idx="243">
                  <c:v>-74.436936470576271</c:v>
                </c:pt>
                <c:pt idx="244">
                  <c:v>-75.031146382691759</c:v>
                </c:pt>
                <c:pt idx="245">
                  <c:v>-75.621425471339549</c:v>
                </c:pt>
                <c:pt idx="246">
                  <c:v>-76.207857242505042</c:v>
                </c:pt>
                <c:pt idx="247">
                  <c:v>-76.790532642683544</c:v>
                </c:pt>
                <c:pt idx="248">
                  <c:v>-77.369549712233436</c:v>
                </c:pt>
                <c:pt idx="249">
                  <c:v>-77.945013240613989</c:v>
                </c:pt>
                <c:pt idx="250">
                  <c:v>-78.51703442453568</c:v>
                </c:pt>
                <c:pt idx="251">
                  <c:v>-79.085730529915836</c:v>
                </c:pt>
                <c:pt idx="252">
                  <c:v>-79.651224558391334</c:v>
                </c:pt>
                <c:pt idx="253">
                  <c:v>-80.213644919021462</c:v>
                </c:pt>
                <c:pt idx="254">
                  <c:v>-80.773125105686972</c:v>
                </c:pt>
                <c:pt idx="255">
                  <c:v>-81.329803380575342</c:v>
                </c:pt>
                <c:pt idx="256">
                  <c:v>-81.883822464038403</c:v>
                </c:pt>
                <c:pt idx="257">
                  <c:v>-82.435329230997482</c:v>
                </c:pt>
                <c:pt idx="258">
                  <c:v>-82.984474413984117</c:v>
                </c:pt>
                <c:pt idx="259">
                  <c:v>-83.531412312806737</c:v>
                </c:pt>
                <c:pt idx="260">
                  <c:v>-84.076300510758998</c:v>
                </c:pt>
                <c:pt idx="261">
                  <c:v>-84.619299597204119</c:v>
                </c:pt>
                <c:pt idx="262">
                  <c:v>-85.160572896304643</c:v>
                </c:pt>
                <c:pt idx="263">
                  <c:v>-85.700286201599525</c:v>
                </c:pt>
                <c:pt idx="264">
                  <c:v>-86.238607516078588</c:v>
                </c:pt>
                <c:pt idx="265">
                  <c:v>-86.775706797353152</c:v>
                </c:pt>
                <c:pt idx="266">
                  <c:v>-87.311755707469302</c:v>
                </c:pt>
                <c:pt idx="267">
                  <c:v>-87.846927366886931</c:v>
                </c:pt>
                <c:pt idx="268">
                  <c:v>-88.381396112093043</c:v>
                </c:pt>
                <c:pt idx="269">
                  <c:v>-88.915337256308177</c:v>
                </c:pt>
                <c:pt idx="270">
                  <c:v>-89.44892685270942</c:v>
                </c:pt>
                <c:pt idx="271">
                  <c:v>-89.982341459577484</c:v>
                </c:pt>
                <c:pt idx="272">
                  <c:v>-90.515757906762161</c:v>
                </c:pt>
                <c:pt idx="273">
                  <c:v>-91.049353062852063</c:v>
                </c:pt>
                <c:pt idx="274">
                  <c:v>-91.583303602422603</c:v>
                </c:pt>
                <c:pt idx="275">
                  <c:v>-92.117785772748022</c:v>
                </c:pt>
                <c:pt idx="276">
                  <c:v>-92.652975159353957</c:v>
                </c:pt>
                <c:pt idx="277">
                  <c:v>-93.189046449804891</c:v>
                </c:pt>
                <c:pt idx="278">
                  <c:v>-93.726173195129732</c:v>
                </c:pt>
                <c:pt idx="279">
                  <c:v>-94.264527568308822</c:v>
                </c:pt>
                <c:pt idx="280">
                  <c:v>-94.804280119264789</c:v>
                </c:pt>
                <c:pt idx="281">
                  <c:v>-95.345599525834544</c:v>
                </c:pt>
                <c:pt idx="282">
                  <c:v>-95.88865234022343</c:v>
                </c:pt>
                <c:pt idx="283">
                  <c:v>-96.433602730486271</c:v>
                </c:pt>
                <c:pt idx="284">
                  <c:v>-96.980612216622774</c:v>
                </c:pt>
                <c:pt idx="285">
                  <c:v>-97.529839400926775</c:v>
                </c:pt>
                <c:pt idx="286">
                  <c:v>-98.081439692273776</c:v>
                </c:pt>
                <c:pt idx="287">
                  <c:v>-98.635565024108374</c:v>
                </c:pt>
                <c:pt idx="288">
                  <c:v>-99.192363565944575</c:v>
                </c:pt>
                <c:pt idx="289">
                  <c:v>-99.751979428281928</c:v>
                </c:pt>
                <c:pt idx="290">
                  <c:v>-100.31455236090703</c:v>
                </c:pt>
                <c:pt idx="291">
                  <c:v>-100.8802174446466</c:v>
                </c:pt>
                <c:pt idx="292">
                  <c:v>-101.44910477673261</c:v>
                </c:pt>
                <c:pt idx="293">
                  <c:v>-102.02133915003363</c:v>
                </c:pt>
                <c:pt idx="294">
                  <c:v>-102.59703972652527</c:v>
                </c:pt>
                <c:pt idx="295">
                  <c:v>-103.17631970547679</c:v>
                </c:pt>
                <c:pt idx="296">
                  <c:v>-103.75928598695799</c:v>
                </c:pt>
                <c:pt idx="297">
                  <c:v>-104.34603883139656</c:v>
                </c:pt>
                <c:pt idx="298">
                  <c:v>-104.93667151604461</c:v>
                </c:pt>
                <c:pt idx="299">
                  <c:v>-105.53126998934802</c:v>
                </c:pt>
                <c:pt idx="300">
                  <c:v>-106.12991252436264</c:v>
                </c:pt>
                <c:pt idx="301">
                  <c:v>-106.73266937248798</c:v>
                </c:pt>
                <c:pt idx="302">
                  <c:v>-107.33960241894842</c:v>
                </c:pt>
                <c:pt idx="303">
                  <c:v>-107.95076484158551</c:v>
                </c:pt>
                <c:pt idx="304">
                  <c:v>-108.56620077467386</c:v>
                </c:pt>
                <c:pt idx="305">
                  <c:v>-109.18594497961095</c:v>
                </c:pt>
                <c:pt idx="306">
                  <c:v>-109.81002252446525</c:v>
                </c:pt>
                <c:pt idx="307">
                  <c:v>-110.43844847449893</c:v>
                </c:pt>
                <c:pt idx="308">
                  <c:v>-111.07122759589156</c:v>
                </c:pt>
                <c:pt idx="309">
                  <c:v>-111.70835407500809</c:v>
                </c:pt>
                <c:pt idx="310">
                  <c:v>-112.34981125563866</c:v>
                </c:pt>
                <c:pt idx="311">
                  <c:v>-112.9955713967189</c:v>
                </c:pt>
                <c:pt idx="312">
                  <c:v>-113.64559545309027</c:v>
                </c:pt>
                <c:pt idx="313">
                  <c:v>-114.29983288190458</c:v>
                </c:pt>
                <c:pt idx="314">
                  <c:v>-114.95822147727235</c:v>
                </c:pt>
                <c:pt idx="315">
                  <c:v>-115.62068723575297</c:v>
                </c:pt>
                <c:pt idx="316">
                  <c:v>-116.28714425522824</c:v>
                </c:pt>
                <c:pt idx="317">
                  <c:v>-116.95749466963214</c:v>
                </c:pt>
                <c:pt idx="318">
                  <c:v>-117.63162862189557</c:v>
                </c:pt>
                <c:pt idx="319">
                  <c:v>-118.30942427732407</c:v>
                </c:pt>
                <c:pt idx="320">
                  <c:v>-118.99074787945223</c:v>
                </c:pt>
                <c:pt idx="321">
                  <c:v>-119.67545385020074</c:v>
                </c:pt>
                <c:pt idx="322">
                  <c:v>-120.36338493592329</c:v>
                </c:pt>
                <c:pt idx="323">
                  <c:v>-121.05437240064586</c:v>
                </c:pt>
                <c:pt idx="324">
                  <c:v>-121.74823626748901</c:v>
                </c:pt>
                <c:pt idx="325">
                  <c:v>-122.44478560892638</c:v>
                </c:pt>
                <c:pt idx="326">
                  <c:v>-123.14381888616727</c:v>
                </c:pt>
                <c:pt idx="327">
                  <c:v>-123.84512433754826</c:v>
                </c:pt>
                <c:pt idx="328">
                  <c:v>-124.54848041542607</c:v>
                </c:pt>
                <c:pt idx="329">
                  <c:v>-125.25365627062958</c:v>
                </c:pt>
                <c:pt idx="330">
                  <c:v>-125.96041228310158</c:v>
                </c:pt>
                <c:pt idx="331">
                  <c:v>-126.66850063693063</c:v>
                </c:pt>
                <c:pt idx="332">
                  <c:v>-127.37766593753311</c:v>
                </c:pt>
                <c:pt idx="333">
                  <c:v>-128.08764586834332</c:v>
                </c:pt>
                <c:pt idx="334">
                  <c:v>-128.79817188394946</c:v>
                </c:pt>
                <c:pt idx="335">
                  <c:v>-129.50896993624573</c:v>
                </c:pt>
                <c:pt idx="336">
                  <c:v>-130.2197612298163</c:v>
                </c:pt>
                <c:pt idx="337">
                  <c:v>-130.9302630024587</c:v>
                </c:pt>
                <c:pt idx="338">
                  <c:v>-131.64018932647153</c:v>
                </c:pt>
                <c:pt idx="339">
                  <c:v>-132.34925192611749</c:v>
                </c:pt>
                <c:pt idx="340">
                  <c:v>-133.05716100648584</c:v>
                </c:pt>
                <c:pt idx="341">
                  <c:v>-133.76362608885989</c:v>
                </c:pt>
                <c:pt idx="342">
                  <c:v>-134.46835684763215</c:v>
                </c:pt>
                <c:pt idx="343">
                  <c:v>-135.17106394378484</c:v>
                </c:pt>
                <c:pt idx="344">
                  <c:v>-135.87145985001996</c:v>
                </c:pt>
                <c:pt idx="345">
                  <c:v>-136.56925966270825</c:v>
                </c:pt>
                <c:pt idx="346">
                  <c:v>-137.264181895994</c:v>
                </c:pt>
                <c:pt idx="347">
                  <c:v>-137.95594925360058</c:v>
                </c:pt>
                <c:pt idx="348">
                  <c:v>-138.64428937414104</c:v>
                </c:pt>
                <c:pt idx="349">
                  <c:v>-139.3289355460264</c:v>
                </c:pt>
                <c:pt idx="350">
                  <c:v>-140.00962738842966</c:v>
                </c:pt>
                <c:pt idx="351">
                  <c:v>-140.68611149510869</c:v>
                </c:pt>
                <c:pt idx="352">
                  <c:v>-141.35814203831242</c:v>
                </c:pt>
                <c:pt idx="353">
                  <c:v>-142.02548133039815</c:v>
                </c:pt>
                <c:pt idx="354">
                  <c:v>-142.6879003412364</c:v>
                </c:pt>
                <c:pt idx="355">
                  <c:v>-143.34517916990532</c:v>
                </c:pt>
                <c:pt idx="356">
                  <c:v>-143.99710746963345</c:v>
                </c:pt>
                <c:pt idx="357">
                  <c:v>-144.64348482537414</c:v>
                </c:pt>
                <c:pt idx="358">
                  <c:v>-145.28412108383199</c:v>
                </c:pt>
                <c:pt idx="359">
                  <c:v>-145.91883663615999</c:v>
                </c:pt>
                <c:pt idx="360">
                  <c:v>-146.54746265395255</c:v>
                </c:pt>
                <c:pt idx="361">
                  <c:v>-147.16984127950656</c:v>
                </c:pt>
                <c:pt idx="362">
                  <c:v>-147.78582577168044</c:v>
                </c:pt>
                <c:pt idx="363">
                  <c:v>-148.39528060897536</c:v>
                </c:pt>
                <c:pt idx="364">
                  <c:v>-148.99808155174509</c:v>
                </c:pt>
                <c:pt idx="365">
                  <c:v>-149.59411566569037</c:v>
                </c:pt>
                <c:pt idx="366">
                  <c:v>-150.18328130899175</c:v>
                </c:pt>
                <c:pt idx="367">
                  <c:v>-150.76548808562569</c:v>
                </c:pt>
                <c:pt idx="368">
                  <c:v>-151.3406567675454</c:v>
                </c:pt>
                <c:pt idx="369">
                  <c:v>-151.90871918851533</c:v>
                </c:pt>
                <c:pt idx="370">
                  <c:v>-152.46961811248852</c:v>
                </c:pt>
                <c:pt idx="371">
                  <c:v>-153.02330707945376</c:v>
                </c:pt>
                <c:pt idx="372">
                  <c:v>-153.56975023171336</c:v>
                </c:pt>
                <c:pt idx="373">
                  <c:v>-154.10892212356327</c:v>
                </c:pt>
                <c:pt idx="374">
                  <c:v>-154.64080751732567</c:v>
                </c:pt>
                <c:pt idx="375">
                  <c:v>-155.16540116865144</c:v>
                </c:pt>
                <c:pt idx="376">
                  <c:v>-155.68270760396751</c:v>
                </c:pt>
                <c:pt idx="377">
                  <c:v>-156.19274089287387</c:v>
                </c:pt>
                <c:pt idx="378">
                  <c:v>-156.69552441823549</c:v>
                </c:pt>
                <c:pt idx="379">
                  <c:v>-157.19109064662516</c:v>
                </c:pt>
                <c:pt idx="380">
                  <c:v>-157.6794809017062</c:v>
                </c:pt>
                <c:pt idx="381">
                  <c:v>-158.16074514304796</c:v>
                </c:pt>
                <c:pt idx="382">
                  <c:v>-158.63494175279311</c:v>
                </c:pt>
                <c:pt idx="383">
                  <c:v>-159.10213733251524</c:v>
                </c:pt>
                <c:pt idx="384">
                  <c:v>-159.56240651252995</c:v>
                </c:pt>
                <c:pt idx="385">
                  <c:v>-160.01583177585786</c:v>
                </c:pt>
                <c:pt idx="386">
                  <c:v>-160.4625032989812</c:v>
                </c:pt>
                <c:pt idx="387">
                  <c:v>-160.90251881148828</c:v>
                </c:pt>
                <c:pt idx="388">
                  <c:v>-161.3359834766697</c:v>
                </c:pt>
                <c:pt idx="389">
                  <c:v>-161.76300979510663</c:v>
                </c:pt>
                <c:pt idx="390">
                  <c:v>-162.1837175332966</c:v>
                </c:pt>
                <c:pt idx="391">
                  <c:v>-162.59823367936741</c:v>
                </c:pt>
                <c:pt idx="392">
                  <c:v>-163.0066924279744</c:v>
                </c:pt>
                <c:pt idx="393">
                  <c:v>-163.40923519652512</c:v>
                </c:pt>
                <c:pt idx="394">
                  <c:v>-163.80601067495442</c:v>
                </c:pt>
                <c:pt idx="395">
                  <c:v>-164.19717491137979</c:v>
                </c:pt>
                <c:pt idx="396">
                  <c:v>-164.58289143609034</c:v>
                </c:pt>
                <c:pt idx="397">
                  <c:v>-164.96333142648808</c:v>
                </c:pt>
                <c:pt idx="398">
                  <c:v>-165.33867391578207</c:v>
                </c:pt>
                <c:pt idx="399">
                  <c:v>-165.70910604846699</c:v>
                </c:pt>
                <c:pt idx="400">
                  <c:v>-166.07482338587721</c:v>
                </c:pt>
                <c:pt idx="401">
                  <c:v>-166.43603026540217</c:v>
                </c:pt>
                <c:pt idx="402">
                  <c:v>-166.79294021731326</c:v>
                </c:pt>
                <c:pt idx="403">
                  <c:v>-167.14577644352724</c:v>
                </c:pt>
                <c:pt idx="404">
                  <c:v>-167.49477236310466</c:v>
                </c:pt>
                <c:pt idx="405">
                  <c:v>-167.84017222978008</c:v>
                </c:pt>
                <c:pt idx="406">
                  <c:v>-168.18223182741085</c:v>
                </c:pt>
                <c:pt idx="407">
                  <c:v>-168.52121924988626</c:v>
                </c:pt>
                <c:pt idx="408">
                  <c:v>-168.85741577278597</c:v>
                </c:pt>
                <c:pt idx="409">
                  <c:v>-169.19111682491297</c:v>
                </c:pt>
                <c:pt idx="410">
                  <c:v>-169.5226330687822</c:v>
                </c:pt>
                <c:pt idx="411">
                  <c:v>-169.85229160021203</c:v>
                </c:pt>
                <c:pt idx="412">
                  <c:v>-170.18043727838347</c:v>
                </c:pt>
                <c:pt idx="413">
                  <c:v>-170.50743419909531</c:v>
                </c:pt>
                <c:pt idx="414">
                  <c:v>-170.83366732549925</c:v>
                </c:pt>
                <c:pt idx="415">
                  <c:v>-171.15954429234026</c:v>
                </c:pt>
                <c:pt idx="416">
                  <c:v>-171.48549740172027</c:v>
                </c:pt>
                <c:pt idx="417">
                  <c:v>-171.81198583064244</c:v>
                </c:pt>
                <c:pt idx="418">
                  <c:v>-172.13949807313904</c:v>
                </c:pt>
                <c:pt idx="419">
                  <c:v>-172.46855464266963</c:v>
                </c:pt>
                <c:pt idx="420">
                  <c:v>-172.79971106375658</c:v>
                </c:pt>
                <c:pt idx="421">
                  <c:v>-173.13356118552852</c:v>
                </c:pt>
                <c:pt idx="422">
                  <c:v>-173.4707408540641</c:v>
                </c:pt>
                <c:pt idx="423">
                  <c:v>-173.81193198521228</c:v>
                </c:pt>
                <c:pt idx="424">
                  <c:v>-174.15786708499346</c:v>
                </c:pt>
                <c:pt idx="425">
                  <c:v>-174.50933427083635</c:v>
                </c:pt>
                <c:pt idx="426">
                  <c:v>-174.86718285388491</c:v>
                </c:pt>
                <c:pt idx="427">
                  <c:v>-175.23232955049656</c:v>
                </c:pt>
                <c:pt idx="428">
                  <c:v>-175.60576539995179</c:v>
                </c:pt>
                <c:pt idx="429">
                  <c:v>-175.98856347542383</c:v>
                </c:pt>
                <c:pt idx="430">
                  <c:v>-176.38188748649654</c:v>
                </c:pt>
                <c:pt idx="431">
                  <c:v>-176.78700138405213</c:v>
                </c:pt>
                <c:pt idx="432">
                  <c:v>-177.20528009224523</c:v>
                </c:pt>
                <c:pt idx="433">
                  <c:v>-177.63822150752216</c:v>
                </c:pt>
                <c:pt idx="434">
                  <c:v>-178.0874599211796</c:v>
                </c:pt>
                <c:pt idx="435">
                  <c:v>-178.55478103953982</c:v>
                </c:pt>
                <c:pt idx="436">
                  <c:v>-179.04213879410199</c:v>
                </c:pt>
                <c:pt idx="437">
                  <c:v>-179.55167415226921</c:v>
                </c:pt>
                <c:pt idx="438">
                  <c:v>-180.08573615636067</c:v>
                </c:pt>
                <c:pt idx="439">
                  <c:v>-180.64690543285332</c:v>
                </c:pt>
                <c:pt idx="440">
                  <c:v>-181.23802042250188</c:v>
                </c:pt>
                <c:pt idx="441">
                  <c:v>-181.86220658127488</c:v>
                </c:pt>
                <c:pt idx="442">
                  <c:v>-182.52290878618638</c:v>
                </c:pt>
                <c:pt idx="443">
                  <c:v>-183.22392714080172</c:v>
                </c:pt>
                <c:pt idx="444">
                  <c:v>-183.9694563007161</c:v>
                </c:pt>
                <c:pt idx="445">
                  <c:v>-184.76412831287118</c:v>
                </c:pt>
                <c:pt idx="446">
                  <c:v>-185.61305876095278</c:v>
                </c:pt>
                <c:pt idx="447">
                  <c:v>-186.52189570005393</c:v>
                </c:pt>
                <c:pt idx="448">
                  <c:v>-187.49687040350983</c:v>
                </c:pt>
                <c:pt idx="449">
                  <c:v>-188.5448482747822</c:v>
                </c:pt>
                <c:pt idx="450">
                  <c:v>-189.67337732131955</c:v>
                </c:pt>
                <c:pt idx="451">
                  <c:v>-190.89073024927848</c:v>
                </c:pt>
                <c:pt idx="452">
                  <c:v>-192.2059344032115</c:v>
                </c:pt>
                <c:pt idx="453">
                  <c:v>-193.62878131693301</c:v>
                </c:pt>
                <c:pt idx="454">
                  <c:v>-195.16980444358265</c:v>
                </c:pt>
                <c:pt idx="455">
                  <c:v>-196.84020962855658</c:v>
                </c:pt>
                <c:pt idx="456">
                  <c:v>-198.65173814347963</c:v>
                </c:pt>
                <c:pt idx="457">
                  <c:v>-200.61643694181245</c:v>
                </c:pt>
                <c:pt idx="458">
                  <c:v>-202.74630602230448</c:v>
                </c:pt>
                <c:pt idx="459">
                  <c:v>-205.05278992645776</c:v>
                </c:pt>
                <c:pt idx="460">
                  <c:v>-207.54608200267694</c:v>
                </c:pt>
                <c:pt idx="461">
                  <c:v>-210.23421986922057</c:v>
                </c:pt>
                <c:pt idx="462">
                  <c:v>-213.12197311264978</c:v>
                </c:pt>
                <c:pt idx="463">
                  <c:v>-216.20956396335498</c:v>
                </c:pt>
                <c:pt idx="464">
                  <c:v>-219.49131986554229</c:v>
                </c:pt>
                <c:pt idx="465">
                  <c:v>-222.95442792812176</c:v>
                </c:pt>
                <c:pt idx="466">
                  <c:v>-226.57802854284364</c:v>
                </c:pt>
                <c:pt idx="467">
                  <c:v>-230.33292030978464</c:v>
                </c:pt>
                <c:pt idx="468">
                  <c:v>-234.18211696584535</c:v>
                </c:pt>
                <c:pt idx="469">
                  <c:v>-238.08237703684085</c:v>
                </c:pt>
                <c:pt idx="470">
                  <c:v>-241.98662894096589</c:v>
                </c:pt>
                <c:pt idx="471">
                  <c:v>-245.84699201626887</c:v>
                </c:pt>
                <c:pt idx="472">
                  <c:v>-249.61792907210017</c:v>
                </c:pt>
                <c:pt idx="473">
                  <c:v>-253.25902804797516</c:v>
                </c:pt>
                <c:pt idx="474">
                  <c:v>-256.73701606971383</c:v>
                </c:pt>
                <c:pt idx="475">
                  <c:v>-260.02681247384669</c:v>
                </c:pt>
                <c:pt idx="476">
                  <c:v>-263.11164703151019</c:v>
                </c:pt>
                <c:pt idx="477">
                  <c:v>-265.98243374782567</c:v>
                </c:pt>
                <c:pt idx="478">
                  <c:v>-268.63666641572752</c:v>
                </c:pt>
                <c:pt idx="479">
                  <c:v>-271.07709735317883</c:v>
                </c:pt>
                <c:pt idx="480">
                  <c:v>-273.31040595153797</c:v>
                </c:pt>
                <c:pt idx="481">
                  <c:v>-275.34599164617612</c:v>
                </c:pt>
                <c:pt idx="482">
                  <c:v>-277.19495979883948</c:v>
                </c:pt>
                <c:pt idx="483">
                  <c:v>-278.86931961682819</c:v>
                </c:pt>
                <c:pt idx="484">
                  <c:v>-280.3813822670117</c:v>
                </c:pt>
                <c:pt idx="485">
                  <c:v>-281.74333155683678</c:v>
                </c:pt>
                <c:pt idx="486">
                  <c:v>-282.96693427073075</c:v>
                </c:pt>
                <c:pt idx="487">
                  <c:v>-284.06335820603704</c:v>
                </c:pt>
                <c:pt idx="488">
                  <c:v>-285.04306999215225</c:v>
                </c:pt>
                <c:pt idx="489">
                  <c:v>-285.91578987620079</c:v>
                </c:pt>
                <c:pt idx="490">
                  <c:v>-286.69048568115574</c:v>
                </c:pt>
                <c:pt idx="491">
                  <c:v>-287.37539254906835</c:v>
                </c:pt>
                <c:pt idx="492">
                  <c:v>-287.97804869277627</c:v>
                </c:pt>
                <c:pt idx="493">
                  <c:v>-288.5053402056443</c:v>
                </c:pt>
                <c:pt idx="494">
                  <c:v>-288.96355011852131</c:v>
                </c:pt>
                <c:pt idx="495">
                  <c:v>-289.35840847152122</c:v>
                </c:pt>
                <c:pt idx="496">
                  <c:v>-289.69514130767186</c:v>
                </c:pt>
                <c:pt idx="497">
                  <c:v>-289.9785173019892</c:v>
                </c:pt>
                <c:pt idx="498">
                  <c:v>-290.21289129948548</c:v>
                </c:pt>
                <c:pt idx="499">
                  <c:v>-290.40224441622576</c:v>
                </c:pt>
                <c:pt idx="500">
                  <c:v>-290.42305602111895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2-463D-81A0-68F554CF810C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92.144266429525459</c:v>
                </c:pt>
                <c:pt idx="1">
                  <c:v>92.105890075886265</c:v>
                </c:pt>
                <c:pt idx="2">
                  <c:v>92.068572227108078</c:v>
                </c:pt>
                <c:pt idx="3">
                  <c:v>92.032294243135894</c:v>
                </c:pt>
                <c:pt idx="4">
                  <c:v>91.997037995434525</c:v>
                </c:pt>
                <c:pt idx="5">
                  <c:v>91.962785858560522</c:v>
                </c:pt>
                <c:pt idx="6">
                  <c:v>91.929520701933725</c:v>
                </c:pt>
                <c:pt idx="7">
                  <c:v>91.897225881807898</c:v>
                </c:pt>
                <c:pt idx="8">
                  <c:v>91.865885233438505</c:v>
                </c:pt>
                <c:pt idx="9">
                  <c:v>91.835483063446873</c:v>
                </c:pt>
                <c:pt idx="10">
                  <c:v>91.806004142378214</c:v>
                </c:pt>
                <c:pt idx="11">
                  <c:v>91.777433697452864</c:v>
                </c:pt>
                <c:pt idx="12">
                  <c:v>91.749757405508504</c:v>
                </c:pt>
                <c:pt idx="13">
                  <c:v>91.722961386131274</c:v>
                </c:pt>
                <c:pt idx="14">
                  <c:v>91.697032194974511</c:v>
                </c:pt>
                <c:pt idx="15">
                  <c:v>91.671956817262867</c:v>
                </c:pt>
                <c:pt idx="16">
                  <c:v>91.647722661479492</c:v>
                </c:pt>
                <c:pt idx="17">
                  <c:v>91.624317553234746</c:v>
                </c:pt>
                <c:pt idx="18">
                  <c:v>91.601729729314059</c:v>
                </c:pt>
                <c:pt idx="19">
                  <c:v>91.579947831902601</c:v>
                </c:pt>
                <c:pt idx="20">
                  <c:v>91.558960902984921</c:v>
                </c:pt>
                <c:pt idx="21">
                  <c:v>91.538758378917066</c:v>
                </c:pt>
                <c:pt idx="22">
                  <c:v>91.519330085168718</c:v>
                </c:pt>
                <c:pt idx="23">
                  <c:v>91.500666231233339</c:v>
                </c:pt>
                <c:pt idx="24">
                  <c:v>91.482757405703893</c:v>
                </c:pt>
                <c:pt idx="25">
                  <c:v>91.465594571511289</c:v>
                </c:pt>
                <c:pt idx="26">
                  <c:v>91.44916906132373</c:v>
                </c:pt>
                <c:pt idx="27">
                  <c:v>91.433472573103813</c:v>
                </c:pt>
                <c:pt idx="28">
                  <c:v>91.41849716582135</c:v>
                </c:pt>
                <c:pt idx="29">
                  <c:v>91.404235255318824</c:v>
                </c:pt>
                <c:pt idx="30">
                  <c:v>91.390679610327325</c:v>
                </c:pt>
                <c:pt idx="31">
                  <c:v>91.377823348629576</c:v>
                </c:pt>
                <c:pt idx="32">
                  <c:v>91.365659933368079</c:v>
                </c:pt>
                <c:pt idx="33">
                  <c:v>91.354183169494561</c:v>
                </c:pt>
                <c:pt idx="34">
                  <c:v>91.34338720035899</c:v>
                </c:pt>
                <c:pt idx="35">
                  <c:v>91.33326650443388</c:v>
                </c:pt>
                <c:pt idx="36">
                  <c:v>91.323815892171851</c:v>
                </c:pt>
                <c:pt idx="37">
                  <c:v>91.315030502992443</c:v>
                </c:pt>
                <c:pt idx="38">
                  <c:v>91.306905802395733</c:v>
                </c:pt>
                <c:pt idx="39">
                  <c:v>91.299437579198667</c:v>
                </c:pt>
                <c:pt idx="40">
                  <c:v>91.292621942890733</c:v>
                </c:pt>
                <c:pt idx="41">
                  <c:v>91.286455321105777</c:v>
                </c:pt>
                <c:pt idx="42">
                  <c:v>91.280934457205618</c:v>
                </c:pt>
                <c:pt idx="43">
                  <c:v>91.276056407971936</c:v>
                </c:pt>
                <c:pt idx="44">
                  <c:v>91.271818541401885</c:v>
                </c:pt>
                <c:pt idx="45">
                  <c:v>91.268218534603776</c:v>
                </c:pt>
                <c:pt idx="46">
                  <c:v>91.265254371787719</c:v>
                </c:pt>
                <c:pt idx="47">
                  <c:v>91.262924342346835</c:v>
                </c:pt>
                <c:pt idx="48">
                  <c:v>91.261227039024092</c:v>
                </c:pt>
                <c:pt idx="49">
                  <c:v>91.260161356159685</c:v>
                </c:pt>
                <c:pt idx="50">
                  <c:v>91.259726488012831</c:v>
                </c:pt>
                <c:pt idx="51">
                  <c:v>91.259921927153655</c:v>
                </c:pt>
                <c:pt idx="52">
                  <c:v>91.260747462917294</c:v>
                </c:pt>
                <c:pt idx="53">
                  <c:v>91.262203179915332</c:v>
                </c:pt>
                <c:pt idx="54">
                  <c:v>91.264289456596842</c:v>
                </c:pt>
                <c:pt idx="55">
                  <c:v>91.26700696385268</c:v>
                </c:pt>
                <c:pt idx="56">
                  <c:v>91.270356663654354</c:v>
                </c:pt>
                <c:pt idx="57">
                  <c:v>91.274339807720665</c:v>
                </c:pt>
                <c:pt idx="58">
                  <c:v>91.278957936202644</c:v>
                </c:pt>
                <c:pt idx="59">
                  <c:v>91.284212876378191</c:v>
                </c:pt>
                <c:pt idx="60">
                  <c:v>91.290106741346705</c:v>
                </c:pt>
                <c:pt idx="61">
                  <c:v>91.296641928713498</c:v>
                </c:pt>
                <c:pt idx="62">
                  <c:v>91.303821119253186</c:v>
                </c:pt>
                <c:pt idx="63">
                  <c:v>91.311647275540395</c:v>
                </c:pt>
                <c:pt idx="64">
                  <c:v>91.320123640535627</c:v>
                </c:pt>
                <c:pt idx="65">
                  <c:v>91.329253736113415</c:v>
                </c:pt>
                <c:pt idx="66">
                  <c:v>91.33904136151844</c:v>
                </c:pt>
                <c:pt idx="67">
                  <c:v>91.349490591735318</c:v>
                </c:pt>
                <c:pt idx="68">
                  <c:v>91.360605775755985</c:v>
                </c:pt>
                <c:pt idx="69">
                  <c:v>91.372391534728337</c:v>
                </c:pt>
                <c:pt idx="70">
                  <c:v>91.384852759967885</c:v>
                </c:pt>
                <c:pt idx="71">
                  <c:v>91.397994610814138</c:v>
                </c:pt>
                <c:pt idx="72">
                  <c:v>91.411822512310707</c:v>
                </c:pt>
                <c:pt idx="73">
                  <c:v>91.426342152688704</c:v>
                </c:pt>
                <c:pt idx="74">
                  <c:v>91.441559480629962</c:v>
                </c:pt>
                <c:pt idx="75">
                  <c:v>91.457480702285935</c:v>
                </c:pt>
                <c:pt idx="76">
                  <c:v>91.474112278027206</c:v>
                </c:pt>
                <c:pt idx="77">
                  <c:v>91.4914609188951</c:v>
                </c:pt>
                <c:pt idx="78">
                  <c:v>91.509533582727556</c:v>
                </c:pt>
                <c:pt idx="79">
                  <c:v>91.52833746992755</c:v>
                </c:pt>
                <c:pt idx="80">
                  <c:v>91.547880018841568</c:v>
                </c:pt>
                <c:pt idx="81">
                  <c:v>91.568168900713758</c:v>
                </c:pt>
                <c:pt idx="82">
                  <c:v>91.589212014178017</c:v>
                </c:pt>
                <c:pt idx="83">
                  <c:v>91.611017479249696</c:v>
                </c:pt>
                <c:pt idx="84">
                  <c:v>91.633593630775451</c:v>
                </c:pt>
                <c:pt idx="85">
                  <c:v>91.656949011296661</c:v>
                </c:pt>
                <c:pt idx="86">
                  <c:v>91.681092363280868</c:v>
                </c:pt>
                <c:pt idx="87">
                  <c:v>91.706032620671522</c:v>
                </c:pt>
                <c:pt idx="88">
                  <c:v>91.731778899704437</c:v>
                </c:pt>
                <c:pt idx="89">
                  <c:v>91.758340488935602</c:v>
                </c:pt>
                <c:pt idx="90">
                  <c:v>91.785726838423656</c:v>
                </c:pt>
                <c:pt idx="91">
                  <c:v>91.813947548003767</c:v>
                </c:pt>
                <c:pt idx="92">
                  <c:v>91.843012354591551</c:v>
                </c:pt>
                <c:pt idx="93">
                  <c:v>91.872931118446232</c:v>
                </c:pt>
                <c:pt idx="94">
                  <c:v>91.903713808324056</c:v>
                </c:pt>
                <c:pt idx="95">
                  <c:v>91.935370485445944</c:v>
                </c:pt>
                <c:pt idx="96">
                  <c:v>91.967911286200945</c:v>
                </c:pt>
                <c:pt idx="97">
                  <c:v>92.001346403503433</c:v>
                </c:pt>
                <c:pt idx="98">
                  <c:v>92.035686066717602</c:v>
                </c:pt>
                <c:pt idx="99">
                  <c:v>92.070940520058429</c:v>
                </c:pt>
                <c:pt idx="100">
                  <c:v>92.10711999937601</c:v>
                </c:pt>
                <c:pt idx="101">
                  <c:v>92.144234707224328</c:v>
                </c:pt>
                <c:pt idx="102">
                  <c:v>92.182294786111342</c:v>
                </c:pt>
                <c:pt idx="103">
                  <c:v>92.221310289826874</c:v>
                </c:pt>
                <c:pt idx="104">
                  <c:v>92.261291152734458</c:v>
                </c:pt>
                <c:pt idx="105">
                  <c:v>92.302247156916025</c:v>
                </c:pt>
                <c:pt idx="106">
                  <c:v>92.344187897049395</c:v>
                </c:pt>
                <c:pt idx="107">
                  <c:v>92.387122742899834</c:v>
                </c:pt>
                <c:pt idx="108">
                  <c:v>92.431060799297654</c:v>
                </c:pt>
                <c:pt idx="109">
                  <c:v>92.476010863476702</c:v>
                </c:pt>
                <c:pt idx="110">
                  <c:v>92.521981379642895</c:v>
                </c:pt>
                <c:pt idx="111">
                  <c:v>92.568980390638785</c:v>
                </c:pt>
                <c:pt idx="112">
                  <c:v>92.617015486570139</c:v>
                </c:pt>
                <c:pt idx="113">
                  <c:v>92.666093750260899</c:v>
                </c:pt>
                <c:pt idx="114">
                  <c:v>92.716221699395732</c:v>
                </c:pt>
                <c:pt idx="115">
                  <c:v>92.767405225220699</c:v>
                </c:pt>
                <c:pt idx="116">
                  <c:v>92.819649527659436</c:v>
                </c:pt>
                <c:pt idx="117">
                  <c:v>92.872959046719856</c:v>
                </c:pt>
                <c:pt idx="118">
                  <c:v>92.927337390056906</c:v>
                </c:pt>
                <c:pt idx="119">
                  <c:v>92.982787256569253</c:v>
                </c:pt>
                <c:pt idx="120">
                  <c:v>93.039310355911624</c:v>
                </c:pt>
                <c:pt idx="121">
                  <c:v>93.096907323810441</c:v>
                </c:pt>
                <c:pt idx="122">
                  <c:v>93.155577633084775</c:v>
                </c:pt>
                <c:pt idx="123">
                  <c:v>93.215319500280614</c:v>
                </c:pt>
                <c:pt idx="124">
                  <c:v>93.276129787843871</c:v>
                </c:pt>
                <c:pt idx="125">
                  <c:v>93.338003901774329</c:v>
                </c:pt>
                <c:pt idx="126">
                  <c:v>93.400935684717794</c:v>
                </c:pt>
                <c:pt idx="127">
                  <c:v>93.464917304478575</c:v>
                </c:pt>
                <c:pt idx="128">
                  <c:v>93.529939137958806</c:v>
                </c:pt>
                <c:pt idx="129">
                  <c:v>93.595989650559204</c:v>
                </c:pt>
                <c:pt idx="130">
                  <c:v>93.663055271103616</c:v>
                </c:pt>
                <c:pt idx="131">
                  <c:v>93.731120262391144</c:v>
                </c:pt>
                <c:pt idx="132">
                  <c:v>93.800166587514923</c:v>
                </c:pt>
                <c:pt idx="133">
                  <c:v>93.870173772127401</c:v>
                </c:pt>
                <c:pt idx="134">
                  <c:v>93.941118762888152</c:v>
                </c:pt>
                <c:pt idx="135">
                  <c:v>94.012975782369651</c:v>
                </c:pt>
                <c:pt idx="136">
                  <c:v>94.085716180763654</c:v>
                </c:pt>
                <c:pt idx="137">
                  <c:v>94.159308284786377</c:v>
                </c:pt>
                <c:pt idx="138">
                  <c:v>94.23371724424419</c:v>
                </c:pt>
                <c:pt idx="139">
                  <c:v>94.308904876798792</c:v>
                </c:pt>
                <c:pt idx="140">
                  <c:v>94.384829511535216</c:v>
                </c:pt>
                <c:pt idx="141">
                  <c:v>94.461445832022818</c:v>
                </c:pt>
                <c:pt idx="142">
                  <c:v>94.538704719636755</c:v>
                </c:pt>
                <c:pt idx="143">
                  <c:v>94.616553097994242</c:v>
                </c:pt>
                <c:pt idx="144">
                  <c:v>94.694933779451134</c:v>
                </c:pt>
                <c:pt idx="145">
                  <c:v>94.773785314687643</c:v>
                </c:pt>
                <c:pt idx="146">
                  <c:v>94.853041846517755</c:v>
                </c:pt>
                <c:pt idx="147">
                  <c:v>94.932632969134275</c:v>
                </c:pt>
                <c:pt idx="148">
                  <c:v>95.012483594106911</c:v>
                </c:pt>
                <c:pt idx="149">
                  <c:v>95.092513824535047</c:v>
                </c:pt>
                <c:pt idx="150">
                  <c:v>95.172638838846979</c:v>
                </c:pt>
                <c:pt idx="151">
                  <c:v>95.252768785819086</c:v>
                </c:pt>
                <c:pt idx="152">
                  <c:v>95.332808692468987</c:v>
                </c:pt>
                <c:pt idx="153">
                  <c:v>95.412658386540357</c:v>
                </c:pt>
                <c:pt idx="154">
                  <c:v>95.492212435360912</c:v>
                </c:pt>
                <c:pt idx="155">
                  <c:v>95.57136010289743</c:v>
                </c:pt>
                <c:pt idx="156">
                  <c:v>95.649985326866627</c:v>
                </c:pt>
                <c:pt idx="157">
                  <c:v>95.727966717771224</c:v>
                </c:pt>
                <c:pt idx="158">
                  <c:v>95.805177581733489</c:v>
                </c:pt>
                <c:pt idx="159">
                  <c:v>95.881485968963972</c:v>
                </c:pt>
                <c:pt idx="160">
                  <c:v>95.956754749660917</c:v>
                </c:pt>
                <c:pt idx="161">
                  <c:v>96.030841719056724</c:v>
                </c:pt>
                <c:pt idx="162">
                  <c:v>96.103599733223703</c:v>
                </c:pt>
                <c:pt idx="163">
                  <c:v>96.17487687712385</c:v>
                </c:pt>
                <c:pt idx="164">
                  <c:v>96.244516666210231</c:v>
                </c:pt>
                <c:pt idx="165">
                  <c:v>96.312358282712239</c:v>
                </c:pt>
                <c:pt idx="166">
                  <c:v>96.37823684747876</c:v>
                </c:pt>
                <c:pt idx="167">
                  <c:v>96.441983728024354</c:v>
                </c:pt>
                <c:pt idx="168">
                  <c:v>96.503426883095159</c:v>
                </c:pt>
                <c:pt idx="169">
                  <c:v>96.562391243774826</c:v>
                </c:pt>
                <c:pt idx="170">
                  <c:v>96.618699130771887</c:v>
                </c:pt>
                <c:pt idx="171">
                  <c:v>96.672170707166075</c:v>
                </c:pt>
                <c:pt idx="172">
                  <c:v>96.722624465477864</c:v>
                </c:pt>
                <c:pt idx="173">
                  <c:v>96.76987774749378</c:v>
                </c:pt>
                <c:pt idx="174">
                  <c:v>96.81374729486636</c:v>
                </c:pt>
                <c:pt idx="175">
                  <c:v>96.854049828031407</c:v>
                </c:pt>
                <c:pt idx="176">
                  <c:v>96.890602650563338</c:v>
                </c:pt>
                <c:pt idx="177">
                  <c:v>96.923224275631071</c:v>
                </c:pt>
                <c:pt idx="178">
                  <c:v>96.951735070797952</c:v>
                </c:pt>
                <c:pt idx="179">
                  <c:v>96.975957916997899</c:v>
                </c:pt>
                <c:pt idx="180">
                  <c:v>96.995718877137023</c:v>
                </c:pt>
                <c:pt idx="181">
                  <c:v>97.010847869441932</c:v>
                </c:pt>
                <c:pt idx="182">
                  <c:v>97.021179340363005</c:v>
                </c:pt>
                <c:pt idx="183">
                  <c:v>97.026552931616806</c:v>
                </c:pt>
                <c:pt idx="184">
                  <c:v>97.026814135751707</c:v>
                </c:pt>
                <c:pt idx="185">
                  <c:v>97.021814934524741</c:v>
                </c:pt>
                <c:pt idx="186">
                  <c:v>97.011414414315936</c:v>
                </c:pt>
                <c:pt idx="187">
                  <c:v>96.995479352850495</c:v>
                </c:pt>
                <c:pt idx="188">
                  <c:v>96.973884771604673</c:v>
                </c:pt>
                <c:pt idx="189">
                  <c:v>96.946514448470182</c:v>
                </c:pt>
                <c:pt idx="190">
                  <c:v>96.913261385512385</c:v>
                </c:pt>
                <c:pt idx="191">
                  <c:v>96.874028227016851</c:v>
                </c:pt>
                <c:pt idx="192">
                  <c:v>96.828727623434332</c:v>
                </c:pt>
                <c:pt idx="193">
                  <c:v>96.77728253733801</c:v>
                </c:pt>
                <c:pt idx="194">
                  <c:v>96.719626488050181</c:v>
                </c:pt>
                <c:pt idx="195">
                  <c:v>96.655703732216836</c:v>
                </c:pt>
                <c:pt idx="196">
                  <c:v>96.585469378251361</c:v>
                </c:pt>
                <c:pt idx="197">
                  <c:v>96.508889433275755</c:v>
                </c:pt>
                <c:pt idx="198">
                  <c:v>96.425940781878225</c:v>
                </c:pt>
                <c:pt idx="199">
                  <c:v>96.33661109674722</c:v>
                </c:pt>
                <c:pt idx="200">
                  <c:v>96.240898681959479</c:v>
                </c:pt>
                <c:pt idx="201">
                  <c:v>96.138812250403191</c:v>
                </c:pt>
                <c:pt idx="202">
                  <c:v>96.030370637512732</c:v>
                </c:pt>
                <c:pt idx="203">
                  <c:v>95.915602454133989</c:v>
                </c:pt>
                <c:pt idx="204">
                  <c:v>95.794545681942282</c:v>
                </c:pt>
                <c:pt idx="205">
                  <c:v>95.667247215385132</c:v>
                </c:pt>
                <c:pt idx="206">
                  <c:v>95.533762354596718</c:v>
                </c:pt>
                <c:pt idx="207">
                  <c:v>95.394154254164349</c:v>
                </c:pt>
                <c:pt idx="208">
                  <c:v>95.248493332934046</c:v>
                </c:pt>
                <c:pt idx="209">
                  <c:v>95.096856650337088</c:v>
                </c:pt>
                <c:pt idx="210">
                  <c:v>94.939327254868559</c:v>
                </c:pt>
                <c:pt idx="211">
                  <c:v>94.775993510468965</c:v>
                </c:pt>
                <c:pt idx="212">
                  <c:v>94.606948406581196</c:v>
                </c:pt>
                <c:pt idx="213">
                  <c:v>94.432288857577873</c:v>
                </c:pt>
                <c:pt idx="214">
                  <c:v>94.252114997164497</c:v>
                </c:pt>
                <c:pt idx="215">
                  <c:v>94.066529473143675</c:v>
                </c:pt>
                <c:pt idx="216">
                  <c:v>93.875636747692624</c:v>
                </c:pt>
                <c:pt idx="217">
                  <c:v>93.679542407994546</c:v>
                </c:pt>
                <c:pt idx="218">
                  <c:v>93.478352491729964</c:v>
                </c:pt>
                <c:pt idx="219">
                  <c:v>93.272172831539052</c:v>
                </c:pt>
                <c:pt idx="220">
                  <c:v>93.061108422164779</c:v>
                </c:pt>
                <c:pt idx="221">
                  <c:v>92.84526281355781</c:v>
                </c:pt>
                <c:pt idx="222">
                  <c:v>92.62473753277294</c:v>
                </c:pt>
                <c:pt idx="223">
                  <c:v>92.399631537055868</c:v>
                </c:pt>
                <c:pt idx="224">
                  <c:v>92.170040700064106</c:v>
                </c:pt>
                <c:pt idx="225">
                  <c:v>91.936057332733185</c:v>
                </c:pt>
                <c:pt idx="226">
                  <c:v>91.697769739891356</c:v>
                </c:pt>
                <c:pt idx="227">
                  <c:v>91.455261813309789</c:v>
                </c:pt>
                <c:pt idx="228">
                  <c:v>91.208612661516042</c:v>
                </c:pt>
                <c:pt idx="229">
                  <c:v>90.957896276338587</c:v>
                </c:pt>
                <c:pt idx="230">
                  <c:v>90.703181235836752</c:v>
                </c:pt>
                <c:pt idx="231">
                  <c:v>90.444530442987883</c:v>
                </c:pt>
                <c:pt idx="232">
                  <c:v>90.182000899238574</c:v>
                </c:pt>
                <c:pt idx="233">
                  <c:v>89.915643511814537</c:v>
                </c:pt>
                <c:pt idx="234">
                  <c:v>89.645502933500879</c:v>
                </c:pt>
                <c:pt idx="235">
                  <c:v>89.371617433424447</c:v>
                </c:pt>
                <c:pt idx="236">
                  <c:v>89.094018797285472</c:v>
                </c:pt>
                <c:pt idx="237">
                  <c:v>88.812732255346575</c:v>
                </c:pt>
                <c:pt idx="238">
                  <c:v>88.527776436457842</c:v>
                </c:pt>
                <c:pt idx="239">
                  <c:v>88.239163346332802</c:v>
                </c:pt>
                <c:pt idx="240">
                  <c:v>87.946898368279335</c:v>
                </c:pt>
                <c:pt idx="241">
                  <c:v>87.650980284601985</c:v>
                </c:pt>
                <c:pt idx="242">
                  <c:v>87.351401316900294</c:v>
                </c:pt>
                <c:pt idx="243">
                  <c:v>87.048147183540053</c:v>
                </c:pt>
                <c:pt idx="244">
                  <c:v>86.741197172626727</c:v>
                </c:pt>
                <c:pt idx="245">
                  <c:v>86.43052422887142</c:v>
                </c:pt>
                <c:pt idx="246">
                  <c:v>86.11609505282243</c:v>
                </c:pt>
                <c:pt idx="247">
                  <c:v>85.797870211024318</c:v>
                </c:pt>
                <c:pt idx="248">
                  <c:v>85.475804255744322</c:v>
                </c:pt>
                <c:pt idx="249">
                  <c:v>85.149845853018533</c:v>
                </c:pt>
                <c:pt idx="250">
                  <c:v>84.819937917861168</c:v>
                </c:pt>
                <c:pt idx="251">
                  <c:v>84.486017755578686</c:v>
                </c:pt>
                <c:pt idx="252">
                  <c:v>84.14801720824255</c:v>
                </c:pt>
                <c:pt idx="253">
                  <c:v>83.805862805465594</c:v>
                </c:pt>
                <c:pt idx="254">
                  <c:v>83.459475918732124</c:v>
                </c:pt>
                <c:pt idx="255">
                  <c:v>83.108772918631715</c:v>
                </c:pt>
                <c:pt idx="256">
                  <c:v>82.753665334433279</c:v>
                </c:pt>
                <c:pt idx="257">
                  <c:v>82.394060015538415</c:v>
                </c:pt>
                <c:pt idx="258">
                  <c:v>82.029859294432185</c:v>
                </c:pt>
                <c:pt idx="259">
                  <c:v>81.66096115083937</c:v>
                </c:pt>
                <c:pt idx="260">
                  <c:v>81.287259376869471</c:v>
                </c:pt>
                <c:pt idx="261">
                  <c:v>80.908643743011893</c:v>
                </c:pt>
                <c:pt idx="262">
                  <c:v>80.525000164910637</c:v>
                </c:pt>
                <c:pt idx="263">
                  <c:v>80.136210870917537</c:v>
                </c:pt>
                <c:pt idx="264">
                  <c:v>79.742154570479983</c:v>
                </c:pt>
                <c:pt idx="265">
                  <c:v>79.342706623476332</c:v>
                </c:pt>
                <c:pt idx="266">
                  <c:v>78.937739210671111</c:v>
                </c:pt>
                <c:pt idx="267">
                  <c:v>78.527121505494236</c:v>
                </c:pt>
                <c:pt idx="268">
                  <c:v>78.110719847412284</c:v>
                </c:pt>
                <c:pt idx="269">
                  <c:v>77.688397917177653</c:v>
                </c:pt>
                <c:pt idx="270">
                  <c:v>77.260016914289636</c:v>
                </c:pt>
                <c:pt idx="271">
                  <c:v>76.825435737025444</c:v>
                </c:pt>
                <c:pt idx="272">
                  <c:v>76.384511165426943</c:v>
                </c:pt>
                <c:pt idx="273">
                  <c:v>75.937098047644881</c:v>
                </c:pt>
                <c:pt idx="274">
                  <c:v>75.483049490070357</c:v>
                </c:pt>
                <c:pt idx="275">
                  <c:v>75.022217051680002</c:v>
                </c:pt>
                <c:pt idx="276">
                  <c:v>74.554450943045396</c:v>
                </c:pt>
                <c:pt idx="277">
                  <c:v>74.079600230450097</c:v>
                </c:pt>
                <c:pt idx="278">
                  <c:v>73.597513045562167</c:v>
                </c:pt>
                <c:pt idx="279">
                  <c:v>73.108036801101761</c:v>
                </c:pt>
                <c:pt idx="280">
                  <c:v>72.611018412937668</c:v>
                </c:pt>
                <c:pt idx="281">
                  <c:v>72.106304529022893</c:v>
                </c:pt>
                <c:pt idx="282">
                  <c:v>71.593741765569817</c:v>
                </c:pt>
                <c:pt idx="283">
                  <c:v>71.073176950832689</c:v>
                </c:pt>
                <c:pt idx="284">
                  <c:v>70.544457376836135</c:v>
                </c:pt>
                <c:pt idx="285">
                  <c:v>70.007431059347098</c:v>
                </c:pt>
                <c:pt idx="286">
                  <c:v>69.461947006358187</c:v>
                </c:pt>
                <c:pt idx="287">
                  <c:v>68.907855495281396</c:v>
                </c:pt>
                <c:pt idx="288">
                  <c:v>68.345008359015807</c:v>
                </c:pt>
                <c:pt idx="289">
                  <c:v>67.773259280973193</c:v>
                </c:pt>
                <c:pt idx="290">
                  <c:v>67.192464099091367</c:v>
                </c:pt>
                <c:pt idx="291">
                  <c:v>66.60248111878272</c:v>
                </c:pt>
                <c:pt idx="292">
                  <c:v>66.003171434679928</c:v>
                </c:pt>
                <c:pt idx="293">
                  <c:v>65.394399260962714</c:v>
                </c:pt>
                <c:pt idx="294">
                  <c:v>64.776032269941524</c:v>
                </c:pt>
                <c:pt idx="295">
                  <c:v>64.1479419384831</c:v>
                </c:pt>
                <c:pt idx="296">
                  <c:v>63.510003901746586</c:v>
                </c:pt>
                <c:pt idx="297">
                  <c:v>62.862098313588206</c:v>
                </c:pt>
                <c:pt idx="298">
                  <c:v>62.204110212872251</c:v>
                </c:pt>
                <c:pt idx="299">
                  <c:v>61.535929894809456</c:v>
                </c:pt>
                <c:pt idx="300">
                  <c:v>60.857453286298508</c:v>
                </c:pt>
                <c:pt idx="301">
                  <c:v>60.168582324140033</c:v>
                </c:pt>
                <c:pt idx="302">
                  <c:v>59.469225334839066</c:v>
                </c:pt>
                <c:pt idx="303">
                  <c:v>58.759297414596062</c:v>
                </c:pt>
                <c:pt idx="304">
                  <c:v>58.03872080794514</c:v>
                </c:pt>
                <c:pt idx="305">
                  <c:v>57.307425283376801</c:v>
                </c:pt>
                <c:pt idx="306">
                  <c:v>56.56534850415791</c:v>
                </c:pt>
                <c:pt idx="307">
                  <c:v>55.812436392442095</c:v>
                </c:pt>
                <c:pt idx="308">
                  <c:v>55.04864348466613</c:v>
                </c:pt>
                <c:pt idx="309">
                  <c:v>54.273933276121454</c:v>
                </c:pt>
                <c:pt idx="310">
                  <c:v>53.488278552516334</c:v>
                </c:pt>
                <c:pt idx="311">
                  <c:v>52.691661706274601</c:v>
                </c:pt>
                <c:pt idx="312">
                  <c:v>51.884075035273781</c:v>
                </c:pt>
                <c:pt idx="313">
                  <c:v>51.065521021692931</c:v>
                </c:pt>
                <c:pt idx="314">
                  <c:v>50.23601258864899</c:v>
                </c:pt>
                <c:pt idx="315">
                  <c:v>49.395573332313802</c:v>
                </c:pt>
                <c:pt idx="316">
                  <c:v>48.544237727262384</c:v>
                </c:pt>
                <c:pt idx="317">
                  <c:v>47.682051302878634</c:v>
                </c:pt>
                <c:pt idx="318">
                  <c:v>46.809070788763364</c:v>
                </c:pt>
                <c:pt idx="319">
                  <c:v>45.925364227225884</c:v>
                </c:pt>
                <c:pt idx="320">
                  <c:v>45.031011051121894</c:v>
                </c:pt>
                <c:pt idx="321">
                  <c:v>44.126102125510187</c:v>
                </c:pt>
                <c:pt idx="322">
                  <c:v>43.210739751834879</c:v>
                </c:pt>
                <c:pt idx="323">
                  <c:v>42.285037633618884</c:v>
                </c:pt>
                <c:pt idx="324">
                  <c:v>41.349120802953365</c:v>
                </c:pt>
                <c:pt idx="325">
                  <c:v>40.403125507392659</c:v>
                </c:pt>
                <c:pt idx="326">
                  <c:v>39.447199057209033</c:v>
                </c:pt>
                <c:pt idx="327">
                  <c:v>38.481499633346559</c:v>
                </c:pt>
                <c:pt idx="328">
                  <c:v>37.506196056777469</c:v>
                </c:pt>
                <c:pt idx="329">
                  <c:v>36.52146752036866</c:v>
                </c:pt>
                <c:pt idx="330">
                  <c:v>35.527503284757799</c:v>
                </c:pt>
                <c:pt idx="331">
                  <c:v>34.524502340128535</c:v>
                </c:pt>
                <c:pt idx="332">
                  <c:v>33.512673036167044</c:v>
                </c:pt>
                <c:pt idx="333">
                  <c:v>32.492232682833531</c:v>
                </c:pt>
                <c:pt idx="334">
                  <c:v>31.463407124941511</c:v>
                </c:pt>
                <c:pt idx="335">
                  <c:v>30.426430293843367</c:v>
                </c:pt>
                <c:pt idx="336">
                  <c:v>29.381543739801344</c:v>
                </c:pt>
                <c:pt idx="337">
                  <c:v>28.328996148854316</c:v>
                </c:pt>
                <c:pt idx="338">
                  <c:v>27.269042848186871</c:v>
                </c:pt>
                <c:pt idx="339">
                  <c:v>26.201945304130646</c:v>
                </c:pt>
                <c:pt idx="340">
                  <c:v>25.127970617015194</c:v>
                </c:pt>
                <c:pt idx="341">
                  <c:v>24.047391017097482</c:v>
                </c:pt>
                <c:pt idx="342">
                  <c:v>22.960483365752111</c:v>
                </c:pt>
                <c:pt idx="343">
                  <c:v>21.867528666009974</c:v>
                </c:pt>
                <c:pt idx="344">
                  <c:v>20.768811586343077</c:v>
                </c:pt>
                <c:pt idx="345">
                  <c:v>19.664620001380456</c:v>
                </c:pt>
                <c:pt idx="346">
                  <c:v>18.555244552941929</c:v>
                </c:pt>
                <c:pt idx="347">
                  <c:v>17.440978234427348</c:v>
                </c:pt>
                <c:pt idx="348">
                  <c:v>16.322116001211555</c:v>
                </c:pt>
                <c:pt idx="349">
                  <c:v>15.198954409263337</c:v>
                </c:pt>
                <c:pt idx="350">
                  <c:v>14.071791283705693</c:v>
                </c:pt>
                <c:pt idx="351">
                  <c:v>12.940925418561307</c:v>
                </c:pt>
                <c:pt idx="352">
                  <c:v>11.80665630837089</c:v>
                </c:pt>
                <c:pt idx="353">
                  <c:v>10.669283911853427</c:v>
                </c:pt>
                <c:pt idx="354">
                  <c:v>9.5291084472134173</c:v>
                </c:pt>
                <c:pt idx="355">
                  <c:v>8.3864302181746382</c:v>
                </c:pt>
                <c:pt idx="356">
                  <c:v>7.2415494692779703</c:v>
                </c:pt>
                <c:pt idx="357">
                  <c:v>6.0947662684847899</c:v>
                </c:pt>
                <c:pt idx="358">
                  <c:v>4.946380414643329</c:v>
                </c:pt>
                <c:pt idx="359">
                  <c:v>3.7966913669435201</c:v>
                </c:pt>
                <c:pt idx="360">
                  <c:v>2.6459981930795777</c:v>
                </c:pt>
                <c:pt idx="361">
                  <c:v>1.494599532511927</c:v>
                </c:pt>
                <c:pt idx="362">
                  <c:v>0.34279357091716633</c:v>
                </c:pt>
                <c:pt idx="363">
                  <c:v>-0.80912197830630816</c:v>
                </c:pt>
                <c:pt idx="364">
                  <c:v>-1.9608498897598565</c:v>
                </c:pt>
                <c:pt idx="365">
                  <c:v>-3.1120934434031824</c:v>
                </c:pt>
                <c:pt idx="366">
                  <c:v>-4.2625564479454567</c:v>
                </c:pt>
                <c:pt idx="367">
                  <c:v>-5.4119432746669816</c:v>
                </c:pt>
                <c:pt idx="368">
                  <c:v>-6.5599589059324899</c:v>
                </c:pt>
                <c:pt idx="369">
                  <c:v>-7.7063090024960559</c:v>
                </c:pt>
                <c:pt idx="370">
                  <c:v>-8.8506999934692487</c:v>
                </c:pt>
                <c:pt idx="371">
                  <c:v>-9.9928391925264748</c:v>
                </c:pt>
                <c:pt idx="372">
                  <c:v>-11.132434943577948</c:v>
                </c:pt>
                <c:pt idx="373">
                  <c:v>-12.269196798759538</c:v>
                </c:pt>
                <c:pt idx="374">
                  <c:v>-13.402835731151839</c:v>
                </c:pt>
                <c:pt idx="375">
                  <c:v>-14.53306438418673</c:v>
                </c:pt>
                <c:pt idx="376">
                  <c:v>-15.659597359217855</c:v>
                </c:pt>
                <c:pt idx="377">
                  <c:v>-16.782151542232498</c:v>
                </c:pt>
                <c:pt idx="378">
                  <c:v>-17.900446470182032</c:v>
                </c:pt>
                <c:pt idx="379">
                  <c:v>-19.014204736905327</c:v>
                </c:pt>
                <c:pt idx="380">
                  <c:v>-20.123152438148225</c:v>
                </c:pt>
                <c:pt idx="381">
                  <c:v>-21.227019654699859</c:v>
                </c:pt>
                <c:pt idx="382">
                  <c:v>-22.325540972253918</c:v>
                </c:pt>
                <c:pt idx="383">
                  <c:v>-23.418456036195124</c:v>
                </c:pt>
                <c:pt idx="384">
                  <c:v>-24.505510139175954</c:v>
                </c:pt>
                <c:pt idx="385">
                  <c:v>-25.58645483905218</c:v>
                </c:pt>
                <c:pt idx="386">
                  <c:v>-26.661048604506902</c:v>
                </c:pt>
                <c:pt idx="387">
                  <c:v>-27.729057485538704</c:v>
                </c:pt>
                <c:pt idx="388">
                  <c:v>-28.790255805873585</c:v>
                </c:pt>
                <c:pt idx="389">
                  <c:v>-29.844426874340371</c:v>
                </c:pt>
                <c:pt idx="390">
                  <c:v>-30.891363712295657</c:v>
                </c:pt>
                <c:pt idx="391">
                  <c:v>-31.930869794291453</c:v>
                </c:pt>
                <c:pt idx="392">
                  <c:v>-32.962759799386475</c:v>
                </c:pt>
                <c:pt idx="393">
                  <c:v>-33.986860370749554</c:v>
                </c:pt>
                <c:pt idx="394">
                  <c:v>-35.003010881554133</c:v>
                </c:pt>
                <c:pt idx="395">
                  <c:v>-36.011064205552458</c:v>
                </c:pt>
                <c:pt idx="396">
                  <c:v>-37.010887491192932</c:v>
                </c:pt>
                <c:pt idx="397">
                  <c:v>-38.002362938670501</c:v>
                </c:pt>
                <c:pt idx="398">
                  <c:v>-38.985388579885438</c:v>
                </c:pt>
                <c:pt idx="399">
                  <c:v>-39.959879061923203</c:v>
                </c:pt>
                <c:pt idx="400">
                  <c:v>-40.925766435366853</c:v>
                </c:pt>
                <c:pt idx="401">
                  <c:v>-41.88300094947131</c:v>
                </c:pt>
                <c:pt idx="402">
                  <c:v>-42.831551857039926</c:v>
                </c:pt>
                <c:pt idx="403">
                  <c:v>-43.771408232642798</c:v>
                </c:pt>
                <c:pt idx="404">
                  <c:v>-44.702579808703661</c:v>
                </c:pt>
                <c:pt idx="405">
                  <c:v>-45.625097834891804</c:v>
                </c:pt>
                <c:pt idx="406">
                  <c:v>-46.539015967216102</c:v>
                </c:pt>
                <c:pt idx="407">
                  <c:v>-47.444411194234988</c:v>
                </c:pt>
                <c:pt idx="408">
                  <c:v>-48.341384808867986</c:v>
                </c:pt>
                <c:pt idx="409">
                  <c:v>-49.230063435422238</c:v>
                </c:pt>
                <c:pt idx="410">
                  <c:v>-50.110600122678051</c:v>
                </c:pt>
                <c:pt idx="411">
                  <c:v>-50.983175515159701</c:v>
                </c:pt>
                <c:pt idx="412">
                  <c:v>-51.84799911613834</c:v>
                </c:pt>
                <c:pt idx="413">
                  <c:v>-52.705310657435007</c:v>
                </c:pt>
                <c:pt idx="414">
                  <c:v>-53.555381592773742</c:v>
                </c:pt>
                <c:pt idx="415">
                  <c:v>-54.398516733271066</c:v>
                </c:pt>
                <c:pt idx="416">
                  <c:v>-55.23505604569786</c:v>
                </c:pt>
                <c:pt idx="417">
                  <c:v>-56.06537663642996</c:v>
                </c:pt>
                <c:pt idx="418">
                  <c:v>-56.889894946544956</c:v>
                </c:pt>
                <c:pt idx="419">
                  <c:v>-57.709069186393137</c:v>
                </c:pt>
                <c:pt idx="420">
                  <c:v>-58.523402041204449</c:v>
                </c:pt>
                <c:pt idx="421">
                  <c:v>-59.333443682934245</c:v>
                </c:pt>
                <c:pt idx="422">
                  <c:v>-60.139795127693432</c:v>
                </c:pt>
                <c:pt idx="423">
                  <c:v>-60.943111982793326</c:v>
                </c:pt>
                <c:pt idx="424">
                  <c:v>-61.744108632759449</c:v>
                </c:pt>
                <c:pt idx="425">
                  <c:v>-62.543562919697678</c:v>
                </c:pt>
                <c:pt idx="426">
                  <c:v>-63.342321380251249</c:v>
                </c:pt>
                <c:pt idx="427">
                  <c:v>-64.141305109142465</c:v>
                </c:pt>
                <c:pt idx="428">
                  <c:v>-64.941516328054831</c:v>
                </c:pt>
                <c:pt idx="429">
                  <c:v>-65.744045748505542</c:v>
                </c:pt>
                <c:pt idx="430">
                  <c:v>-66.550080828458434</c:v>
                </c:pt>
                <c:pt idx="431">
                  <c:v>-67.360915034826363</c:v>
                </c:pt>
                <c:pt idx="432">
                  <c:v>-68.177958237771747</c:v>
                </c:pt>
                <c:pt idx="433">
                  <c:v>-69.002748377828524</c:v>
                </c:pt>
                <c:pt idx="434">
                  <c:v>-69.836964563278386</c:v>
                </c:pt>
                <c:pt idx="435">
                  <c:v>-70.682441772674096</c:v>
                </c:pt>
                <c:pt idx="436">
                  <c:v>-71.541187355575687</c:v>
                </c:pt>
                <c:pt idx="437">
                  <c:v>-72.415399542693564</c:v>
                </c:pt>
                <c:pt idx="438">
                  <c:v>-73.307488193640779</c:v>
                </c:pt>
                <c:pt idx="439">
                  <c:v>-74.220098024641416</c:v>
                </c:pt>
                <c:pt idx="440">
                  <c:v>-75.156134567151568</c:v>
                </c:pt>
                <c:pt idx="441">
                  <c:v>-76.118793107563206</c:v>
                </c:pt>
                <c:pt idx="442">
                  <c:v>-77.111590842227542</c:v>
                </c:pt>
                <c:pt idx="443">
                  <c:v>-78.138402442662169</c:v>
                </c:pt>
                <c:pt idx="444">
                  <c:v>-79.20349915127079</c:v>
                </c:pt>
                <c:pt idx="445">
                  <c:v>-80.311591401412201</c:v>
                </c:pt>
                <c:pt idx="446">
                  <c:v>-81.467874753986536</c:v>
                </c:pt>
                <c:pt idx="447">
                  <c:v>-82.67807863360143</c:v>
                </c:pt>
                <c:pt idx="448">
                  <c:v>-83.948516887070596</c:v>
                </c:pt>
                <c:pt idx="449">
                  <c:v>-85.28613851692883</c:v>
                </c:pt>
                <c:pt idx="450">
                  <c:v>-86.698575986673646</c:v>
                </c:pt>
                <c:pt idx="451">
                  <c:v>-88.194187156376699</c:v>
                </c:pt>
                <c:pt idx="452">
                  <c:v>-89.78208507250632</c:v>
                </c:pt>
                <c:pt idx="453">
                  <c:v>-91.472147377896988</c:v>
                </c:pt>
                <c:pt idx="454">
                  <c:v>-93.274993909593192</c:v>
                </c:pt>
                <c:pt idx="455">
                  <c:v>-95.201917047936121</c:v>
                </c:pt>
                <c:pt idx="456">
                  <c:v>-97.26474463476076</c:v>
                </c:pt>
                <c:pt idx="457">
                  <c:v>-99.475610120983987</c:v>
                </c:pt>
                <c:pt idx="458">
                  <c:v>-101.8465998294791</c:v>
                </c:pt>
                <c:pt idx="459">
                  <c:v>-104.38924435908939</c:v>
                </c:pt>
                <c:pt idx="460">
                  <c:v>-107.11382276213953</c:v>
                </c:pt>
                <c:pt idx="461">
                  <c:v>-110.02845792725184</c:v>
                </c:pt>
                <c:pt idx="462">
                  <c:v>-113.138004203855</c:v>
                </c:pt>
                <c:pt idx="463">
                  <c:v>-116.44276800966634</c:v>
                </c:pt>
                <c:pt idx="464">
                  <c:v>-119.93716033823284</c:v>
                </c:pt>
                <c:pt idx="465">
                  <c:v>-123.60845115268651</c:v>
                </c:pt>
                <c:pt idx="466">
                  <c:v>-127.43586295177913</c:v>
                </c:pt>
                <c:pt idx="467">
                  <c:v>-131.39027564802626</c:v>
                </c:pt>
                <c:pt idx="468">
                  <c:v>-135.4347834533599</c:v>
                </c:pt>
                <c:pt idx="469">
                  <c:v>-139.52622449261511</c:v>
                </c:pt>
                <c:pt idx="470">
                  <c:v>-143.61760587238885</c:v>
                </c:pt>
                <c:pt idx="471">
                  <c:v>-147.66112467766789</c:v>
                </c:pt>
                <c:pt idx="472">
                  <c:v>-151.611320495966</c:v>
                </c:pt>
                <c:pt idx="473">
                  <c:v>-155.42785705219296</c:v>
                </c:pt>
                <c:pt idx="474">
                  <c:v>-159.07753624390963</c:v>
                </c:pt>
                <c:pt idx="475">
                  <c:v>-162.53535114776088</c:v>
                </c:pt>
                <c:pt idx="476">
                  <c:v>-165.78460422811949</c:v>
                </c:pt>
                <c:pt idx="477">
                  <c:v>-168.81628112375489</c:v>
                </c:pt>
                <c:pt idx="478">
                  <c:v>-171.62794619132112</c:v>
                </c:pt>
                <c:pt idx="479">
                  <c:v>-174.22242123443937</c:v>
                </c:pt>
                <c:pt idx="480">
                  <c:v>-176.60645404598259</c:v>
                </c:pt>
                <c:pt idx="481">
                  <c:v>-178.78951137451685</c:v>
                </c:pt>
                <c:pt idx="482">
                  <c:v>-180.78276480425359</c:v>
                </c:pt>
                <c:pt idx="483">
                  <c:v>-182.59828867345362</c:v>
                </c:pt>
                <c:pt idx="484">
                  <c:v>-184.24845818917836</c:v>
                </c:pt>
                <c:pt idx="485">
                  <c:v>-185.74552011042721</c:v>
                </c:pt>
                <c:pt idx="486">
                  <c:v>-187.10130308795326</c:v>
                </c:pt>
                <c:pt idx="487">
                  <c:v>-188.32703570479083</c:v>
                </c:pt>
                <c:pt idx="488">
                  <c:v>-189.4332443010652</c:v>
                </c:pt>
                <c:pt idx="489">
                  <c:v>-190.42970776632865</c:v>
                </c:pt>
                <c:pt idx="490">
                  <c:v>-191.32545150524567</c:v>
                </c:pt>
                <c:pt idx="491">
                  <c:v>-192.12876718920768</c:v>
                </c:pt>
                <c:pt idx="492">
                  <c:v>-192.84724851717164</c:v>
                </c:pt>
                <c:pt idx="493">
                  <c:v>-193.48783603520479</c:v>
                </c:pt>
                <c:pt idx="494">
                  <c:v>-194.05686620385208</c:v>
                </c:pt>
                <c:pt idx="495">
                  <c:v>-194.56012148087268</c:v>
                </c:pt>
                <c:pt idx="496">
                  <c:v>-195.00287932632989</c:v>
                </c:pt>
                <c:pt idx="497">
                  <c:v>-195.38995884353773</c:v>
                </c:pt>
                <c:pt idx="498">
                  <c:v>-195.72576432932294</c:v>
                </c:pt>
                <c:pt idx="499">
                  <c:v>-196.01432538766755</c:v>
                </c:pt>
                <c:pt idx="500">
                  <c:v>-196.13216892437595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22-463D-81A0-68F554CF810C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92.773638845367245</c:v>
                </c:pt>
                <c:pt idx="1">
                  <c:v>92.749550976358293</c:v>
                </c:pt>
                <c:pt idx="2">
                  <c:v>92.726845951469784</c:v>
                </c:pt>
                <c:pt idx="3">
                  <c:v>92.705512489547743</c:v>
                </c:pt>
                <c:pt idx="4">
                  <c:v>92.685539987687406</c:v>
                </c:pt>
                <c:pt idx="5">
                  <c:v>92.66691851656617</c:v>
                </c:pt>
                <c:pt idx="6">
                  <c:v>92.649638816060005</c:v>
                </c:pt>
                <c:pt idx="7">
                  <c:v>92.633692291144342</c:v>
                </c:pt>
                <c:pt idx="8">
                  <c:v>92.619071008079487</c:v>
                </c:pt>
                <c:pt idx="9">
                  <c:v>92.605767690881407</c:v>
                </c:pt>
                <c:pt idx="10">
                  <c:v>92.593775718077552</c:v>
                </c:pt>
                <c:pt idx="11">
                  <c:v>92.583089119748848</c:v>
                </c:pt>
                <c:pt idx="12">
                  <c:v>92.573702574857251</c:v>
                </c:pt>
                <c:pt idx="13">
                  <c:v>92.56561140885951</c:v>
                </c:pt>
                <c:pt idx="14">
                  <c:v>92.558811591607011</c:v>
                </c:pt>
                <c:pt idx="15">
                  <c:v>92.553299735532107</c:v>
                </c:pt>
                <c:pt idx="16">
                  <c:v>92.549073094120459</c:v>
                </c:pt>
                <c:pt idx="17">
                  <c:v>92.546129560670025</c:v>
                </c:pt>
                <c:pt idx="18">
                  <c:v>92.544467667336363</c:v>
                </c:pt>
                <c:pt idx="19">
                  <c:v>92.544086584464154</c:v>
                </c:pt>
                <c:pt idx="20">
                  <c:v>92.544986120205351</c:v>
                </c:pt>
                <c:pt idx="21">
                  <c:v>92.547166720423533</c:v>
                </c:pt>
                <c:pt idx="22">
                  <c:v>92.55062946888448</c:v>
                </c:pt>
                <c:pt idx="23">
                  <c:v>92.555376087733109</c:v>
                </c:pt>
                <c:pt idx="24">
                  <c:v>92.561408938256591</c:v>
                </c:pt>
                <c:pt idx="25">
                  <c:v>92.568731021933374</c:v>
                </c:pt>
                <c:pt idx="26">
                  <c:v>92.577345981768417</c:v>
                </c:pt>
                <c:pt idx="27">
                  <c:v>92.587258103914124</c:v>
                </c:pt>
                <c:pt idx="28">
                  <c:v>92.598472319577013</c:v>
                </c:pt>
                <c:pt idx="29">
                  <c:v>92.61099420720987</c:v>
                </c:pt>
                <c:pt idx="30">
                  <c:v>92.624829994989483</c:v>
                </c:pt>
                <c:pt idx="31">
                  <c:v>92.639986563579058</c:v>
                </c:pt>
                <c:pt idx="32">
                  <c:v>92.656471449175726</c:v>
                </c:pt>
                <c:pt idx="33">
                  <c:v>92.674292846842278</c:v>
                </c:pt>
                <c:pt idx="34">
                  <c:v>92.693459614123199</c:v>
                </c:pt>
                <c:pt idx="35">
                  <c:v>92.713981274943947</c:v>
                </c:pt>
                <c:pt idx="36">
                  <c:v>92.735868023793444</c:v>
                </c:pt>
                <c:pt idx="37">
                  <c:v>92.75913073018873</c:v>
                </c:pt>
                <c:pt idx="38">
                  <c:v>92.783780943421448</c:v>
                </c:pt>
                <c:pt idx="39">
                  <c:v>92.809830897584817</c:v>
                </c:pt>
                <c:pt idx="40">
                  <c:v>92.837293516880393</c:v>
                </c:pt>
                <c:pt idx="41">
                  <c:v>92.866182421203334</c:v>
                </c:pt>
                <c:pt idx="42">
                  <c:v>92.896511932005126</c:v>
                </c:pt>
                <c:pt idx="43">
                  <c:v>92.928297078431612</c:v>
                </c:pt>
                <c:pt idx="44">
                  <c:v>92.961553603735453</c:v>
                </c:pt>
                <c:pt idx="45">
                  <c:v>92.996297971960473</c:v>
                </c:pt>
                <c:pt idx="46">
                  <c:v>93.032547374895941</c:v>
                </c:pt>
                <c:pt idx="47">
                  <c:v>93.070319739298299</c:v>
                </c:pt>
                <c:pt idx="48">
                  <c:v>93.109633734377667</c:v>
                </c:pt>
                <c:pt idx="49">
                  <c:v>93.150508779545959</c:v>
                </c:pt>
                <c:pt idx="50">
                  <c:v>93.192965052423006</c:v>
                </c:pt>
                <c:pt idx="51">
                  <c:v>93.237023497097411</c:v>
                </c:pt>
                <c:pt idx="52">
                  <c:v>93.282705832637163</c:v>
                </c:pt>
                <c:pt idx="53">
                  <c:v>93.330034561845807</c:v>
                </c:pt>
                <c:pt idx="54">
                  <c:v>93.379032980258756</c:v>
                </c:pt>
                <c:pt idx="55">
                  <c:v>93.429725185374181</c:v>
                </c:pt>
                <c:pt idx="56">
                  <c:v>93.482136086111566</c:v>
                </c:pt>
                <c:pt idx="57">
                  <c:v>93.536291412491792</c:v>
                </c:pt>
                <c:pt idx="58">
                  <c:v>93.592217725530375</c:v>
                </c:pt>
                <c:pt idx="59">
                  <c:v>93.649942427335631</c:v>
                </c:pt>
                <c:pt idx="60">
                  <c:v>93.709493771402705</c:v>
                </c:pt>
                <c:pt idx="61">
                  <c:v>93.770900873093211</c:v>
                </c:pt>
                <c:pt idx="62">
                  <c:v>93.834193720289448</c:v>
                </c:pt>
                <c:pt idx="63">
                  <c:v>93.899403184211238</c:v>
                </c:pt>
                <c:pt idx="64">
                  <c:v>93.966561030382252</c:v>
                </c:pt>
                <c:pt idx="65">
                  <c:v>94.035699929731578</c:v>
                </c:pt>
                <c:pt idx="66">
                  <c:v>94.106853469814965</c:v>
                </c:pt>
                <c:pt idx="67">
                  <c:v>94.180056166139082</c:v>
                </c:pt>
                <c:pt idx="68">
                  <c:v>94.255343473570306</c:v>
                </c:pt>
                <c:pt idx="69">
                  <c:v>94.332751797808442</c:v>
                </c:pt>
                <c:pt idx="70">
                  <c:v>94.412318506903986</c:v>
                </c:pt>
                <c:pt idx="71">
                  <c:v>94.494081942795717</c:v>
                </c:pt>
                <c:pt idx="72">
                  <c:v>94.57808143284349</c:v>
                </c:pt>
                <c:pt idx="73">
                  <c:v>94.664357301329559</c:v>
                </c:pt>
                <c:pt idx="74">
                  <c:v>94.752950880899093</c:v>
                </c:pt>
                <c:pt idx="75">
                  <c:v>94.843904523908634</c:v>
                </c:pt>
                <c:pt idx="76">
                  <c:v>94.937261613648701</c:v>
                </c:pt>
                <c:pt idx="77">
                  <c:v>95.033066575404106</c:v>
                </c:pt>
                <c:pt idx="78">
                  <c:v>95.131364887313552</c:v>
                </c:pt>
                <c:pt idx="79">
                  <c:v>95.232203090985578</c:v>
                </c:pt>
                <c:pt idx="80">
                  <c:v>95.335628801826914</c:v>
                </c:pt>
                <c:pt idx="81">
                  <c:v>95.441690719034597</c:v>
                </c:pt>
                <c:pt idx="82">
                  <c:v>95.550438635199995</c:v>
                </c:pt>
                <c:pt idx="83">
                  <c:v>95.66192344546981</c:v>
                </c:pt>
                <c:pt idx="84">
                  <c:v>95.776197156204873</c:v>
                </c:pt>
                <c:pt idx="85">
                  <c:v>95.893312893073343</c:v>
                </c:pt>
                <c:pt idx="86">
                  <c:v>96.013324908510867</c:v>
                </c:pt>
                <c:pt idx="87">
                  <c:v>96.136288588475793</c:v>
                </c:pt>
                <c:pt idx="88">
                  <c:v>96.262260458422432</c:v>
                </c:pt>
                <c:pt idx="89">
                  <c:v>96.391298188410403</c:v>
                </c:pt>
                <c:pt idx="90">
                  <c:v>96.523460597263906</c:v>
                </c:pt>
                <c:pt idx="91">
                  <c:v>96.658807655685948</c:v>
                </c:pt>
                <c:pt idx="92">
                  <c:v>96.797400488232114</c:v>
                </c:pt>
                <c:pt idx="93">
                  <c:v>96.939301374036276</c:v>
                </c:pt>
                <c:pt idx="94">
                  <c:v>97.084573746179743</c:v>
                </c:pt>
                <c:pt idx="95">
                  <c:v>97.233282189584102</c:v>
                </c:pt>
                <c:pt idx="96">
                  <c:v>97.38549243730462</c:v>
                </c:pt>
                <c:pt idx="97">
                  <c:v>97.541271365091959</c:v>
                </c:pt>
                <c:pt idx="98">
                  <c:v>97.700686984082509</c:v>
                </c:pt>
                <c:pt idx="99">
                  <c:v>97.863808431470716</c:v>
                </c:pt>
                <c:pt idx="100">
                  <c:v>98.030705959008515</c:v>
                </c:pt>
                <c:pt idx="101">
                  <c:v>98.201450919167314</c:v>
                </c:pt>
                <c:pt idx="102">
                  <c:v>98.37611574879206</c:v>
                </c:pt>
                <c:pt idx="103">
                  <c:v>98.554773950065908</c:v>
                </c:pt>
                <c:pt idx="104">
                  <c:v>98.737500068595907</c:v>
                </c:pt>
                <c:pt idx="105">
                  <c:v>98.924369668421065</c:v>
                </c:pt>
                <c:pt idx="106">
                  <c:v>99.115459303734809</c:v>
                </c:pt>
                <c:pt idx="107">
                  <c:v>99.310846487104911</c:v>
                </c:pt>
                <c:pt idx="108">
                  <c:v>99.510609653963527</c:v>
                </c:pt>
                <c:pt idx="109">
                  <c:v>99.714828123131383</c:v>
                </c:pt>
                <c:pt idx="110">
                  <c:v>99.923582053131781</c:v>
                </c:pt>
                <c:pt idx="111">
                  <c:v>100.13695239403822</c:v>
                </c:pt>
                <c:pt idx="112">
                  <c:v>100.35502083459298</c:v>
                </c:pt>
                <c:pt idx="113">
                  <c:v>100.57786974432491</c:v>
                </c:pt>
                <c:pt idx="114">
                  <c:v>100.805582110385</c:v>
                </c:pt>
                <c:pt idx="115">
                  <c:v>101.03824146881331</c:v>
                </c:pt>
                <c:pt idx="116">
                  <c:v>101.27593182993874</c:v>
                </c:pt>
                <c:pt idx="117">
                  <c:v>101.51873759761507</c:v>
                </c:pt>
                <c:pt idx="118">
                  <c:v>101.76674348198189</c:v>
                </c:pt>
                <c:pt idx="119">
                  <c:v>102.02003440544227</c:v>
                </c:pt>
                <c:pt idx="120">
                  <c:v>102.27869540154254</c:v>
                </c:pt>
                <c:pt idx="121">
                  <c:v>102.54281150643787</c:v>
                </c:pt>
                <c:pt idx="122">
                  <c:v>102.81246764263099</c:v>
                </c:pt>
                <c:pt idx="123">
                  <c:v>103.0877484946689</c:v>
                </c:pt>
                <c:pt idx="124">
                  <c:v>103.36873837649031</c:v>
                </c:pt>
                <c:pt idx="125">
                  <c:v>103.65552109012266</c:v>
                </c:pt>
                <c:pt idx="126">
                  <c:v>103.94817977543741</c:v>
                </c:pt>
                <c:pt idx="127">
                  <c:v>104.24679675068212</c:v>
                </c:pt>
                <c:pt idx="128">
                  <c:v>104.55145334353011</c:v>
                </c:pt>
                <c:pt idx="129">
                  <c:v>104.86222971240153</c:v>
                </c:pt>
                <c:pt idx="130">
                  <c:v>105.17920465783756</c:v>
                </c:pt>
                <c:pt idx="131">
                  <c:v>105.50245542373479</c:v>
                </c:pt>
                <c:pt idx="132">
                  <c:v>105.83205748828441</c:v>
                </c:pt>
                <c:pt idx="133">
                  <c:v>106.16808434448983</c:v>
                </c:pt>
                <c:pt idx="134">
                  <c:v>106.51060727019008</c:v>
                </c:pt>
                <c:pt idx="135">
                  <c:v>106.85969508755649</c:v>
                </c:pt>
                <c:pt idx="136">
                  <c:v>107.21541391208741</c:v>
                </c:pt>
                <c:pt idx="137">
                  <c:v>107.5778268911902</c:v>
                </c:pt>
                <c:pt idx="138">
                  <c:v>107.9469939325014</c:v>
                </c:pt>
                <c:pt idx="139">
                  <c:v>108.32297142217291</c:v>
                </c:pt>
                <c:pt idx="140">
                  <c:v>108.7058119334343</c:v>
                </c:pt>
                <c:pt idx="141">
                  <c:v>109.09556392582438</c:v>
                </c:pt>
                <c:pt idx="142">
                  <c:v>109.49227143558498</c:v>
                </c:pt>
                <c:pt idx="143">
                  <c:v>109.89597375780768</c:v>
                </c:pt>
                <c:pt idx="144">
                  <c:v>110.30670512103251</c:v>
                </c:pt>
                <c:pt idx="145">
                  <c:v>110.72449435511309</c:v>
                </c:pt>
                <c:pt idx="146">
                  <c:v>111.14936455328231</c:v>
                </c:pt>
                <c:pt idx="147">
                  <c:v>111.58133272947612</c:v>
                </c:pt>
                <c:pt idx="148">
                  <c:v>112.02040947210509</c:v>
                </c:pt>
                <c:pt idx="149">
                  <c:v>112.46659859559493</c:v>
                </c:pt>
                <c:pt idx="150">
                  <c:v>112.91989679115535</c:v>
                </c:pt>
                <c:pt idx="151">
                  <c:v>113.38029327836887</c:v>
                </c:pt>
                <c:pt idx="152">
                  <c:v>113.84776945933666</c:v>
                </c:pt>
                <c:pt idx="153">
                  <c:v>114.32229857724347</c:v>
                </c:pt>
                <c:pt idx="154">
                  <c:v>114.80384538134481</c:v>
                </c:pt>
                <c:pt idx="155">
                  <c:v>115.29236580049984</c:v>
                </c:pt>
                <c:pt idx="156">
                  <c:v>115.78780662749449</c:v>
                </c:pt>
                <c:pt idx="157">
                  <c:v>116.29010521650663</c:v>
                </c:pt>
                <c:pt idx="158">
                  <c:v>116.79918919616273</c:v>
                </c:pt>
                <c:pt idx="159">
                  <c:v>117.31497620071598</c:v>
                </c:pt>
                <c:pt idx="160">
                  <c:v>117.83737362193783</c:v>
                </c:pt>
                <c:pt idx="161">
                  <c:v>118.36627838436326</c:v>
                </c:pt>
                <c:pt idx="162">
                  <c:v>118.90157674654571</c:v>
                </c:pt>
                <c:pt idx="163">
                  <c:v>119.44314413097689</c:v>
                </c:pt>
                <c:pt idx="164">
                  <c:v>119.99084498529481</c:v>
                </c:pt>
                <c:pt idx="165">
                  <c:v>120.54453267734267</c:v>
                </c:pt>
                <c:pt idx="166">
                  <c:v>121.10404942654654</c:v>
                </c:pt>
                <c:pt idx="167">
                  <c:v>121.66922627395854</c:v>
                </c:pt>
                <c:pt idx="168">
                  <c:v>122.23988309314964</c:v>
                </c:pt>
                <c:pt idx="169">
                  <c:v>122.81582864394503</c:v>
                </c:pt>
                <c:pt idx="170">
                  <c:v>123.39686067076525</c:v>
                </c:pt>
                <c:pt idx="171">
                  <c:v>123.9827660470762</c:v>
                </c:pt>
                <c:pt idx="172">
                  <c:v>124.57332096715339</c:v>
                </c:pt>
                <c:pt idx="173">
                  <c:v>125.16829118604352</c:v>
                </c:pt>
                <c:pt idx="174">
                  <c:v>125.76743230824781</c:v>
                </c:pt>
                <c:pt idx="175">
                  <c:v>126.37049012527754</c:v>
                </c:pt>
                <c:pt idx="176">
                  <c:v>126.97720100182556</c:v>
                </c:pt>
                <c:pt idx="177">
                  <c:v>127.58729230988411</c:v>
                </c:pt>
                <c:pt idx="178">
                  <c:v>128.20048290970985</c:v>
                </c:pt>
                <c:pt idx="179">
                  <c:v>128.81648367609898</c:v>
                </c:pt>
                <c:pt idx="180">
                  <c:v>129.43499806800236</c:v>
                </c:pt>
                <c:pt idx="181">
                  <c:v>130.05572273908206</c:v>
                </c:pt>
                <c:pt idx="182">
                  <c:v>130.67834818639363</c:v>
                </c:pt>
                <c:pt idx="183">
                  <c:v>131.30255943398049</c:v>
                </c:pt>
                <c:pt idx="184">
                  <c:v>131.92803674779827</c:v>
                </c:pt>
                <c:pt idx="185">
                  <c:v>132.5544563780474</c:v>
                </c:pt>
                <c:pt idx="186">
                  <c:v>133.18149132469028</c:v>
                </c:pt>
                <c:pt idx="187">
                  <c:v>133.8088121216704</c:v>
                </c:pt>
                <c:pt idx="188">
                  <c:v>134.4360876351451</c:v>
                </c:pt>
                <c:pt idx="189">
                  <c:v>135.06298587087502</c:v>
                </c:pt>
                <c:pt idx="190">
                  <c:v>135.68917478582131</c:v>
                </c:pt>
                <c:pt idx="191">
                  <c:v>136.31432309893913</c:v>
                </c:pt>
                <c:pt idx="192">
                  <c:v>136.93810109617436</c:v>
                </c:pt>
                <c:pt idx="193">
                  <c:v>137.56018142473232</c:v>
                </c:pt>
                <c:pt idx="194">
                  <c:v>138.18023987180283</c:v>
                </c:pt>
                <c:pt idx="195">
                  <c:v>138.79795612311312</c:v>
                </c:pt>
                <c:pt idx="196">
                  <c:v>139.41301449688626</c:v>
                </c:pt>
                <c:pt idx="197">
                  <c:v>140.02510464907391</c:v>
                </c:pt>
                <c:pt idx="198">
                  <c:v>140.63392224602666</c:v>
                </c:pt>
                <c:pt idx="199">
                  <c:v>141.23916960112763</c:v>
                </c:pt>
                <c:pt idx="200">
                  <c:v>141.8405562722852</c:v>
                </c:pt>
                <c:pt idx="201">
                  <c:v>142.43779961758673</c:v>
                </c:pt>
                <c:pt idx="202">
                  <c:v>143.03062530683789</c:v>
                </c:pt>
                <c:pt idx="203">
                  <c:v>143.6187677871377</c:v>
                </c:pt>
                <c:pt idx="204">
                  <c:v>144.20197070108108</c:v>
                </c:pt>
                <c:pt idx="205">
                  <c:v>144.77998725661342</c:v>
                </c:pt>
                <c:pt idx="206">
                  <c:v>145.35258054798101</c:v>
                </c:pt>
                <c:pt idx="207">
                  <c:v>145.91952382764933</c:v>
                </c:pt>
                <c:pt idx="208">
                  <c:v>146.4806007294373</c:v>
                </c:pt>
                <c:pt idx="209">
                  <c:v>147.0356054435083</c:v>
                </c:pt>
                <c:pt idx="210">
                  <c:v>147.58434284418402</c:v>
                </c:pt>
                <c:pt idx="211">
                  <c:v>148.1266285718838</c:v>
                </c:pt>
                <c:pt idx="212">
                  <c:v>148.66228907076658</c:v>
                </c:pt>
                <c:pt idx="213">
                  <c:v>149.19116158390383</c:v>
                </c:pt>
                <c:pt idx="214">
                  <c:v>149.71309410803795</c:v>
                </c:pt>
                <c:pt idx="215">
                  <c:v>150.22794531016044</c:v>
                </c:pt>
                <c:pt idx="216">
                  <c:v>150.73558440828685</c:v>
                </c:pt>
                <c:pt idx="217">
                  <c:v>151.23589101893276</c:v>
                </c:pt>
                <c:pt idx="218">
                  <c:v>151.72875497387128</c:v>
                </c:pt>
                <c:pt idx="219">
                  <c:v>152.21407610880291</c:v>
                </c:pt>
                <c:pt idx="220">
                  <c:v>152.69176402659821</c:v>
                </c:pt>
                <c:pt idx="221">
                  <c:v>153.16173783776449</c:v>
                </c:pt>
                <c:pt idx="222">
                  <c:v>153.62392588076409</c:v>
                </c:pt>
                <c:pt idx="223">
                  <c:v>154.07826542475965</c:v>
                </c:pt>
                <c:pt idx="224">
                  <c:v>154.52470235729237</c:v>
                </c:pt>
                <c:pt idx="225">
                  <c:v>154.96319085931646</c:v>
                </c:pt>
                <c:pt idx="226">
                  <c:v>155.39369306990858</c:v>
                </c:pt>
                <c:pt idx="227">
                  <c:v>155.81617874286476</c:v>
                </c:pt>
                <c:pt idx="228">
                  <c:v>156.23062489727099</c:v>
                </c:pt>
                <c:pt idx="229">
                  <c:v>156.63701546400867</c:v>
                </c:pt>
                <c:pt idx="230">
                  <c:v>157.0353409300244</c:v>
                </c:pt>
                <c:pt idx="231">
                  <c:v>157.42559798205295</c:v>
                </c:pt>
                <c:pt idx="232">
                  <c:v>157.80778915135241</c:v>
                </c:pt>
                <c:pt idx="233">
                  <c:v>158.1819224608623</c:v>
                </c:pt>
                <c:pt idx="234">
                  <c:v>158.54801107607773</c:v>
                </c:pt>
                <c:pt idx="235">
                  <c:v>158.90607296077721</c:v>
                </c:pt>
                <c:pt idx="236">
                  <c:v>159.25613053863825</c:v>
                </c:pt>
                <c:pt idx="237">
                  <c:v>159.59821036162998</c:v>
                </c:pt>
                <c:pt idx="238">
                  <c:v>159.93234278596844</c:v>
                </c:pt>
                <c:pt idx="239">
                  <c:v>160.25856165630046</c:v>
                </c:pt>
                <c:pt idx="240">
                  <c:v>160.57690399867695</c:v>
                </c:pt>
                <c:pt idx="241">
                  <c:v>160.88740972278251</c:v>
                </c:pt>
                <c:pt idx="242">
                  <c:v>161.19012133378845</c:v>
                </c:pt>
                <c:pt idx="243">
                  <c:v>161.48508365411632</c:v>
                </c:pt>
                <c:pt idx="244">
                  <c:v>161.77234355531849</c:v>
                </c:pt>
                <c:pt idx="245">
                  <c:v>162.05194970021097</c:v>
                </c:pt>
                <c:pt idx="246">
                  <c:v>162.32395229532747</c:v>
                </c:pt>
                <c:pt idx="247">
                  <c:v>162.58840285370786</c:v>
                </c:pt>
                <c:pt idx="248">
                  <c:v>162.84535396797776</c:v>
                </c:pt>
                <c:pt idx="249">
                  <c:v>163.09485909363252</c:v>
                </c:pt>
                <c:pt idx="250">
                  <c:v>163.33697234239685</c:v>
                </c:pt>
                <c:pt idx="251">
                  <c:v>163.57174828549452</c:v>
                </c:pt>
                <c:pt idx="252">
                  <c:v>163.79924176663388</c:v>
                </c:pt>
                <c:pt idx="253">
                  <c:v>164.01950772448706</c:v>
                </c:pt>
                <c:pt idx="254">
                  <c:v>164.2326010244191</c:v>
                </c:pt>
                <c:pt idx="255">
                  <c:v>164.43857629920706</c:v>
                </c:pt>
                <c:pt idx="256">
                  <c:v>164.63748779847168</c:v>
                </c:pt>
                <c:pt idx="257">
                  <c:v>164.8293892465359</c:v>
                </c:pt>
                <c:pt idx="258">
                  <c:v>165.0143337084163</c:v>
                </c:pt>
                <c:pt idx="259">
                  <c:v>165.19237346364611</c:v>
                </c:pt>
                <c:pt idx="260">
                  <c:v>165.36355988762847</c:v>
                </c:pt>
                <c:pt idx="261">
                  <c:v>165.52794334021601</c:v>
                </c:pt>
                <c:pt idx="262">
                  <c:v>165.68557306121528</c:v>
                </c:pt>
                <c:pt idx="263">
                  <c:v>165.83649707251706</c:v>
                </c:pt>
                <c:pt idx="264">
                  <c:v>165.98076208655857</c:v>
                </c:pt>
                <c:pt idx="265">
                  <c:v>166.11841342082948</c:v>
                </c:pt>
                <c:pt idx="266">
                  <c:v>166.24949491814041</c:v>
                </c:pt>
                <c:pt idx="267">
                  <c:v>166.37404887238117</c:v>
                </c:pt>
                <c:pt idx="268">
                  <c:v>166.49211595950533</c:v>
                </c:pt>
                <c:pt idx="269">
                  <c:v>166.60373517348583</c:v>
                </c:pt>
                <c:pt idx="270">
                  <c:v>166.70894376699906</c:v>
                </c:pt>
                <c:pt idx="271">
                  <c:v>166.80777719660293</c:v>
                </c:pt>
                <c:pt idx="272">
                  <c:v>166.9002690721891</c:v>
                </c:pt>
                <c:pt idx="273">
                  <c:v>166.98645111049694</c:v>
                </c:pt>
                <c:pt idx="274">
                  <c:v>167.06635309249296</c:v>
                </c:pt>
                <c:pt idx="275">
                  <c:v>167.14000282442802</c:v>
                </c:pt>
                <c:pt idx="276">
                  <c:v>167.20742610239935</c:v>
                </c:pt>
                <c:pt idx="277">
                  <c:v>167.26864668025499</c:v>
                </c:pt>
                <c:pt idx="278">
                  <c:v>167.3236862406919</c:v>
                </c:pt>
                <c:pt idx="279">
                  <c:v>167.37256436941058</c:v>
                </c:pt>
                <c:pt idx="280">
                  <c:v>167.41529853220246</c:v>
                </c:pt>
                <c:pt idx="281">
                  <c:v>167.45190405485744</c:v>
                </c:pt>
                <c:pt idx="282">
                  <c:v>167.48239410579325</c:v>
                </c:pt>
                <c:pt idx="283">
                  <c:v>167.50677968131896</c:v>
                </c:pt>
                <c:pt idx="284">
                  <c:v>167.52506959345891</c:v>
                </c:pt>
                <c:pt idx="285">
                  <c:v>167.53727046027387</c:v>
                </c:pt>
                <c:pt idx="286">
                  <c:v>167.54338669863196</c:v>
                </c:pt>
                <c:pt idx="287">
                  <c:v>167.54342051938977</c:v>
                </c:pt>
                <c:pt idx="288">
                  <c:v>167.53737192496038</c:v>
                </c:pt>
                <c:pt idx="289">
                  <c:v>167.52523870925512</c:v>
                </c:pt>
                <c:pt idx="290">
                  <c:v>167.5070164599984</c:v>
                </c:pt>
                <c:pt idx="291">
                  <c:v>167.48269856342932</c:v>
                </c:pt>
                <c:pt idx="292">
                  <c:v>167.45227621141254</c:v>
                </c:pt>
                <c:pt idx="293">
                  <c:v>167.41573841099634</c:v>
                </c:pt>
                <c:pt idx="294">
                  <c:v>167.37307199646679</c:v>
                </c:pt>
                <c:pt idx="295">
                  <c:v>167.32426164395989</c:v>
                </c:pt>
                <c:pt idx="296">
                  <c:v>167.26928988870458</c:v>
                </c:pt>
                <c:pt idx="297">
                  <c:v>167.20813714498476</c:v>
                </c:pt>
                <c:pt idx="298">
                  <c:v>167.14078172891686</c:v>
                </c:pt>
                <c:pt idx="299">
                  <c:v>167.06719988415747</c:v>
                </c:pt>
                <c:pt idx="300">
                  <c:v>166.98736581066115</c:v>
                </c:pt>
                <c:pt idx="301">
                  <c:v>166.90125169662801</c:v>
                </c:pt>
                <c:pt idx="302">
                  <c:v>166.80882775378748</c:v>
                </c:pt>
                <c:pt idx="303">
                  <c:v>166.71006225618157</c:v>
                </c:pt>
                <c:pt idx="304">
                  <c:v>166.604921582619</c:v>
                </c:pt>
                <c:pt idx="305">
                  <c:v>166.49337026298775</c:v>
                </c:pt>
                <c:pt idx="306">
                  <c:v>166.37537102862316</c:v>
                </c:pt>
                <c:pt idx="307">
                  <c:v>166.25088486694102</c:v>
                </c:pt>
                <c:pt idx="308">
                  <c:v>166.11987108055769</c:v>
                </c:pt>
                <c:pt idx="309">
                  <c:v>165.98228735112954</c:v>
                </c:pt>
                <c:pt idx="310">
                  <c:v>165.83808980815499</c:v>
                </c:pt>
                <c:pt idx="311">
                  <c:v>165.6872331029935</c:v>
                </c:pt>
                <c:pt idx="312">
                  <c:v>165.52967048836405</c:v>
                </c:pt>
                <c:pt idx="313">
                  <c:v>165.36535390359751</c:v>
                </c:pt>
                <c:pt idx="314">
                  <c:v>165.19423406592134</c:v>
                </c:pt>
                <c:pt idx="315">
                  <c:v>165.01626056806677</c:v>
                </c:pt>
                <c:pt idx="316">
                  <c:v>164.83138198249063</c:v>
                </c:pt>
                <c:pt idx="317">
                  <c:v>164.63954597251077</c:v>
                </c:pt>
                <c:pt idx="318">
                  <c:v>164.44069941065894</c:v>
                </c:pt>
                <c:pt idx="319">
                  <c:v>164.23478850454995</c:v>
                </c:pt>
                <c:pt idx="320">
                  <c:v>164.02175893057412</c:v>
                </c:pt>
                <c:pt idx="321">
                  <c:v>163.80155597571093</c:v>
                </c:pt>
                <c:pt idx="322">
                  <c:v>163.57412468775817</c:v>
                </c:pt>
                <c:pt idx="323">
                  <c:v>163.33941003426474</c:v>
                </c:pt>
                <c:pt idx="324">
                  <c:v>163.09735707044237</c:v>
                </c:pt>
                <c:pt idx="325">
                  <c:v>162.84791111631904</c:v>
                </c:pt>
                <c:pt idx="326">
                  <c:v>162.5910179433763</c:v>
                </c:pt>
                <c:pt idx="327">
                  <c:v>162.32662397089481</c:v>
                </c:pt>
                <c:pt idx="328">
                  <c:v>162.05467647220354</c:v>
                </c:pt>
                <c:pt idx="329">
                  <c:v>161.77512379099824</c:v>
                </c:pt>
                <c:pt idx="330">
                  <c:v>161.48791556785937</c:v>
                </c:pt>
                <c:pt idx="331">
                  <c:v>161.19300297705917</c:v>
                </c:pt>
                <c:pt idx="332">
                  <c:v>160.89033897370015</c:v>
                </c:pt>
                <c:pt idx="333">
                  <c:v>160.57987855117685</c:v>
                </c:pt>
                <c:pt idx="334">
                  <c:v>160.26157900889098</c:v>
                </c:pt>
                <c:pt idx="335">
                  <c:v>159.9354002300891</c:v>
                </c:pt>
                <c:pt idx="336">
                  <c:v>159.60130496961764</c:v>
                </c:pt>
                <c:pt idx="337">
                  <c:v>159.25925915131302</c:v>
                </c:pt>
                <c:pt idx="338">
                  <c:v>158.9092321746584</c:v>
                </c:pt>
                <c:pt idx="339">
                  <c:v>158.55119723024814</c:v>
                </c:pt>
                <c:pt idx="340">
                  <c:v>158.18513162350104</c:v>
                </c:pt>
                <c:pt idx="341">
                  <c:v>157.81101710595738</c:v>
                </c:pt>
                <c:pt idx="342">
                  <c:v>157.42884021338426</c:v>
                </c:pt>
                <c:pt idx="343">
                  <c:v>157.03859260979482</c:v>
                </c:pt>
                <c:pt idx="344">
                  <c:v>156.64027143636304</c:v>
                </c:pt>
                <c:pt idx="345">
                  <c:v>156.2338796640887</c:v>
                </c:pt>
                <c:pt idx="346">
                  <c:v>155.81942644893593</c:v>
                </c:pt>
                <c:pt idx="347">
                  <c:v>155.39692748802793</c:v>
                </c:pt>
                <c:pt idx="348">
                  <c:v>154.96640537535259</c:v>
                </c:pt>
                <c:pt idx="349">
                  <c:v>154.52788995528974</c:v>
                </c:pt>
                <c:pt idx="350">
                  <c:v>154.08141867213536</c:v>
                </c:pt>
                <c:pt idx="351">
                  <c:v>153.62703691367</c:v>
                </c:pt>
                <c:pt idx="352">
                  <c:v>153.16479834668331</c:v>
                </c:pt>
                <c:pt idx="353">
                  <c:v>152.69476524225158</c:v>
                </c:pt>
                <c:pt idx="354">
                  <c:v>152.21700878844982</c:v>
                </c:pt>
                <c:pt idx="355">
                  <c:v>151.73160938807996</c:v>
                </c:pt>
                <c:pt idx="356">
                  <c:v>151.23865693891142</c:v>
                </c:pt>
                <c:pt idx="357">
                  <c:v>150.73825109385893</c:v>
                </c:pt>
                <c:pt idx="358">
                  <c:v>150.23050149847532</c:v>
                </c:pt>
                <c:pt idx="359">
                  <c:v>149.71552800310351</c:v>
                </c:pt>
                <c:pt idx="360">
                  <c:v>149.19346084703213</c:v>
                </c:pt>
                <c:pt idx="361">
                  <c:v>148.66444081201848</c:v>
                </c:pt>
                <c:pt idx="362">
                  <c:v>148.1286193425976</c:v>
                </c:pt>
                <c:pt idx="363">
                  <c:v>147.58615863066905</c:v>
                </c:pt>
                <c:pt idx="364">
                  <c:v>147.03723166198523</c:v>
                </c:pt>
                <c:pt idx="365">
                  <c:v>146.48202222228718</c:v>
                </c:pt>
                <c:pt idx="366">
                  <c:v>145.9207248610463</c:v>
                </c:pt>
                <c:pt idx="367">
                  <c:v>145.35354481095871</c:v>
                </c:pt>
                <c:pt idx="368">
                  <c:v>144.78069786161291</c:v>
                </c:pt>
                <c:pt idx="369">
                  <c:v>144.20241018601928</c:v>
                </c:pt>
                <c:pt idx="370">
                  <c:v>143.61891811901927</c:v>
                </c:pt>
                <c:pt idx="371">
                  <c:v>143.03046788692728</c:v>
                </c:pt>
                <c:pt idx="372">
                  <c:v>142.43731528813541</c:v>
                </c:pt>
                <c:pt idx="373">
                  <c:v>141.83972532480374</c:v>
                </c:pt>
                <c:pt idx="374">
                  <c:v>141.23797178617383</c:v>
                </c:pt>
                <c:pt idx="375">
                  <c:v>140.63233678446471</c:v>
                </c:pt>
                <c:pt idx="376">
                  <c:v>140.02311024474966</c:v>
                </c:pt>
                <c:pt idx="377">
                  <c:v>139.41058935064137</c:v>
                </c:pt>
                <c:pt idx="378">
                  <c:v>138.79507794805346</c:v>
                </c:pt>
                <c:pt idx="379">
                  <c:v>138.17688590971983</c:v>
                </c:pt>
                <c:pt idx="380">
                  <c:v>137.55632846355797</c:v>
                </c:pt>
                <c:pt idx="381">
                  <c:v>136.9337254883481</c:v>
                </c:pt>
                <c:pt idx="382">
                  <c:v>136.30940078053919</c:v>
                </c:pt>
                <c:pt idx="383">
                  <c:v>135.68368129632012</c:v>
                </c:pt>
                <c:pt idx="384">
                  <c:v>135.05689637335399</c:v>
                </c:pt>
                <c:pt idx="385">
                  <c:v>134.42937693680568</c:v>
                </c:pt>
                <c:pt idx="386">
                  <c:v>133.8014546944743</c:v>
                </c:pt>
                <c:pt idx="387">
                  <c:v>133.17346132594957</c:v>
                </c:pt>
                <c:pt idx="388">
                  <c:v>132.54572767079611</c:v>
                </c:pt>
                <c:pt idx="389">
                  <c:v>131.91858292076626</c:v>
                </c:pt>
                <c:pt idx="390">
                  <c:v>131.29235382100094</c:v>
                </c:pt>
                <c:pt idx="391">
                  <c:v>130.66736388507596</c:v>
                </c:pt>
                <c:pt idx="392">
                  <c:v>130.04393262858792</c:v>
                </c:pt>
                <c:pt idx="393">
                  <c:v>129.42237482577556</c:v>
                </c:pt>
                <c:pt idx="394">
                  <c:v>128.80299979340029</c:v>
                </c:pt>
                <c:pt idx="395">
                  <c:v>128.18611070582733</c:v>
                </c:pt>
                <c:pt idx="396">
                  <c:v>127.5720039448974</c:v>
                </c:pt>
                <c:pt idx="397">
                  <c:v>126.96096848781758</c:v>
                </c:pt>
                <c:pt idx="398">
                  <c:v>126.35328533589663</c:v>
                </c:pt>
                <c:pt idx="399">
                  <c:v>125.74922698654379</c:v>
                </c:pt>
                <c:pt idx="400">
                  <c:v>125.14905695051036</c:v>
                </c:pt>
                <c:pt idx="401">
                  <c:v>124.55302931593086</c:v>
                </c:pt>
                <c:pt idx="402">
                  <c:v>123.96138836027333</c:v>
                </c:pt>
                <c:pt idx="403">
                  <c:v>123.37436821088444</c:v>
                </c:pt>
                <c:pt idx="404">
                  <c:v>122.792192554401</c:v>
                </c:pt>
                <c:pt idx="405">
                  <c:v>122.21507439488828</c:v>
                </c:pt>
                <c:pt idx="406">
                  <c:v>121.64321586019474</c:v>
                </c:pt>
                <c:pt idx="407">
                  <c:v>121.07680805565127</c:v>
                </c:pt>
                <c:pt idx="408">
                  <c:v>120.51603096391798</c:v>
                </c:pt>
                <c:pt idx="409">
                  <c:v>119.96105338949073</c:v>
                </c:pt>
                <c:pt idx="410">
                  <c:v>119.41203294610415</c:v>
                </c:pt>
                <c:pt idx="411">
                  <c:v>118.86911608505233</c:v>
                </c:pt>
                <c:pt idx="412">
                  <c:v>118.33243816224513</c:v>
                </c:pt>
                <c:pt idx="413">
                  <c:v>117.80212354166031</c:v>
                </c:pt>
                <c:pt idx="414">
                  <c:v>117.27828573272551</c:v>
                </c:pt>
                <c:pt idx="415">
                  <c:v>116.76102755906919</c:v>
                </c:pt>
                <c:pt idx="416">
                  <c:v>116.25044135602241</c:v>
                </c:pt>
                <c:pt idx="417">
                  <c:v>115.74660919421248</c:v>
                </c:pt>
                <c:pt idx="418">
                  <c:v>115.24960312659408</c:v>
                </c:pt>
                <c:pt idx="419">
                  <c:v>114.75948545627649</c:v>
                </c:pt>
                <c:pt idx="420">
                  <c:v>114.27630902255213</c:v>
                </c:pt>
                <c:pt idx="421">
                  <c:v>113.80011750259428</c:v>
                </c:pt>
                <c:pt idx="422">
                  <c:v>113.33094572637067</c:v>
                </c:pt>
                <c:pt idx="423">
                  <c:v>112.86882000241896</c:v>
                </c:pt>
                <c:pt idx="424">
                  <c:v>112.41375845223401</c:v>
                </c:pt>
                <c:pt idx="425">
                  <c:v>111.96577135113867</c:v>
                </c:pt>
                <c:pt idx="426">
                  <c:v>111.52486147363366</c:v>
                </c:pt>
                <c:pt idx="427">
                  <c:v>111.09102444135409</c:v>
                </c:pt>
                <c:pt idx="428">
                  <c:v>110.66424907189696</c:v>
                </c:pt>
                <c:pt idx="429">
                  <c:v>110.24451772691829</c:v>
                </c:pt>
                <c:pt idx="430">
                  <c:v>109.8318066580381</c:v>
                </c:pt>
                <c:pt idx="431">
                  <c:v>109.42608634922577</c:v>
                </c:pt>
                <c:pt idx="432">
                  <c:v>109.02732185447348</c:v>
                </c:pt>
                <c:pt idx="433">
                  <c:v>108.63547312969364</c:v>
                </c:pt>
                <c:pt idx="434">
                  <c:v>108.25049535790122</c:v>
                </c:pt>
                <c:pt idx="435">
                  <c:v>107.87233926686572</c:v>
                </c:pt>
                <c:pt idx="436">
                  <c:v>107.5009514385263</c:v>
                </c:pt>
                <c:pt idx="437">
                  <c:v>107.13627460957565</c:v>
                </c:pt>
                <c:pt idx="438">
                  <c:v>106.77824796271989</c:v>
                </c:pt>
                <c:pt idx="439">
                  <c:v>106.4268074082119</c:v>
                </c:pt>
                <c:pt idx="440">
                  <c:v>106.08188585535031</c:v>
                </c:pt>
                <c:pt idx="441">
                  <c:v>105.74341347371167</c:v>
                </c:pt>
                <c:pt idx="442">
                  <c:v>105.41131794395884</c:v>
                </c:pt>
                <c:pt idx="443">
                  <c:v>105.08552469813955</c:v>
                </c:pt>
                <c:pt idx="444">
                  <c:v>104.76595714944531</c:v>
                </c:pt>
                <c:pt idx="445">
                  <c:v>104.45253691145898</c:v>
                </c:pt>
                <c:pt idx="446">
                  <c:v>104.14518400696625</c:v>
                </c:pt>
                <c:pt idx="447">
                  <c:v>103.8438170664525</c:v>
                </c:pt>
                <c:pt idx="448">
                  <c:v>103.54835351643924</c:v>
                </c:pt>
                <c:pt idx="449">
                  <c:v>103.25870975785337</c:v>
                </c:pt>
                <c:pt idx="450">
                  <c:v>102.9748013346459</c:v>
                </c:pt>
                <c:pt idx="451">
                  <c:v>102.69654309290178</c:v>
                </c:pt>
                <c:pt idx="452">
                  <c:v>102.42384933070518</c:v>
                </c:pt>
                <c:pt idx="453">
                  <c:v>102.15663393903603</c:v>
                </c:pt>
                <c:pt idx="454">
                  <c:v>101.89481053398946</c:v>
                </c:pt>
                <c:pt idx="455">
                  <c:v>101.63829258062046</c:v>
                </c:pt>
                <c:pt idx="456">
                  <c:v>101.38699350871887</c:v>
                </c:pt>
                <c:pt idx="457">
                  <c:v>101.14082682082847</c:v>
                </c:pt>
                <c:pt idx="458">
                  <c:v>100.89970619282538</c:v>
                </c:pt>
                <c:pt idx="459">
                  <c:v>100.66354556736837</c:v>
                </c:pt>
                <c:pt idx="460">
                  <c:v>100.43225924053741</c:v>
                </c:pt>
                <c:pt idx="461">
                  <c:v>100.20576194196873</c:v>
                </c:pt>
                <c:pt idx="462">
                  <c:v>99.983968908794779</c:v>
                </c:pt>
                <c:pt idx="463">
                  <c:v>99.766795953688643</c:v>
                </c:pt>
                <c:pt idx="464">
                  <c:v>99.554159527309452</c:v>
                </c:pt>
                <c:pt idx="465">
                  <c:v>99.345976775435247</c:v>
                </c:pt>
                <c:pt idx="466">
                  <c:v>99.142165591064511</c:v>
                </c:pt>
                <c:pt idx="467">
                  <c:v>98.942644661758379</c:v>
                </c:pt>
                <c:pt idx="468">
                  <c:v>98.74733351248544</c:v>
                </c:pt>
                <c:pt idx="469">
                  <c:v>98.556152544225739</c:v>
                </c:pt>
                <c:pt idx="470">
                  <c:v>98.369023068577036</c:v>
                </c:pt>
                <c:pt idx="471">
                  <c:v>98.185867338600985</c:v>
                </c:pt>
                <c:pt idx="472">
                  <c:v>98.00660857613417</c:v>
                </c:pt>
                <c:pt idx="473">
                  <c:v>97.831170995782188</c:v>
                </c:pt>
                <c:pt idx="474">
                  <c:v>97.659479825804198</c:v>
                </c:pt>
                <c:pt idx="475">
                  <c:v>97.491461326085798</c:v>
                </c:pt>
                <c:pt idx="476">
                  <c:v>97.327042803390697</c:v>
                </c:pt>
                <c:pt idx="477">
                  <c:v>97.166152624070776</c:v>
                </c:pt>
                <c:pt idx="478">
                  <c:v>97.008720224406403</c:v>
                </c:pt>
                <c:pt idx="479">
                  <c:v>96.854676118739462</c:v>
                </c:pt>
                <c:pt idx="480">
                  <c:v>96.703951905555385</c:v>
                </c:pt>
                <c:pt idx="481">
                  <c:v>96.556480271659268</c:v>
                </c:pt>
                <c:pt idx="482">
                  <c:v>96.412194994585903</c:v>
                </c:pt>
                <c:pt idx="483">
                  <c:v>96.271030943374555</c:v>
                </c:pt>
                <c:pt idx="484">
                  <c:v>96.132924077833337</c:v>
                </c:pt>
                <c:pt idx="485">
                  <c:v>95.997811446409557</c:v>
                </c:pt>
                <c:pt idx="486">
                  <c:v>95.865631182777491</c:v>
                </c:pt>
                <c:pt idx="487">
                  <c:v>95.736322501246192</c:v>
                </c:pt>
                <c:pt idx="488">
                  <c:v>95.609825691087039</c:v>
                </c:pt>
                <c:pt idx="489">
                  <c:v>95.486082109872157</c:v>
                </c:pt>
                <c:pt idx="490">
                  <c:v>95.365034175910083</c:v>
                </c:pt>
                <c:pt idx="491">
                  <c:v>95.246625359860687</c:v>
                </c:pt>
                <c:pt idx="492">
                  <c:v>95.130800175604648</c:v>
                </c:pt>
                <c:pt idx="493">
                  <c:v>95.017504170439523</c:v>
                </c:pt>
                <c:pt idx="494">
                  <c:v>94.90668391466923</c:v>
                </c:pt>
                <c:pt idx="495">
                  <c:v>94.798286990648535</c:v>
                </c:pt>
                <c:pt idx="496">
                  <c:v>94.692261981341986</c:v>
                </c:pt>
                <c:pt idx="497">
                  <c:v>94.588558458451459</c:v>
                </c:pt>
                <c:pt idx="498">
                  <c:v>94.487126970162521</c:v>
                </c:pt>
                <c:pt idx="499">
                  <c:v>94.387919028558187</c:v>
                </c:pt>
                <c:pt idx="500">
                  <c:v>94.290887096743006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800192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0192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25.590099294627024</c:v>
                </c:pt>
                <c:pt idx="1">
                  <c:v>25.590077395264068</c:v>
                </c:pt>
                <c:pt idx="2">
                  <c:v>25.59005449030726</c:v>
                </c:pt>
                <c:pt idx="3">
                  <c:v>25.590030533586727</c:v>
                </c:pt>
                <c:pt idx="4">
                  <c:v>25.590005476812948</c:v>
                </c:pt>
                <c:pt idx="5">
                  <c:v>25.589979269480278</c:v>
                </c:pt>
                <c:pt idx="6">
                  <c:v>25.589951858764614</c:v>
                </c:pt>
                <c:pt idx="7">
                  <c:v>25.589923189417554</c:v>
                </c:pt>
                <c:pt idx="8">
                  <c:v>25.589893203654665</c:v>
                </c:pt>
                <c:pt idx="9">
                  <c:v>25.589861841039788</c:v>
                </c:pt>
                <c:pt idx="10">
                  <c:v>25.589829038362648</c:v>
                </c:pt>
                <c:pt idx="11">
                  <c:v>25.589794729512583</c:v>
                </c:pt>
                <c:pt idx="12">
                  <c:v>25.589758845344427</c:v>
                </c:pt>
                <c:pt idx="13">
                  <c:v>25.589721313540288</c:v>
                </c:pt>
                <c:pt idx="14">
                  <c:v>25.58968205846373</c:v>
                </c:pt>
                <c:pt idx="15">
                  <c:v>25.589641001007255</c:v>
                </c:pt>
                <c:pt idx="16">
                  <c:v>25.589598058433744</c:v>
                </c:pt>
                <c:pt idx="17">
                  <c:v>25.589553144209802</c:v>
                </c:pt>
                <c:pt idx="18">
                  <c:v>25.589506167831576</c:v>
                </c:pt>
                <c:pt idx="19">
                  <c:v>25.589457034643075</c:v>
                </c:pt>
                <c:pt idx="20">
                  <c:v>25.589405645645655</c:v>
                </c:pt>
                <c:pt idx="21">
                  <c:v>25.589351897298943</c:v>
                </c:pt>
                <c:pt idx="22">
                  <c:v>25.589295681312983</c:v>
                </c:pt>
                <c:pt idx="23">
                  <c:v>25.589236884430314</c:v>
                </c:pt>
                <c:pt idx="24">
                  <c:v>25.589175388198555</c:v>
                </c:pt>
                <c:pt idx="25">
                  <c:v>25.589111068732425</c:v>
                </c:pt>
                <c:pt idx="26">
                  <c:v>25.589043796464725</c:v>
                </c:pt>
                <c:pt idx="27">
                  <c:v>25.588973435886444</c:v>
                </c:pt>
                <c:pt idx="28">
                  <c:v>25.588899845274277</c:v>
                </c:pt>
                <c:pt idx="29">
                  <c:v>25.588822876406319</c:v>
                </c:pt>
                <c:pt idx="30">
                  <c:v>25.588742374264296</c:v>
                </c:pt>
                <c:pt idx="31">
                  <c:v>25.588658176723097</c:v>
                </c:pt>
                <c:pt idx="32">
                  <c:v>25.588570114224556</c:v>
                </c:pt>
                <c:pt idx="33">
                  <c:v>25.588478009438123</c:v>
                </c:pt>
                <c:pt idx="34">
                  <c:v>25.588381676904881</c:v>
                </c:pt>
                <c:pt idx="35">
                  <c:v>25.588280922665732</c:v>
                </c:pt>
                <c:pt idx="36">
                  <c:v>25.58817554387258</c:v>
                </c:pt>
                <c:pt idx="37">
                  <c:v>25.588065328382026</c:v>
                </c:pt>
                <c:pt idx="38">
                  <c:v>25.587950054330243</c:v>
                </c:pt>
                <c:pt idx="39">
                  <c:v>25.587829489688666</c:v>
                </c:pt>
                <c:pt idx="40">
                  <c:v>25.587703391799693</c:v>
                </c:pt>
                <c:pt idx="41">
                  <c:v>25.58757150689037</c:v>
                </c:pt>
                <c:pt idx="42">
                  <c:v>25.58743356956559</c:v>
                </c:pt>
                <c:pt idx="43">
                  <c:v>25.587289302276595</c:v>
                </c:pt>
                <c:pt idx="44">
                  <c:v>25.587138414766258</c:v>
                </c:pt>
                <c:pt idx="45">
                  <c:v>25.586980603489309</c:v>
                </c:pt>
                <c:pt idx="46">
                  <c:v>25.586815551005571</c:v>
                </c:pt>
                <c:pt idx="47">
                  <c:v>25.586642925346208</c:v>
                </c:pt>
                <c:pt idx="48">
                  <c:v>25.586462379351591</c:v>
                </c:pt>
                <c:pt idx="49">
                  <c:v>25.586273549977946</c:v>
                </c:pt>
                <c:pt idx="50">
                  <c:v>25.586076057574406</c:v>
                </c:pt>
                <c:pt idx="51">
                  <c:v>25.585869505125402</c:v>
                </c:pt>
                <c:pt idx="52">
                  <c:v>25.585653477460944</c:v>
                </c:pt>
                <c:pt idx="53">
                  <c:v>25.585427540429066</c:v>
                </c:pt>
                <c:pt idx="54">
                  <c:v>25.585191240033112</c:v>
                </c:pt>
                <c:pt idx="55">
                  <c:v>25.584944101528215</c:v>
                </c:pt>
                <c:pt idx="56">
                  <c:v>25.584685628478493</c:v>
                </c:pt>
                <c:pt idx="57">
                  <c:v>25.58441530177123</c:v>
                </c:pt>
                <c:pt idx="58">
                  <c:v>25.584132578586647</c:v>
                </c:pt>
                <c:pt idx="59">
                  <c:v>25.583836891321894</c:v>
                </c:pt>
                <c:pt idx="60">
                  <c:v>25.583527646466244</c:v>
                </c:pt>
                <c:pt idx="61">
                  <c:v>25.583204223426424</c:v>
                </c:pt>
                <c:pt idx="62">
                  <c:v>25.582865973299004</c:v>
                </c:pt>
                <c:pt idx="63">
                  <c:v>25.582512217588153</c:v>
                </c:pt>
                <c:pt idx="64">
                  <c:v>25.582142246865978</c:v>
                </c:pt>
                <c:pt idx="65">
                  <c:v>25.581755319373485</c:v>
                </c:pt>
                <c:pt idx="66">
                  <c:v>25.581350659558616</c:v>
                </c:pt>
                <c:pt idx="67">
                  <c:v>25.58092745655037</c:v>
                </c:pt>
                <c:pt idx="68">
                  <c:v>25.580484862564234</c:v>
                </c:pt>
                <c:pt idx="69">
                  <c:v>25.580021991237317</c:v>
                </c:pt>
                <c:pt idx="70">
                  <c:v>25.579537915890139</c:v>
                </c:pt>
                <c:pt idx="71">
                  <c:v>25.579031667711259</c:v>
                </c:pt>
                <c:pt idx="72">
                  <c:v>25.578502233862221</c:v>
                </c:pt>
                <c:pt idx="73">
                  <c:v>25.577948555498963</c:v>
                </c:pt>
                <c:pt idx="74">
                  <c:v>25.577369525706629</c:v>
                </c:pt>
                <c:pt idx="75">
                  <c:v>25.576763987343682</c:v>
                </c:pt>
                <c:pt idx="76">
                  <c:v>25.576130730792155</c:v>
                </c:pt>
                <c:pt idx="77">
                  <c:v>25.575468491609271</c:v>
                </c:pt>
                <c:pt idx="78">
                  <c:v>25.574775948077949</c:v>
                </c:pt>
                <c:pt idx="79">
                  <c:v>25.574051718650182</c:v>
                </c:pt>
                <c:pt idx="80">
                  <c:v>25.573294359280247</c:v>
                </c:pt>
                <c:pt idx="81">
                  <c:v>25.572502360642812</c:v>
                </c:pt>
                <c:pt idx="82">
                  <c:v>25.571674145231803</c:v>
                </c:pt>
                <c:pt idx="83">
                  <c:v>25.570808064334649</c:v>
                </c:pt>
                <c:pt idx="84">
                  <c:v>25.569902394877715</c:v>
                </c:pt>
                <c:pt idx="85">
                  <c:v>25.568955336136781</c:v>
                </c:pt>
                <c:pt idx="86">
                  <c:v>25.567965006308686</c:v>
                </c:pt>
                <c:pt idx="87">
                  <c:v>25.566929438938757</c:v>
                </c:pt>
                <c:pt idx="88">
                  <c:v>25.56584657919641</c:v>
                </c:pt>
                <c:pt idx="89">
                  <c:v>25.56471427999675</c:v>
                </c:pt>
                <c:pt idx="90">
                  <c:v>25.563530297959268</c:v>
                </c:pt>
                <c:pt idx="91">
                  <c:v>25.562292289199252</c:v>
                </c:pt>
                <c:pt idx="92">
                  <c:v>25.560997804946027</c:v>
                </c:pt>
                <c:pt idx="93">
                  <c:v>25.559644286981147</c:v>
                </c:pt>
                <c:pt idx="94">
                  <c:v>25.558229062890216</c:v>
                </c:pt>
                <c:pt idx="95">
                  <c:v>25.556749341122604</c:v>
                </c:pt>
                <c:pt idx="96">
                  <c:v>25.555202205851906</c:v>
                </c:pt>
                <c:pt idx="97">
                  <c:v>25.553584611630875</c:v>
                </c:pt>
                <c:pt idx="98">
                  <c:v>25.551893377833611</c:v>
                </c:pt>
                <c:pt idx="99">
                  <c:v>25.550125182879185</c:v>
                </c:pt>
                <c:pt idx="100">
                  <c:v>25.548276558228462</c:v>
                </c:pt>
                <c:pt idx="101">
                  <c:v>25.546343882148879</c:v>
                </c:pt>
                <c:pt idx="102">
                  <c:v>25.544323373239024</c:v>
                </c:pt>
                <c:pt idx="103">
                  <c:v>25.542211083706505</c:v>
                </c:pt>
                <c:pt idx="104">
                  <c:v>25.540002892393318</c:v>
                </c:pt>
                <c:pt idx="105">
                  <c:v>25.53769449753964</c:v>
                </c:pt>
                <c:pt idx="106">
                  <c:v>25.535281409282323</c:v>
                </c:pt>
                <c:pt idx="107">
                  <c:v>25.532758941879411</c:v>
                </c:pt>
                <c:pt idx="108">
                  <c:v>25.530122205655395</c:v>
                </c:pt>
                <c:pt idx="109">
                  <c:v>25.52736609866065</c:v>
                </c:pt>
                <c:pt idx="110">
                  <c:v>25.524485298040457</c:v>
                </c:pt>
                <c:pt idx="111">
                  <c:v>25.521474251106504</c:v>
                </c:pt>
                <c:pt idx="112">
                  <c:v>25.518327166107227</c:v>
                </c:pt>
                <c:pt idx="113">
                  <c:v>25.51503800269208</c:v>
                </c:pt>
                <c:pt idx="114">
                  <c:v>25.511600462065864</c:v>
                </c:pt>
                <c:pt idx="115">
                  <c:v>25.508007976829216</c:v>
                </c:pt>
                <c:pt idx="116">
                  <c:v>25.504253700504542</c:v>
                </c:pt>
                <c:pt idx="117">
                  <c:v>25.5003304967431</c:v>
                </c:pt>
                <c:pt idx="118">
                  <c:v>25.496230928214505</c:v>
                </c:pt>
                <c:pt idx="119">
                  <c:v>25.491947245178498</c:v>
                </c:pt>
                <c:pt idx="120">
                  <c:v>25.487471373739538</c:v>
                </c:pt>
                <c:pt idx="121">
                  <c:v>25.482794903788189</c:v>
                </c:pt>
                <c:pt idx="122">
                  <c:v>25.477909076632848</c:v>
                </c:pt>
                <c:pt idx="123">
                  <c:v>25.472804772328075</c:v>
                </c:pt>
                <c:pt idx="124">
                  <c:v>25.467472496706453</c:v>
                </c:pt>
                <c:pt idx="125">
                  <c:v>25.461902368123912</c:v>
                </c:pt>
                <c:pt idx="126">
                  <c:v>25.456084103931236</c:v>
                </c:pt>
                <c:pt idx="127">
                  <c:v>25.450007006683187</c:v>
                </c:pt>
                <c:pt idx="128">
                  <c:v>25.443659950104998</c:v>
                </c:pt>
                <c:pt idx="129">
                  <c:v>25.43703136483191</c:v>
                </c:pt>
                <c:pt idx="130">
                  <c:v>25.430109223947731</c:v>
                </c:pt>
                <c:pt idx="131">
                  <c:v>25.422881028344534</c:v>
                </c:pt>
                <c:pt idx="132">
                  <c:v>25.415333791934437</c:v>
                </c:pt>
                <c:pt idx="133">
                  <c:v>25.407454026744961</c:v>
                </c:pt>
                <c:pt idx="134">
                  <c:v>25.39922772793501</c:v>
                </c:pt>
                <c:pt idx="135">
                  <c:v>25.390640358772011</c:v>
                </c:pt>
                <c:pt idx="136">
                  <c:v>25.381676835614986</c:v>
                </c:pt>
                <c:pt idx="137">
                  <c:v>25.372321512954173</c:v>
                </c:pt>
                <c:pt idx="138">
                  <c:v>25.36255816856217</c:v>
                </c:pt>
                <c:pt idx="139">
                  <c:v>25.352369988815582</c:v>
                </c:pt>
                <c:pt idx="140">
                  <c:v>25.34173955425544</c:v>
                </c:pt>
                <c:pt idx="141">
                  <c:v>25.330648825455121</c:v>
                </c:pt>
                <c:pt idx="142">
                  <c:v>25.319079129276389</c:v>
                </c:pt>
                <c:pt idx="143">
                  <c:v>25.307011145594998</c:v>
                </c:pt>
                <c:pt idx="144">
                  <c:v>25.294424894587877</c:v>
                </c:pt>
                <c:pt idx="145">
                  <c:v>25.281299724678913</c:v>
                </c:pt>
                <c:pt idx="146">
                  <c:v>25.267614301245899</c:v>
                </c:pt>
                <c:pt idx="147">
                  <c:v>25.253346596201549</c:v>
                </c:pt>
                <c:pt idx="148">
                  <c:v>25.238473878563561</c:v>
                </c:pt>
                <c:pt idx="149">
                  <c:v>25.22297270614121</c:v>
                </c:pt>
                <c:pt idx="150">
                  <c:v>25.206818918467135</c:v>
                </c:pt>
                <c:pt idx="151">
                  <c:v>25.189987631113937</c:v>
                </c:pt>
                <c:pt idx="152">
                  <c:v>25.172453231539684</c:v>
                </c:pt>
                <c:pt idx="153">
                  <c:v>25.154189376612727</c:v>
                </c:pt>
                <c:pt idx="154">
                  <c:v>25.135168991971668</c:v>
                </c:pt>
                <c:pt idx="155">
                  <c:v>25.115364273381925</c:v>
                </c:pt>
                <c:pt idx="156">
                  <c:v>25.094746690255288</c:v>
                </c:pt>
                <c:pt idx="157">
                  <c:v>25.073286991499856</c:v>
                </c:pt>
                <c:pt idx="158">
                  <c:v>25.05095521387436</c:v>
                </c:pt>
                <c:pt idx="159">
                  <c:v>25.027720693018782</c:v>
                </c:pt>
                <c:pt idx="160">
                  <c:v>25.003552077335485</c:v>
                </c:pt>
                <c:pt idx="161">
                  <c:v>24.97841734489359</c:v>
                </c:pt>
                <c:pt idx="162">
                  <c:v>24.952283823526514</c:v>
                </c:pt>
                <c:pt idx="163">
                  <c:v>24.925118214287227</c:v>
                </c:pt>
                <c:pt idx="164">
                  <c:v>24.896886618421586</c:v>
                </c:pt>
                <c:pt idx="165">
                  <c:v>24.867554568009336</c:v>
                </c:pt>
                <c:pt idx="166">
                  <c:v>24.837087060413129</c:v>
                </c:pt>
                <c:pt idx="167">
                  <c:v>24.80544859666194</c:v>
                </c:pt>
                <c:pt idx="168">
                  <c:v>24.772603223880584</c:v>
                </c:pt>
                <c:pt idx="169">
                  <c:v>24.738514581858944</c:v>
                </c:pt>
                <c:pt idx="170">
                  <c:v>24.703145953831601</c:v>
                </c:pt>
                <c:pt idx="171">
                  <c:v>24.666460321518922</c:v>
                </c:pt>
                <c:pt idx="172">
                  <c:v>24.628420424450184</c:v>
                </c:pt>
                <c:pt idx="173">
                  <c:v>24.588988823563739</c:v>
                </c:pt>
                <c:pt idx="174">
                  <c:v>24.548127969045048</c:v>
                </c:pt>
                <c:pt idx="175">
                  <c:v>24.505800272332049</c:v>
                </c:pt>
                <c:pt idx="176">
                  <c:v>24.461968182177166</c:v>
                </c:pt>
                <c:pt idx="177">
                  <c:v>24.416594264621494</c:v>
                </c:pt>
                <c:pt idx="178">
                  <c:v>24.369641286691895</c:v>
                </c:pt>
                <c:pt idx="179">
                  <c:v>24.3210723035927</c:v>
                </c:pt>
                <c:pt idx="180">
                  <c:v>24.270850749121241</c:v>
                </c:pt>
                <c:pt idx="181">
                  <c:v>24.21894052899026</c:v>
                </c:pt>
                <c:pt idx="182">
                  <c:v>24.165306116701558</c:v>
                </c:pt>
                <c:pt idx="183">
                  <c:v>24.109912651567701</c:v>
                </c:pt>
                <c:pt idx="184">
                  <c:v>24.052726038441353</c:v>
                </c:pt>
                <c:pt idx="185">
                  <c:v>23.99371304866953</c:v>
                </c:pt>
                <c:pt idx="186">
                  <c:v>23.932841421754571</c:v>
                </c:pt>
                <c:pt idx="187">
                  <c:v>23.870079967169076</c:v>
                </c:pt>
                <c:pt idx="188">
                  <c:v>23.805398665743379</c:v>
                </c:pt>
                <c:pt idx="189">
                  <c:v>23.738768770018087</c:v>
                </c:pt>
                <c:pt idx="190">
                  <c:v>23.67016290293563</c:v>
                </c:pt>
                <c:pt idx="191">
                  <c:v>23.599555154229314</c:v>
                </c:pt>
                <c:pt idx="192">
                  <c:v>23.526921173864359</c:v>
                </c:pt>
                <c:pt idx="193">
                  <c:v>23.452238261880524</c:v>
                </c:pt>
                <c:pt idx="194">
                  <c:v>23.375485453996806</c:v>
                </c:pt>
                <c:pt idx="195">
                  <c:v>23.29664360235256</c:v>
                </c:pt>
                <c:pt idx="196">
                  <c:v>23.215695450777648</c:v>
                </c:pt>
                <c:pt idx="197">
                  <c:v>23.132625704020381</c:v>
                </c:pt>
                <c:pt idx="198">
                  <c:v>23.04742109039389</c:v>
                </c:pt>
                <c:pt idx="199">
                  <c:v>22.96007041734757</c:v>
                </c:pt>
                <c:pt idx="200">
                  <c:v>22.870564619523503</c:v>
                </c:pt>
                <c:pt idx="201">
                  <c:v>22.778896798911198</c:v>
                </c:pt>
                <c:pt idx="202">
                  <c:v>22.685062256780132</c:v>
                </c:pt>
                <c:pt idx="203">
                  <c:v>22.58905851713461</c:v>
                </c:pt>
                <c:pt idx="204">
                  <c:v>22.490885341507823</c:v>
                </c:pt>
                <c:pt idx="205">
                  <c:v>22.39054473498587</c:v>
                </c:pt>
                <c:pt idx="206">
                  <c:v>22.288040943426381</c:v>
                </c:pt>
                <c:pt idx="207">
                  <c:v>22.183380441914341</c:v>
                </c:pt>
                <c:pt idx="208">
                  <c:v>22.076571914572114</c:v>
                </c:pt>
                <c:pt idx="209">
                  <c:v>21.967626225913651</c:v>
                </c:pt>
                <c:pt idx="210">
                  <c:v>21.856556384006698</c:v>
                </c:pt>
                <c:pt idx="211">
                  <c:v>21.743377495769526</c:v>
                </c:pt>
                <c:pt idx="212">
                  <c:v>21.628106714797202</c:v>
                </c:pt>
                <c:pt idx="213">
                  <c:v>21.510763182163441</c:v>
                </c:pt>
                <c:pt idx="214">
                  <c:v>21.391367960701007</c:v>
                </c:pt>
                <c:pt idx="215">
                  <c:v>21.269943963302627</c:v>
                </c:pt>
                <c:pt idx="216">
                  <c:v>21.1465158758261</c:v>
                </c:pt>
                <c:pt idx="217">
                  <c:v>21.021110075213997</c:v>
                </c:pt>
                <c:pt idx="218">
                  <c:v>20.893754543460787</c:v>
                </c:pt>
                <c:pt idx="219">
                  <c:v>20.764478778076306</c:v>
                </c:pt>
                <c:pt idx="220">
                  <c:v>20.633313699699713</c:v>
                </c:pt>
                <c:pt idx="221">
                  <c:v>20.500291557517439</c:v>
                </c:pt>
                <c:pt idx="222">
                  <c:v>20.365445833133929</c:v>
                </c:pt>
                <c:pt idx="223">
                  <c:v>20.228811143526624</c:v>
                </c:pt>
                <c:pt idx="224">
                  <c:v>20.090423143700068</c:v>
                </c:pt>
                <c:pt idx="225">
                  <c:v>19.950318429626698</c:v>
                </c:pt>
                <c:pt idx="226">
                  <c:v>19.808534442034521</c:v>
                </c:pt>
                <c:pt idx="227">
                  <c:v>19.665109371565862</c:v>
                </c:pt>
                <c:pt idx="228">
                  <c:v>19.520082065796281</c:v>
                </c:pt>
                <c:pt idx="229">
                  <c:v>19.373491938562296</c:v>
                </c:pt>
                <c:pt idx="230">
                  <c:v>19.225378882006247</c:v>
                </c:pt>
                <c:pt idx="231">
                  <c:v>19.075783181701681</c:v>
                </c:pt>
                <c:pt idx="232">
                  <c:v>18.924745435183372</c:v>
                </c:pt>
                <c:pt idx="233">
                  <c:v>18.772306474158519</c:v>
                </c:pt>
                <c:pt idx="234">
                  <c:v>18.618507290636476</c:v>
                </c:pt>
                <c:pt idx="235">
                  <c:v>18.463388967170996</c:v>
                </c:pt>
                <c:pt idx="236">
                  <c:v>18.30699261136898</c:v>
                </c:pt>
                <c:pt idx="237">
                  <c:v>18.149359294781419</c:v>
                </c:pt>
                <c:pt idx="238">
                  <c:v>17.9905299962562</c:v>
                </c:pt>
                <c:pt idx="239">
                  <c:v>17.830545549797527</c:v>
                </c:pt>
                <c:pt idx="240">
                  <c:v>17.669446596945765</c:v>
                </c:pt>
                <c:pt idx="241">
                  <c:v>17.507273543662333</c:v>
                </c:pt>
                <c:pt idx="242">
                  <c:v>17.344066521677583</c:v>
                </c:pt>
                <c:pt idx="243">
                  <c:v>17.179865354236874</c:v>
                </c:pt>
                <c:pt idx="244">
                  <c:v>17.014709526157723</c:v>
                </c:pt>
                <c:pt idx="245">
                  <c:v>16.848638158093607</c:v>
                </c:pt>
                <c:pt idx="246">
                  <c:v>16.68168998488461</c:v>
                </c:pt>
                <c:pt idx="247">
                  <c:v>16.513903337859375</c:v>
                </c:pt>
                <c:pt idx="248">
                  <c:v>16.345316130945214</c:v>
                </c:pt>
                <c:pt idx="249">
                  <c:v>16.175965850431549</c:v>
                </c:pt>
                <c:pt idx="250">
                  <c:v>16.005889548225753</c:v>
                </c:pt>
                <c:pt idx="251">
                  <c:v>15.835123838436466</c:v>
                </c:pt>
                <c:pt idx="252">
                  <c:v>15.663704897114437</c:v>
                </c:pt>
                <c:pt idx="253">
                  <c:v>15.491668464979654</c:v>
                </c:pt>
                <c:pt idx="254">
                  <c:v>15.319049852963783</c:v>
                </c:pt>
                <c:pt idx="255">
                  <c:v>15.145883950396101</c:v>
                </c:pt>
                <c:pt idx="256">
                  <c:v>14.972205235662827</c:v>
                </c:pt>
                <c:pt idx="257">
                  <c:v>14.798047789173701</c:v>
                </c:pt>
                <c:pt idx="258">
                  <c:v>14.623445308470334</c:v>
                </c:pt>
                <c:pt idx="259">
                  <c:v>14.448431125315437</c:v>
                </c:pt>
                <c:pt idx="260">
                  <c:v>14.273038224607417</c:v>
                </c:pt>
                <c:pt idx="261">
                  <c:v>14.097299264965766</c:v>
                </c:pt>
                <c:pt idx="262">
                  <c:v>13.921246600839767</c:v>
                </c:pt>
                <c:pt idx="263">
                  <c:v>13.744912305996808</c:v>
                </c:pt>
                <c:pt idx="264">
                  <c:v>13.568328198249962</c:v>
                </c:pt>
                <c:pt idx="265">
                  <c:v>13.391525865289498</c:v>
                </c:pt>
                <c:pt idx="266">
                  <c:v>13.214536691487675</c:v>
                </c:pt>
                <c:pt idx="267">
                  <c:v>13.037391885547798</c:v>
                </c:pt>
                <c:pt idx="268">
                  <c:v>12.860122508874598</c:v>
                </c:pt>
                <c:pt idx="269">
                  <c:v>12.682759504543487</c:v>
                </c:pt>
                <c:pt idx="270">
                  <c:v>12.505333726750852</c:v>
                </c:pt>
                <c:pt idx="271">
                  <c:v>12.327875970628599</c:v>
                </c:pt>
                <c:pt idx="272">
                  <c:v>12.150417002307561</c:v>
                </c:pt>
                <c:pt idx="273">
                  <c:v>11.97298758911684</c:v>
                </c:pt>
                <c:pt idx="274">
                  <c:v>11.795618529805562</c:v>
                </c:pt>
                <c:pt idx="275">
                  <c:v>11.618340684673278</c:v>
                </c:pt>
                <c:pt idx="276">
                  <c:v>11.441185005496683</c:v>
                </c:pt>
                <c:pt idx="277">
                  <c:v>11.26418256513757</c:v>
                </c:pt>
                <c:pt idx="278">
                  <c:v>11.087364586715553</c:v>
                </c:pt>
                <c:pt idx="279">
                  <c:v>10.91076247222869</c:v>
                </c:pt>
                <c:pt idx="280">
                  <c:v>10.734407830500095</c:v>
                </c:pt>
                <c:pt idx="281">
                  <c:v>10.558332504329046</c:v>
                </c:pt>
                <c:pt idx="282">
                  <c:v>10.382568596717974</c:v>
                </c:pt>
                <c:pt idx="283">
                  <c:v>10.207148496047251</c:v>
                </c:pt>
                <c:pt idx="284">
                  <c:v>10.032104900061189</c:v>
                </c:pt>
                <c:pt idx="285">
                  <c:v>9.8574708385295597</c:v>
                </c:pt>
                <c:pt idx="286">
                  <c:v>9.6832796944398716</c:v>
                </c:pt>
                <c:pt idx="287">
                  <c:v>9.5095652235751764</c:v>
                </c:pt>
                <c:pt idx="288">
                  <c:v>9.3363615723248721</c:v>
                </c:pt>
                <c:pt idx="289">
                  <c:v>9.1637032935745353</c:v>
                </c:pt>
                <c:pt idx="290">
                  <c:v>8.9916253605132717</c:v>
                </c:pt>
                <c:pt idx="291">
                  <c:v>8.8201631781986585</c:v>
                </c:pt>
                <c:pt idx="292">
                  <c:v>8.6493525927103949</c:v>
                </c:pt>
                <c:pt idx="293">
                  <c:v>8.479229897725487</c:v>
                </c:pt>
                <c:pt idx="294">
                  <c:v>8.3098318383456444</c:v>
                </c:pt>
                <c:pt idx="295">
                  <c:v>8.1411956120045268</c:v>
                </c:pt>
                <c:pt idx="296">
                  <c:v>7.9733588662847712</c:v>
                </c:pt>
                <c:pt idx="297">
                  <c:v>7.8063596934767698</c:v>
                </c:pt>
                <c:pt idx="298">
                  <c:v>7.6402366217134201</c:v>
                </c:pt>
                <c:pt idx="299">
                  <c:v>7.4750286025185977</c:v>
                </c:pt>
                <c:pt idx="300">
                  <c:v>7.3107749946163159</c:v>
                </c:pt>
                <c:pt idx="301">
                  <c:v>7.1475155438548761</c:v>
                </c:pt>
                <c:pt idx="302">
                  <c:v>6.9852903591089541</c:v>
                </c:pt>
                <c:pt idx="303">
                  <c:v>6.8241398840393401</c:v>
                </c:pt>
                <c:pt idx="304">
                  <c:v>6.6641048646017067</c:v>
                </c:pt>
                <c:pt idx="305">
                  <c:v>6.5052263122165401</c:v>
                </c:pt>
                <c:pt idx="306">
                  <c:v>6.3475454625294523</c:v>
                </c:pt>
                <c:pt idx="307">
                  <c:v>6.1911037297183746</c:v>
                </c:pt>
                <c:pt idx="308">
                  <c:v>6.035942656326637</c:v>
                </c:pt>
                <c:pt idx="309">
                  <c:v>5.8821038586301668</c:v>
                </c:pt>
                <c:pt idx="310">
                  <c:v>5.7296289675800915</c:v>
                </c:pt>
                <c:pt idx="311">
                  <c:v>5.5785595653916831</c:v>
                </c:pt>
                <c:pt idx="312">
                  <c:v>5.4289371178920041</c:v>
                </c:pt>
                <c:pt idx="313">
                  <c:v>5.2808029027713488</c:v>
                </c:pt>
                <c:pt idx="314">
                  <c:v>5.1341979339264743</c:v>
                </c:pt>
                <c:pt idx="315">
                  <c:v>4.989162882126168</c:v>
                </c:pt>
                <c:pt idx="316">
                  <c:v>4.8457379922682655</c:v>
                </c:pt>
                <c:pt idx="317">
                  <c:v>4.7039629975437371</c:v>
                </c:pt>
                <c:pt idx="318">
                  <c:v>4.5638770308679657</c:v>
                </c:pt>
                <c:pt idx="319">
                  <c:v>4.4255185339765273</c:v>
                </c:pt>
                <c:pt idx="320">
                  <c:v>4.2889251646315039</c:v>
                </c:pt>
                <c:pt idx="321">
                  <c:v>4.1541337024201406</c:v>
                </c:pt>
                <c:pt idx="322">
                  <c:v>4.0211799536661514</c:v>
                </c:pt>
                <c:pt idx="323">
                  <c:v>3.8900986560099051</c:v>
                </c:pt>
                <c:pt idx="324">
                  <c:v>3.7609233832431026</c:v>
                </c:pt>
                <c:pt idx="325">
                  <c:v>3.6336864510107936</c:v>
                </c:pt>
                <c:pt idx="326">
                  <c:v>3.5084188240134644</c:v>
                </c:pt>
                <c:pt idx="327">
                  <c:v>3.3851500253594526</c:v>
                </c:pt>
                <c:pt idx="328">
                  <c:v>3.263908048724542</c:v>
                </c:pt>
                <c:pt idx="329">
                  <c:v>3.1447192739793426</c:v>
                </c:pt>
                <c:pt idx="330">
                  <c:v>3.0276083869398844</c:v>
                </c:pt>
                <c:pt idx="331">
                  <c:v>2.9125983038839083</c:v>
                </c:pt>
                <c:pt idx="332">
                  <c:v>2.7997101014554144</c:v>
                </c:pt>
                <c:pt idx="333">
                  <c:v>2.6889629525535192</c:v>
                </c:pt>
                <c:pt idx="334">
                  <c:v>2.5803740687642875</c:v>
                </c:pt>
                <c:pt idx="335">
                  <c:v>2.4739586498538757</c:v>
                </c:pt>
                <c:pt idx="336">
                  <c:v>2.3697298407915248</c:v>
                </c:pt>
                <c:pt idx="337">
                  <c:v>2.2676986967139747</c:v>
                </c:pt>
                <c:pt idx="338">
                  <c:v>2.1678741561843413</c:v>
                </c:pt>
                <c:pt idx="339">
                  <c:v>2.0702630230302779</c:v>
                </c:pt>
                <c:pt idx="340">
                  <c:v>1.9748699569775339</c:v>
                </c:pt>
                <c:pt idx="341">
                  <c:v>1.8816974732211182</c:v>
                </c:pt>
                <c:pt idx="342">
                  <c:v>1.7907459510042214</c:v>
                </c:pt>
                <c:pt idx="343">
                  <c:v>1.7020136511951798</c:v>
                </c:pt>
                <c:pt idx="344">
                  <c:v>1.6154967427816844</c:v>
                </c:pt>
                <c:pt idx="345">
                  <c:v>1.5311893381260995</c:v>
                </c:pt>
                <c:pt idx="346">
                  <c:v>1.4490835367530233</c:v>
                </c:pt>
                <c:pt idx="347">
                  <c:v>1.3691694773754979</c:v>
                </c:pt>
                <c:pt idx="348">
                  <c:v>1.291435397800885</c:v>
                </c:pt>
                <c:pt idx="349">
                  <c:v>1.2158677022992601</c:v>
                </c:pt>
                <c:pt idx="350">
                  <c:v>1.1424510359659839</c:v>
                </c:pt>
                <c:pt idx="351">
                  <c:v>1.0711683655667863</c:v>
                </c:pt>
                <c:pt idx="352">
                  <c:v>1.0020010663095518</c:v>
                </c:pt>
                <c:pt idx="353">
                  <c:v>0.93492901396491124</c:v>
                </c:pt>
                <c:pt idx="354">
                  <c:v>0.86993068172474719</c:v>
                </c:pt>
                <c:pt idx="355">
                  <c:v>0.80698324118278486</c:v>
                </c:pt>
                <c:pt idx="356">
                  <c:v>0.7460626668038508</c:v>
                </c:pt>
                <c:pt idx="357">
                  <c:v>0.68714384325534661</c:v>
                </c:pt>
                <c:pt idx="358">
                  <c:v>0.63020067497714438</c:v>
                </c:pt>
                <c:pt idx="359">
                  <c:v>0.57520619738092238</c:v>
                </c:pt>
                <c:pt idx="360">
                  <c:v>0.52213268908866639</c:v>
                </c:pt>
                <c:pt idx="361">
                  <c:v>0.47095178464576415</c:v>
                </c:pt>
                <c:pt idx="362">
                  <c:v>0.42163458717383795</c:v>
                </c:pt>
                <c:pt idx="363">
                  <c:v>0.37415178046049102</c:v>
                </c:pt>
                <c:pt idx="364">
                  <c:v>0.32847374002578045</c:v>
                </c:pt>
                <c:pt idx="365">
                  <c:v>0.28457064273846422</c:v>
                </c:pt>
                <c:pt idx="366">
                  <c:v>0.24241257460451199</c:v>
                </c:pt>
                <c:pt idx="367">
                  <c:v>0.20196963638911411</c:v>
                </c:pt>
                <c:pt idx="368">
                  <c:v>0.1632120467829731</c:v>
                </c:pt>
                <c:pt idx="369">
                  <c:v>0.1261102428616046</c:v>
                </c:pt>
                <c:pt idx="370">
                  <c:v>9.0634977640968367E-2</c:v>
                </c:pt>
                <c:pt idx="371">
                  <c:v>5.6757414567693232E-2</c:v>
                </c:pt>
                <c:pt idx="372">
                  <c:v>2.4449218828516261E-2</c:v>
                </c:pt>
                <c:pt idx="373">
                  <c:v>-6.3173545934402673E-3</c:v>
                </c:pt>
                <c:pt idx="374">
                  <c:v>-3.5569376152636785E-2</c:v>
                </c:pt>
                <c:pt idx="375">
                  <c:v>-6.3333160262758634E-2</c:v>
                </c:pt>
                <c:pt idx="376">
                  <c:v>-8.9634187069568272E-2</c:v>
                </c:pt>
                <c:pt idx="377">
                  <c:v>-0.11449702740637366</c:v>
                </c:pt>
                <c:pt idx="378">
                  <c:v>-0.13794527083285174</c:v>
                </c:pt>
                <c:pt idx="379">
                  <c:v>-0.16000145663298665</c:v>
                </c:pt>
                <c:pt idx="380">
                  <c:v>-0.18068700762024656</c:v>
                </c:pt>
                <c:pt idx="381">
                  <c:v>-0.20002216657835223</c:v>
                </c:pt>
                <c:pt idx="382">
                  <c:v>-0.21802593514635579</c:v>
                </c:pt>
                <c:pt idx="383">
                  <c:v>-0.23471601493757485</c:v>
                </c:pt>
                <c:pt idx="384">
                  <c:v>-0.25010875066811755</c:v>
                </c:pt>
                <c:pt idx="385">
                  <c:v>-0.26421907505880848</c:v>
                </c:pt>
                <c:pt idx="386">
                  <c:v>-0.27706045526004469</c:v>
                </c:pt>
                <c:pt idx="387">
                  <c:v>-0.28864484054282402</c:v>
                </c:pt>
                <c:pt idx="388">
                  <c:v>-0.29898261099005213</c:v>
                </c:pt>
                <c:pt idx="389">
                  <c:v>-0.30808252691537519</c:v>
                </c:pt>
                <c:pt idx="390">
                  <c:v>-0.31595167873175678</c:v>
                </c:pt>
                <c:pt idx="391">
                  <c:v>-0.32259543698948145</c:v>
                </c:pt>
                <c:pt idx="392">
                  <c:v>-0.32801740229800225</c:v>
                </c:pt>
                <c:pt idx="393">
                  <c:v>-0.33221935484380105</c:v>
                </c:pt>
                <c:pt idx="394">
                  <c:v>-0.33520120321784874</c:v>
                </c:pt>
                <c:pt idx="395">
                  <c:v>-0.33696093225975698</c:v>
                </c:pt>
                <c:pt idx="396">
                  <c:v>-0.33749454963051767</c:v>
                </c:pt>
                <c:pt idx="397">
                  <c:v>-0.33679603082188153</c:v>
                </c:pt>
                <c:pt idx="398">
                  <c:v>-0.33485726231253737</c:v>
                </c:pt>
                <c:pt idx="399">
                  <c:v>-0.33166798257989893</c:v>
                </c:pt>
                <c:pt idx="400">
                  <c:v>-0.32721572067997073</c:v>
                </c:pt>
                <c:pt idx="401">
                  <c:v>-0.32148573210739467</c:v>
                </c:pt>
                <c:pt idx="402">
                  <c:v>-0.31446093164846678</c:v>
                </c:pt>
                <c:pt idx="403">
                  <c:v>-0.30612182294727897</c:v>
                </c:pt>
                <c:pt idx="404">
                  <c:v>-0.29644642450349301</c:v>
                </c:pt>
                <c:pt idx="405">
                  <c:v>-0.28541019182838445</c:v>
                </c:pt>
                <c:pt idx="406">
                  <c:v>-0.27298593549246181</c:v>
                </c:pt>
                <c:pt idx="407">
                  <c:v>-0.25914373480589131</c:v>
                </c:pt>
                <c:pt idx="408">
                  <c:v>-0.24385084688404182</c:v>
                </c:pt>
                <c:pt idx="409">
                  <c:v>-0.22707161086790006</c:v>
                </c:pt>
                <c:pt idx="410">
                  <c:v>-0.20876734708642888</c:v>
                </c:pt>
                <c:pt idx="411">
                  <c:v>-0.18889625097524884</c:v>
                </c:pt>
                <c:pt idx="412">
                  <c:v>-0.16741328159867011</c:v>
                </c:pt>
                <c:pt idx="413">
                  <c:v>-0.14427004466179866</c:v>
                </c:pt>
                <c:pt idx="414">
                  <c:v>-0.1194146699577056</c:v>
                </c:pt>
                <c:pt idx="415">
                  <c:v>-9.2791683256160551E-2</c:v>
                </c:pt>
                <c:pt idx="416">
                  <c:v>-6.4341872731738498E-2</c:v>
                </c:pt>
                <c:pt idx="417">
                  <c:v>-3.4002150131235247E-2</c:v>
                </c:pt>
                <c:pt idx="418">
                  <c:v>-1.7054070192515541E-3</c:v>
                </c:pt>
                <c:pt idx="419">
                  <c:v>3.261963339376299E-2</c:v>
                </c:pt>
                <c:pt idx="420">
                  <c:v>6.9048568125309684E-2</c:v>
                </c:pt>
                <c:pt idx="421">
                  <c:v>0.10766146901722508</c:v>
                </c:pt>
                <c:pt idx="422">
                  <c:v>0.14854303875268762</c:v>
                </c:pt>
                <c:pt idx="423">
                  <c:v>0.191782766581163</c:v>
                </c:pt>
                <c:pt idx="424">
                  <c:v>0.23747508153845856</c:v>
                </c:pt>
                <c:pt idx="425">
                  <c:v>0.28571950031941912</c:v>
                </c:pt>
                <c:pt idx="426">
                  <c:v>0.33662076618410003</c:v>
                </c:pt>
                <c:pt idx="427">
                  <c:v>0.39028897431306409</c:v>
                </c:pt>
                <c:pt idx="428">
                  <c:v>0.44683967782516398</c:v>
                </c:pt>
                <c:pt idx="429">
                  <c:v>0.50639396718415708</c:v>
                </c:pt>
                <c:pt idx="430">
                  <c:v>0.5690785138713329</c:v>
                </c:pt>
                <c:pt idx="431">
                  <c:v>0.63502556689684186</c:v>
                </c:pt>
                <c:pt idx="432">
                  <c:v>0.70437288787214392</c:v>
                </c:pt>
                <c:pt idx="433">
                  <c:v>0.77726360680589379</c:v>
                </c:pt>
                <c:pt idx="434">
                  <c:v>0.85384597637116422</c:v>
                </c:pt>
                <c:pt idx="435">
                  <c:v>0.93427299688622378</c:v>
                </c:pt>
                <c:pt idx="436">
                  <c:v>1.0187018774171601</c:v>
                </c:pt>
                <c:pt idx="437">
                  <c:v>1.1072932898913812</c:v>
                </c:pt>
                <c:pt idx="438">
                  <c:v>1.2002103625347846</c:v>
                </c:pt>
                <c:pt idx="439">
                  <c:v>1.297617345794472</c:v>
                </c:pt>
                <c:pt idx="440">
                  <c:v>1.3996778676046797</c:v>
                </c:pt>
                <c:pt idx="441">
                  <c:v>1.5065526746725375</c:v>
                </c:pt>
                <c:pt idx="442">
                  <c:v>1.6183967315604999</c:v>
                </c:pt>
                <c:pt idx="443">
                  <c:v>1.7353555187704286</c:v>
                </c:pt>
                <c:pt idx="444">
                  <c:v>1.8575603337208788</c:v>
                </c:pt>
                <c:pt idx="445">
                  <c:v>1.9851223533725575</c:v>
                </c:pt>
                <c:pt idx="446">
                  <c:v>2.1181251633132927</c:v>
                </c:pt>
                <c:pt idx="447">
                  <c:v>2.2566153947409351</c:v>
                </c:pt>
                <c:pt idx="448">
                  <c:v>2.400591038145957</c:v>
                </c:pt>
                <c:pt idx="449">
                  <c:v>2.5499869222768008</c:v>
                </c:pt>
                <c:pt idx="450">
                  <c:v>2.7046567635384893</c:v>
                </c:pt>
                <c:pt idx="451">
                  <c:v>2.8643511131153754</c:v>
                </c:pt>
                <c:pt idx="452">
                  <c:v>3.0286904727932646</c:v>
                </c:pt>
                <c:pt idx="453">
                  <c:v>3.1971328424765524</c:v>
                </c:pt>
                <c:pt idx="454">
                  <c:v>3.3689350455349221</c:v>
                </c:pt>
                <c:pt idx="455">
                  <c:v>3.5431074170625325</c:v>
                </c:pt>
                <c:pt idx="456">
                  <c:v>3.7183619274730373</c:v>
                </c:pt>
                <c:pt idx="457">
                  <c:v>3.893054672931719</c:v>
                </c:pt>
                <c:pt idx="458">
                  <c:v>4.0651250430404815</c:v>
                </c:pt>
                <c:pt idx="459">
                  <c:v>4.232035922267201</c:v>
                </c:pt>
                <c:pt idx="460">
                  <c:v>4.3907220811396392</c:v>
                </c:pt>
                <c:pt idx="461">
                  <c:v>4.5375573789671391</c:v>
                </c:pt>
                <c:pt idx="462">
                  <c:v>4.6683550993232323</c:v>
                </c:pt>
                <c:pt idx="463">
                  <c:v>4.778418692651007</c:v>
                </c:pt>
                <c:pt idx="464">
                  <c:v>4.8626607498033501</c:v>
                </c:pt>
                <c:pt idx="465">
                  <c:v>4.9158039908448607</c:v>
                </c:pt>
                <c:pt idx="466">
                  <c:v>4.9326674037477698</c:v>
                </c:pt>
                <c:pt idx="467">
                  <c:v>4.9085229037609786</c:v>
                </c:pt>
                <c:pt idx="468">
                  <c:v>4.8394856513320308</c:v>
                </c:pt>
                <c:pt idx="469">
                  <c:v>4.7228810426589085</c:v>
                </c:pt>
                <c:pt idx="470">
                  <c:v>4.5575223720876492</c:v>
                </c:pt>
                <c:pt idx="471">
                  <c:v>4.3438424517703886</c:v>
                </c:pt>
                <c:pt idx="472">
                  <c:v>4.0838504520307097</c:v>
                </c:pt>
                <c:pt idx="473">
                  <c:v>3.7809234874128057</c:v>
                </c:pt>
                <c:pt idx="474">
                  <c:v>3.4394772718103912</c:v>
                </c:pt>
                <c:pt idx="475">
                  <c:v>3.0645795853607938</c:v>
                </c:pt>
                <c:pt idx="476">
                  <c:v>2.661570122433059</c:v>
                </c:pt>
                <c:pt idx="477">
                  <c:v>2.2357347451961371</c:v>
                </c:pt>
                <c:pt idx="478">
                  <c:v>1.7920599745358101</c:v>
                </c:pt>
                <c:pt idx="479">
                  <c:v>1.3350729072678023</c:v>
                </c:pt>
                <c:pt idx="480">
                  <c:v>0.86875734006291827</c:v>
                </c:pt>
                <c:pt idx="481">
                  <c:v>0.39652963685630949</c:v>
                </c:pt>
                <c:pt idx="482">
                  <c:v>-7.8743647257084409E-2</c:v>
                </c:pt>
                <c:pt idx="483">
                  <c:v>-0.55470240678636296</c:v>
                </c:pt>
                <c:pt idx="484">
                  <c:v>-1.0294364326636709</c:v>
                </c:pt>
                <c:pt idx="485">
                  <c:v>-1.5014245366558758</c:v>
                </c:pt>
                <c:pt idx="486">
                  <c:v>-1.9694750547400663</c:v>
                </c:pt>
                <c:pt idx="487">
                  <c:v>-2.4326710004293899</c:v>
                </c:pt>
                <c:pt idx="488">
                  <c:v>-2.8903214335103131</c:v>
                </c:pt>
                <c:pt idx="489">
                  <c:v>-3.3419195026110438</c:v>
                </c:pt>
                <c:pt idx="490">
                  <c:v>-3.7871069587815507</c:v>
                </c:pt>
                <c:pt idx="491">
                  <c:v>-4.2256445841016053</c:v>
                </c:pt>
                <c:pt idx="492">
                  <c:v>-4.6573878258006767</c:v>
                </c:pt>
                <c:pt idx="493">
                  <c:v>-5.0822668941095763</c:v>
                </c:pt>
                <c:pt idx="494">
                  <c:v>-5.5002706177762395</c:v>
                </c:pt>
                <c:pt idx="495">
                  <c:v>-5.9114334205858912</c:v>
                </c:pt>
                <c:pt idx="496">
                  <c:v>-6.315824864314564</c:v>
                </c:pt>
                <c:pt idx="497">
                  <c:v>-6.7135412862529638</c:v>
                </c:pt>
                <c:pt idx="498">
                  <c:v>-7.1046991363740837</c:v>
                </c:pt>
                <c:pt idx="499">
                  <c:v>-7.4894296875217279</c:v>
                </c:pt>
                <c:pt idx="500">
                  <c:v>-7.8795524931547991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D19-9DBC-690DDB1D00CA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51.147142837739956</c:v>
                </c:pt>
                <c:pt idx="1">
                  <c:v>50.952380197445024</c:v>
                </c:pt>
                <c:pt idx="2">
                  <c:v>50.75760895943047</c:v>
                </c:pt>
                <c:pt idx="3">
                  <c:v>50.562829588521268</c:v>
                </c:pt>
                <c:pt idx="4">
                  <c:v>50.368042533254382</c:v>
                </c:pt>
                <c:pt idx="5">
                  <c:v>50.173248226773111</c:v>
                </c:pt>
                <c:pt idx="6">
                  <c:v>49.978447087690746</c:v>
                </c:pt>
                <c:pt idx="7">
                  <c:v>49.78363952092613</c:v>
                </c:pt>
                <c:pt idx="8">
                  <c:v>49.58882591851166</c:v>
                </c:pt>
                <c:pt idx="9">
                  <c:v>49.394006660376455</c:v>
                </c:pt>
                <c:pt idx="10">
                  <c:v>49.199182115105366</c:v>
                </c:pt>
                <c:pt idx="11">
                  <c:v>49.004352640675933</c:v>
                </c:pt>
                <c:pt idx="12">
                  <c:v>48.809518585173493</c:v>
                </c:pt>
                <c:pt idx="13">
                  <c:v>48.614680287488099</c:v>
                </c:pt>
                <c:pt idx="14">
                  <c:v>48.419838077992225</c:v>
                </c:pt>
                <c:pt idx="15">
                  <c:v>48.224992279201366</c:v>
                </c:pt>
                <c:pt idx="16">
                  <c:v>48.030143206420462</c:v>
                </c:pt>
                <c:pt idx="17">
                  <c:v>47.835291168374297</c:v>
                </c:pt>
                <c:pt idx="18">
                  <c:v>47.640436467825808</c:v>
                </c:pt>
                <c:pt idx="19">
                  <c:v>47.445579402182602</c:v>
                </c:pt>
                <c:pt idx="20">
                  <c:v>47.250720264092053</c:v>
                </c:pt>
                <c:pt idx="21">
                  <c:v>47.055859342027276</c:v>
                </c:pt>
                <c:pt idx="22">
                  <c:v>46.860996920865048</c:v>
                </c:pt>
                <c:pt idx="23">
                  <c:v>46.66613328245603</c:v>
                </c:pt>
                <c:pt idx="24">
                  <c:v>46.471268706188752</c:v>
                </c:pt>
                <c:pt idx="25">
                  <c:v>46.276403469549351</c:v>
                </c:pt>
                <c:pt idx="26">
                  <c:v>46.081537848676106</c:v>
                </c:pt>
                <c:pt idx="27">
                  <c:v>45.886672118912628</c:v>
                </c:pt>
                <c:pt idx="28">
                  <c:v>45.691806555358085</c:v>
                </c:pt>
                <c:pt idx="29">
                  <c:v>45.496941433417277</c:v>
                </c:pt>
                <c:pt idx="30">
                  <c:v>45.302077029350727</c:v>
                </c:pt>
                <c:pt idx="31">
                  <c:v>45.107213620827245</c:v>
                </c:pt>
                <c:pt idx="32">
                  <c:v>44.912351487477252</c:v>
                </c:pt>
                <c:pt idx="33">
                  <c:v>44.717490911451485</c:v>
                </c:pt>
                <c:pt idx="34">
                  <c:v>44.522632177983198</c:v>
                </c:pt>
                <c:pt idx="35">
                  <c:v>44.327775575956608</c:v>
                </c:pt>
                <c:pt idx="36">
                  <c:v>44.132921398481926</c:v>
                </c:pt>
                <c:pt idx="37">
                  <c:v>43.938069943478695</c:v>
                </c:pt>
                <c:pt idx="38">
                  <c:v>43.743221514267944</c:v>
                </c:pt>
                <c:pt idx="39">
                  <c:v>43.548376420174378</c:v>
                </c:pt>
                <c:pt idx="40">
                  <c:v>43.353534977140491</c:v>
                </c:pt>
                <c:pt idx="41">
                  <c:v>43.158697508351956</c:v>
                </c:pt>
                <c:pt idx="42">
                  <c:v>42.963864344878488</c:v>
                </c:pt>
                <c:pt idx="43">
                  <c:v>42.76903582632773</c:v>
                </c:pt>
                <c:pt idx="44">
                  <c:v>42.574212301516212</c:v>
                </c:pt>
                <c:pt idx="45">
                  <c:v>42.379394129157788</c:v>
                </c:pt>
                <c:pt idx="46">
                  <c:v>42.184581678569714</c:v>
                </c:pt>
                <c:pt idx="47">
                  <c:v>41.989775330399468</c:v>
                </c:pt>
                <c:pt idx="48">
                  <c:v>41.794975477372731</c:v>
                </c:pt>
                <c:pt idx="49">
                  <c:v>41.600182525062891</c:v>
                </c:pt>
                <c:pt idx="50">
                  <c:v>41.40539689268612</c:v>
                </c:pt>
                <c:pt idx="51">
                  <c:v>41.210619013919924</c:v>
                </c:pt>
                <c:pt idx="52">
                  <c:v>41.015849337750446</c:v>
                </c:pt>
                <c:pt idx="53">
                  <c:v>40.821088329345891</c:v>
                </c:pt>
                <c:pt idx="54">
                  <c:v>40.626336470961959</c:v>
                </c:pt>
                <c:pt idx="55">
                  <c:v>40.431594262876629</c:v>
                </c:pt>
                <c:pt idx="56">
                  <c:v>40.236862224359228</c:v>
                </c:pt>
                <c:pt idx="57">
                  <c:v>40.042140894673651</c:v>
                </c:pt>
                <c:pt idx="58">
                  <c:v>39.847430834117411</c:v>
                </c:pt>
                <c:pt idx="59">
                  <c:v>39.652732625099489</c:v>
                </c:pt>
                <c:pt idx="60">
                  <c:v>39.458046873257032</c:v>
                </c:pt>
                <c:pt idx="61">
                  <c:v>39.263374208614465</c:v>
                </c:pt>
                <c:pt idx="62">
                  <c:v>39.068715286784922</c:v>
                </c:pt>
                <c:pt idx="63">
                  <c:v>38.874070790218219</c:v>
                </c:pt>
                <c:pt idx="64">
                  <c:v>38.679441429494624</c:v>
                </c:pt>
                <c:pt idx="65">
                  <c:v>38.484827944669249</c:v>
                </c:pt>
                <c:pt idx="66">
                  <c:v>38.290231106665978</c:v>
                </c:pt>
                <c:pt idx="67">
                  <c:v>38.095651718726188</c:v>
                </c:pt>
                <c:pt idx="68">
                  <c:v>37.901090617912033</c:v>
                </c:pt>
                <c:pt idx="69">
                  <c:v>37.706548676666849</c:v>
                </c:pt>
                <c:pt idx="70">
                  <c:v>37.512026804435735</c:v>
                </c:pt>
                <c:pt idx="71">
                  <c:v>37.317525949348017</c:v>
                </c:pt>
                <c:pt idx="72">
                  <c:v>37.123047099963038</c:v>
                </c:pt>
                <c:pt idx="73">
                  <c:v>36.928591287082611</c:v>
                </c:pt>
                <c:pt idx="74">
                  <c:v>36.734159585632426</c:v>
                </c:pt>
                <c:pt idx="75">
                  <c:v>36.539753116613326</c:v>
                </c:pt>
                <c:pt idx="76">
                  <c:v>36.345373049126465</c:v>
                </c:pt>
                <c:pt idx="77">
                  <c:v>36.151020602472883</c:v>
                </c:pt>
                <c:pt idx="78">
                  <c:v>35.956697048332074</c:v>
                </c:pt>
                <c:pt idx="79">
                  <c:v>35.762403713019296</c:v>
                </c:pt>
                <c:pt idx="80">
                  <c:v>35.568141979825164</c:v>
                </c:pt>
                <c:pt idx="81">
                  <c:v>35.373913291439528</c:v>
                </c:pt>
                <c:pt idx="82">
                  <c:v>35.179719152462347</c:v>
                </c:pt>
                <c:pt idx="83">
                  <c:v>34.985561132002289</c:v>
                </c:pt>
                <c:pt idx="84">
                  <c:v>34.791440866366401</c:v>
                </c:pt>
                <c:pt idx="85">
                  <c:v>34.597360061841037</c:v>
                </c:pt>
                <c:pt idx="86">
                  <c:v>34.403320497567904</c:v>
                </c:pt>
                <c:pt idx="87">
                  <c:v>34.20932402851615</c:v>
                </c:pt>
                <c:pt idx="88">
                  <c:v>34.015372588549326</c:v>
                </c:pt>
                <c:pt idx="89">
                  <c:v>33.82146819359361</c:v>
                </c:pt>
                <c:pt idx="90">
                  <c:v>33.627612944903468</c:v>
                </c:pt>
                <c:pt idx="91">
                  <c:v>33.433809032427462</c:v>
                </c:pt>
                <c:pt idx="92">
                  <c:v>33.240058738275778</c:v>
                </c:pt>
                <c:pt idx="93">
                  <c:v>33.046364440287817</c:v>
                </c:pt>
                <c:pt idx="94">
                  <c:v>32.852728615699604</c:v>
                </c:pt>
                <c:pt idx="95">
                  <c:v>32.659153844912154</c:v>
                </c:pt>
                <c:pt idx="96">
                  <c:v>32.465642815357931</c:v>
                </c:pt>
                <c:pt idx="97">
                  <c:v>32.272198325464316</c:v>
                </c:pt>
                <c:pt idx="98">
                  <c:v>32.078823288711973</c:v>
                </c:pt>
                <c:pt idx="99">
                  <c:v>31.88552073778542</c:v>
                </c:pt>
                <c:pt idx="100">
                  <c:v>31.692293828811216</c:v>
                </c:pt>
                <c:pt idx="101">
                  <c:v>31.499145845681099</c:v>
                </c:pt>
                <c:pt idx="102">
                  <c:v>31.306080204453579</c:v>
                </c:pt>
                <c:pt idx="103">
                  <c:v>31.11310045782767</c:v>
                </c:pt>
                <c:pt idx="104">
                  <c:v>30.920210299683259</c:v>
                </c:pt>
                <c:pt idx="105">
                  <c:v>30.727413569677491</c:v>
                </c:pt>
                <c:pt idx="106">
                  <c:v>30.534714257889807</c:v>
                </c:pt>
                <c:pt idx="107">
                  <c:v>30.342116509503512</c:v>
                </c:pt>
                <c:pt idx="108">
                  <c:v>30.149624629512019</c:v>
                </c:pt>
                <c:pt idx="109">
                  <c:v>29.95724308743581</c:v>
                </c:pt>
                <c:pt idx="110">
                  <c:v>29.76497652203544</c:v>
                </c:pt>
                <c:pt idx="111">
                  <c:v>29.572829746001929</c:v>
                </c:pt>
                <c:pt idx="112">
                  <c:v>29.380807750606813</c:v>
                </c:pt>
                <c:pt idx="113">
                  <c:v>29.1889157102894</c:v>
                </c:pt>
                <c:pt idx="114">
                  <c:v>28.997158987158933</c:v>
                </c:pt>
                <c:pt idx="115">
                  <c:v>28.805543135384362</c:v>
                </c:pt>
                <c:pt idx="116">
                  <c:v>28.614073905445885</c:v>
                </c:pt>
                <c:pt idx="117">
                  <c:v>28.422757248214381</c:v>
                </c:pt>
                <c:pt idx="118">
                  <c:v>28.231599318827055</c:v>
                </c:pt>
                <c:pt idx="119">
                  <c:v>28.04060648032285</c:v>
                </c:pt>
                <c:pt idx="120">
                  <c:v>27.849785306996253</c:v>
                </c:pt>
                <c:pt idx="121">
                  <c:v>27.659142587427922</c:v>
                </c:pt>
                <c:pt idx="122">
                  <c:v>27.46868532714603</c:v>
                </c:pt>
                <c:pt idx="123">
                  <c:v>27.278420750867625</c:v>
                </c:pt>
                <c:pt idx="124">
                  <c:v>27.08835630426794</c:v>
                </c:pt>
                <c:pt idx="125">
                  <c:v>26.898499655219151</c:v>
                </c:pt>
                <c:pt idx="126">
                  <c:v>26.708858694440586</c:v>
                </c:pt>
                <c:pt idx="127">
                  <c:v>26.519441535492717</c:v>
                </c:pt>
                <c:pt idx="128">
                  <c:v>26.330256514050486</c:v>
                </c:pt>
                <c:pt idx="129">
                  <c:v>26.141312186379547</c:v>
                </c:pt>
                <c:pt idx="130">
                  <c:v>25.952617326945148</c:v>
                </c:pt>
                <c:pt idx="131">
                  <c:v>25.764180925069837</c:v>
                </c:pt>
                <c:pt idx="132">
                  <c:v>25.576012180559985</c:v>
                </c:pt>
                <c:pt idx="133">
                  <c:v>25.388120498214935</c:v>
                </c:pt>
                <c:pt idx="134">
                  <c:v>25.200515481129084</c:v>
                </c:pt>
                <c:pt idx="135">
                  <c:v>25.013206922697055</c:v>
                </c:pt>
                <c:pt idx="136">
                  <c:v>24.826204797227227</c:v>
                </c:pt>
                <c:pt idx="137">
                  <c:v>24.63951924906921</c:v>
                </c:pt>
                <c:pt idx="138">
                  <c:v>24.453160580159988</c:v>
                </c:pt>
                <c:pt idx="139">
                  <c:v>24.267139235890198</c:v>
                </c:pt>
                <c:pt idx="140">
                  <c:v>24.081465789198141</c:v>
                </c:pt>
                <c:pt idx="141">
                  <c:v>23.896150922793815</c:v>
                </c:pt>
                <c:pt idx="142">
                  <c:v>23.71120540942476</c:v>
                </c:pt>
                <c:pt idx="143">
                  <c:v>23.526640090092975</c:v>
                </c:pt>
                <c:pt idx="144">
                  <c:v>23.342465850142158</c:v>
                </c:pt>
                <c:pt idx="145">
                  <c:v>23.158693593138764</c:v>
                </c:pt>
                <c:pt idx="146">
                  <c:v>22.975334212477659</c:v>
                </c:pt>
                <c:pt idx="147">
                  <c:v>22.792398560656423</c:v>
                </c:pt>
                <c:pt idx="148">
                  <c:v>22.609897416168959</c:v>
                </c:pt>
                <c:pt idx="149">
                  <c:v>22.427841447988495</c:v>
                </c:pt>
                <c:pt idx="150">
                  <c:v>22.246241177619694</c:v>
                </c:pt>
                <c:pt idx="151">
                  <c:v>22.065106938722078</c:v>
                </c:pt>
                <c:pt idx="152">
                  <c:v>21.884448834324157</c:v>
                </c:pt>
                <c:pt idx="153">
                  <c:v>21.70427669167055</c:v>
                </c:pt>
                <c:pt idx="154">
                  <c:v>21.52460001476787</c:v>
                </c:pt>
                <c:pt idx="155">
                  <c:v>21.345427934722082</c:v>
                </c:pt>
                <c:pt idx="156">
                  <c:v>21.166769157989329</c:v>
                </c:pt>
                <c:pt idx="157">
                  <c:v>20.988631912688806</c:v>
                </c:pt>
                <c:pt idx="158">
                  <c:v>20.811023893163867</c:v>
                </c:pt>
                <c:pt idx="159">
                  <c:v>20.633952203005279</c:v>
                </c:pt>
                <c:pt idx="160">
                  <c:v>20.457423296789912</c:v>
                </c:pt>
                <c:pt idx="161">
                  <c:v>20.281442920820705</c:v>
                </c:pt>
                <c:pt idx="162">
                  <c:v>20.106016053191947</c:v>
                </c:pt>
                <c:pt idx="163">
                  <c:v>19.931146843537508</c:v>
                </c:pt>
                <c:pt idx="164">
                  <c:v>19.756838552858294</c:v>
                </c:pt>
                <c:pt idx="165">
                  <c:v>19.583093493856978</c:v>
                </c:pt>
                <c:pt idx="166">
                  <c:v>19.409912972242267</c:v>
                </c:pt>
                <c:pt idx="167">
                  <c:v>19.237297229493823</c:v>
                </c:pt>
                <c:pt idx="168">
                  <c:v>19.06524538760706</c:v>
                </c:pt>
                <c:pt idx="169">
                  <c:v>18.893755396360802</c:v>
                </c:pt>
                <c:pt idx="170">
                  <c:v>18.72282398366599</c:v>
                </c:pt>
                <c:pt idx="171">
                  <c:v>18.552446609571497</c:v>
                </c:pt>
                <c:pt idx="172">
                  <c:v>18.382617424505305</c:v>
                </c:pt>
                <c:pt idx="173">
                  <c:v>18.213329232333223</c:v>
                </c:pt>
                <c:pt idx="174">
                  <c:v>18.044573458807605</c:v>
                </c:pt>
                <c:pt idx="175">
                  <c:v>17.876340125964795</c:v>
                </c:pt>
                <c:pt idx="176">
                  <c:v>17.708617833005285</c:v>
                </c:pt>
                <c:pt idx="177">
                  <c:v>17.541393744160615</c:v>
                </c:pt>
                <c:pt idx="178">
                  <c:v>17.374653584007781</c:v>
                </c:pt>
                <c:pt idx="179">
                  <c:v>17.208381640643367</c:v>
                </c:pt>
                <c:pt idx="180">
                  <c:v>17.04256077707246</c:v>
                </c:pt>
                <c:pt idx="181">
                  <c:v>16.87717245109836</c:v>
                </c:pt>
                <c:pt idx="182">
                  <c:v>16.712196743929759</c:v>
                </c:pt>
                <c:pt idx="183">
                  <c:v>16.547612397635255</c:v>
                </c:pt>
                <c:pt idx="184">
                  <c:v>16.383396861493978</c:v>
                </c:pt>
                <c:pt idx="185">
                  <c:v>16.219526347196499</c:v>
                </c:pt>
                <c:pt idx="186">
                  <c:v>16.055975892756479</c:v>
                </c:pt>
                <c:pt idx="187">
                  <c:v>15.892719434895215</c:v>
                </c:pt>
                <c:pt idx="188">
                  <c:v>15.729729889566409</c:v>
                </c:pt>
                <c:pt idx="189">
                  <c:v>15.566979240188829</c:v>
                </c:pt>
                <c:pt idx="190">
                  <c:v>15.404438633064165</c:v>
                </c:pt>
                <c:pt idx="191">
                  <c:v>15.242078479364098</c:v>
                </c:pt>
                <c:pt idx="192">
                  <c:v>15.079868562993401</c:v>
                </c:pt>
                <c:pt idx="193">
                  <c:v>14.917778153553487</c:v>
                </c:pt>
                <c:pt idx="194">
                  <c:v>14.755776123569481</c:v>
                </c:pt>
                <c:pt idx="195">
                  <c:v>14.593831069087951</c:v>
                </c:pt>
                <c:pt idx="196">
                  <c:v>14.431911432702218</c:v>
                </c:pt>
                <c:pt idx="197">
                  <c:v>14.269985628038018</c:v>
                </c:pt>
                <c:pt idx="198">
                  <c:v>14.108022164707338</c:v>
                </c:pt>
                <c:pt idx="199">
                  <c:v>13.945989772734487</c:v>
                </c:pt>
                <c:pt idx="200">
                  <c:v>13.783857525467415</c:v>
                </c:pt>
                <c:pt idx="201">
                  <c:v>13.621594960006453</c:v>
                </c:pt>
                <c:pt idx="202">
                  <c:v>13.459172194218793</c:v>
                </c:pt>
                <c:pt idx="203">
                  <c:v>13.296560039451888</c:v>
                </c:pt>
                <c:pt idx="204">
                  <c:v>13.133730108117538</c:v>
                </c:pt>
                <c:pt idx="205">
                  <c:v>12.970654915387758</c:v>
                </c:pt>
                <c:pt idx="206">
                  <c:v>12.80730797431719</c:v>
                </c:pt>
                <c:pt idx="207">
                  <c:v>12.643663883793929</c:v>
                </c:pt>
                <c:pt idx="208">
                  <c:v>12.479698408810354</c:v>
                </c:pt>
                <c:pt idx="209">
                  <c:v>12.315388552638113</c:v>
                </c:pt>
                <c:pt idx="210">
                  <c:v>12.150712620590943</c:v>
                </c:pt>
                <c:pt idx="211">
                  <c:v>11.985650275153143</c:v>
                </c:pt>
                <c:pt idx="212">
                  <c:v>11.820182582353679</c:v>
                </c:pt>
                <c:pt idx="213">
                  <c:v>11.654292049353097</c:v>
                </c:pt>
                <c:pt idx="214">
                  <c:v>11.487962653310143</c:v>
                </c:pt>
                <c:pt idx="215">
                  <c:v>11.321179861672293</c:v>
                </c:pt>
                <c:pt idx="216">
                  <c:v>11.15393064412148</c:v>
                </c:pt>
                <c:pt idx="217">
                  <c:v>10.986203476474591</c:v>
                </c:pt>
                <c:pt idx="218">
                  <c:v>10.817988336905835</c:v>
                </c:pt>
                <c:pt idx="219">
                  <c:v>10.649276694914089</c:v>
                </c:pt>
                <c:pt idx="220">
                  <c:v>10.480061493507881</c:v>
                </c:pt>
                <c:pt idx="221">
                  <c:v>10.310337125117982</c:v>
                </c:pt>
                <c:pt idx="222">
                  <c:v>10.140099401782582</c:v>
                </c:pt>
                <c:pt idx="223">
                  <c:v>9.9693455201672148</c:v>
                </c:pt>
                <c:pt idx="224">
                  <c:v>9.7980740220001117</c:v>
                </c:pt>
                <c:pt idx="225">
                  <c:v>9.6262847505071516</c:v>
                </c:pt>
                <c:pt idx="226">
                  <c:v>9.4539788034306902</c:v>
                </c:pt>
                <c:pt idx="227">
                  <c:v>9.2811584832083263</c:v>
                </c:pt>
                <c:pt idx="228">
                  <c:v>9.1078272448742226</c:v>
                </c:pt>
                <c:pt idx="229">
                  <c:v>8.9339896422250291</c:v>
                </c:pt>
                <c:pt idx="230">
                  <c:v>8.7596512727726168</c:v>
                </c:pt>
                <c:pt idx="231">
                  <c:v>8.5848187219721339</c:v>
                </c:pt>
                <c:pt idx="232">
                  <c:v>8.4094995071907537</c:v>
                </c:pt>
                <c:pt idx="233">
                  <c:v>8.2337020218426993</c:v>
                </c:pt>
                <c:pt idx="234">
                  <c:v>8.0574354800872108</c:v>
                </c:pt>
                <c:pt idx="235">
                  <c:v>7.880709862445924</c:v>
                </c:pt>
                <c:pt idx="236">
                  <c:v>7.7035358626641415</c:v>
                </c:pt>
                <c:pt idx="237">
                  <c:v>7.5259248361006748</c:v>
                </c:pt>
                <c:pt idx="238">
                  <c:v>7.3478887498984111</c:v>
                </c:pt>
                <c:pt idx="239">
                  <c:v>7.1694401351511949</c:v>
                </c:pt>
                <c:pt idx="240">
                  <c:v>6.9905920412503804</c:v>
                </c:pt>
                <c:pt idx="241">
                  <c:v>6.8113579925614633</c:v>
                </c:pt>
                <c:pt idx="242">
                  <c:v>6.6317519475523525</c:v>
                </c:pt>
                <c:pt idx="243">
                  <c:v>6.4517882604655696</c:v>
                </c:pt>
                <c:pt idx="244">
                  <c:v>6.2714816456005273</c:v>
                </c:pt>
                <c:pt idx="245">
                  <c:v>6.0908471442487713</c:v>
                </c:pt>
                <c:pt idx="246">
                  <c:v>5.9099000943021132</c:v>
                </c:pt>
                <c:pt idx="247">
                  <c:v>5.7286561025338365</c:v>
                </c:pt>
                <c:pt idx="248">
                  <c:v>5.5471310195360672</c:v>
                </c:pt>
                <c:pt idx="249">
                  <c:v>5.3653409172795641</c:v>
                </c:pt>
                <c:pt idx="250">
                  <c:v>5.1833020692488105</c:v>
                </c:pt>
                <c:pt idx="251">
                  <c:v>5.0010309330934621</c:v>
                </c:pt>
                <c:pt idx="252">
                  <c:v>4.8185441357261993</c:v>
                </c:pt>
                <c:pt idx="253">
                  <c:v>4.6358584607887803</c:v>
                </c:pt>
                <c:pt idx="254">
                  <c:v>4.4529908384002326</c:v>
                </c:pt>
                <c:pt idx="255">
                  <c:v>4.2699583370964938</c:v>
                </c:pt>
                <c:pt idx="256">
                  <c:v>4.0867781578628968</c:v>
                </c:pt>
                <c:pt idx="257">
                  <c:v>3.9034676301611384</c:v>
                </c:pt>
                <c:pt idx="258">
                  <c:v>3.7200442098465771</c:v>
                </c:pt>
                <c:pt idx="259">
                  <c:v>3.5365254788696241</c:v>
                </c:pt>
                <c:pt idx="260">
                  <c:v>3.3529291466561855</c:v>
                </c:pt>
                <c:pt idx="261">
                  <c:v>3.1692730530577897</c:v>
                </c:pt>
                <c:pt idx="262">
                  <c:v>2.9855751727630437</c:v>
                </c:pt>
                <c:pt idx="263">
                  <c:v>2.8018536210632696</c:v>
                </c:pt>
                <c:pt idx="264">
                  <c:v>2.6181266608624725</c:v>
                </c:pt>
                <c:pt idx="265">
                  <c:v>2.4344127108237661</c:v>
                </c:pt>
                <c:pt idx="266">
                  <c:v>2.2507303545442863</c:v>
                </c:pt>
                <c:pt idx="267">
                  <c:v>2.0670983506501859</c:v>
                </c:pt>
                <c:pt idx="268">
                  <c:v>1.8835356437050184</c:v>
                </c:pt>
                <c:pt idx="269">
                  <c:v>1.7000613758214698</c:v>
                </c:pt>
                <c:pt idx="270">
                  <c:v>1.5166948988708473</c:v>
                </c:pt>
                <c:pt idx="271">
                  <c:v>1.3334557871797994</c:v>
                </c:pt>
                <c:pt idx="272">
                  <c:v>1.1503638506054816</c:v>
                </c:pt>
                <c:pt idx="273">
                  <c:v>0.96743914787904295</c:v>
                </c:pt>
                <c:pt idx="274">
                  <c:v>0.78470200010444557</c:v>
                </c:pt>
                <c:pt idx="275">
                  <c:v>0.60217300430041476</c:v>
                </c:pt>
                <c:pt idx="276">
                  <c:v>0.41987304686699822</c:v>
                </c:pt>
                <c:pt idx="277">
                  <c:v>0.2378233168622863</c:v>
                </c:pt>
                <c:pt idx="278">
                  <c:v>5.6045318963201751E-2</c:v>
                </c:pt>
                <c:pt idx="279">
                  <c:v>-0.12543911400949348</c:v>
                </c:pt>
                <c:pt idx="280">
                  <c:v>-0.3066078091345652</c:v>
                </c:pt>
                <c:pt idx="281">
                  <c:v>-0.48743824213000941</c:v>
                </c:pt>
                <c:pt idx="282">
                  <c:v>-0.66790752692856969</c:v>
                </c:pt>
                <c:pt idx="283">
                  <c:v>-0.84799240622666083</c:v>
                </c:pt>
                <c:pt idx="284">
                  <c:v>-1.0276692431549819</c:v>
                </c:pt>
                <c:pt idx="285">
                  <c:v>-1.2069140142178316</c:v>
                </c:pt>
                <c:pt idx="286">
                  <c:v>-1.3857023036570109</c:v>
                </c:pt>
                <c:pt idx="287">
                  <c:v>-1.5640092993989096</c:v>
                </c:pt>
                <c:pt idx="288">
                  <c:v>-1.7418097907494019</c:v>
                </c:pt>
                <c:pt idx="289">
                  <c:v>-1.9190781680031108</c:v>
                </c:pt>
                <c:pt idx="290">
                  <c:v>-2.0957884241409062</c:v>
                </c:pt>
                <c:pt idx="291">
                  <c:v>-2.2719141587892331</c:v>
                </c:pt>
                <c:pt idx="292">
                  <c:v>-2.4474285846216048</c:v>
                </c:pt>
                <c:pt idx="293">
                  <c:v>-2.6223045363821722</c:v>
                </c:pt>
                <c:pt idx="294">
                  <c:v>-2.7965144827130501</c:v>
                </c:pt>
                <c:pt idx="295">
                  <c:v>-2.9700305409680503</c:v>
                </c:pt>
                <c:pt idx="296">
                  <c:v>-3.1428244951956916</c:v>
                </c:pt>
                <c:pt idx="297">
                  <c:v>-3.3148678174677233</c:v>
                </c:pt>
                <c:pt idx="298">
                  <c:v>-3.4861316927309591</c:v>
                </c:pt>
                <c:pt idx="299">
                  <c:v>-3.6565870473508264</c:v>
                </c:pt>
                <c:pt idx="300">
                  <c:v>-3.8262045815094288</c:v>
                </c:pt>
                <c:pt idx="301">
                  <c:v>-3.9949548056094883</c:v>
                </c:pt>
                <c:pt idx="302">
                  <c:v>-4.1628080808269425</c:v>
                </c:pt>
                <c:pt idx="303">
                  <c:v>-4.3297346639359358</c:v>
                </c:pt>
                <c:pt idx="304">
                  <c:v>-4.4957047565179105</c:v>
                </c:pt>
                <c:pt idx="305">
                  <c:v>-4.6606885586433</c:v>
                </c:pt>
                <c:pt idx="306">
                  <c:v>-4.824656327094849</c:v>
                </c:pt>
                <c:pt idx="307">
                  <c:v>-4.9875784381739123</c:v>
                </c:pt>
                <c:pt idx="308">
                  <c:v>-5.1494254551041605</c:v>
                </c:pt>
                <c:pt idx="309">
                  <c:v>-5.3101682000179959</c:v>
                </c:pt>
                <c:pt idx="310">
                  <c:v>-5.4697778304724531</c:v>
                </c:pt>
                <c:pt idx="311">
                  <c:v>-5.6282259204118708</c:v>
                </c:pt>
                <c:pt idx="312">
                  <c:v>-5.7854845454475923</c:v>
                </c:pt>
                <c:pt idx="313">
                  <c:v>-5.9415263722896601</c:v>
                </c:pt>
                <c:pt idx="314">
                  <c:v>-6.0963247521213297</c:v>
                </c:pt>
                <c:pt idx="315">
                  <c:v>-6.2498538176561347</c:v>
                </c:pt>
                <c:pt idx="316">
                  <c:v>-6.4020885835791219</c:v>
                </c:pt>
                <c:pt idx="317">
                  <c:v>-6.5530050500216728</c:v>
                </c:pt>
                <c:pt idx="318">
                  <c:v>-6.7025803086678142</c:v>
                </c:pt>
                <c:pt idx="319">
                  <c:v>-6.8507926510521475</c:v>
                </c:pt>
                <c:pt idx="320">
                  <c:v>-6.9976216785528091</c:v>
                </c:pt>
                <c:pt idx="321">
                  <c:v>-7.1430484135414565</c:v>
                </c:pt>
                <c:pt idx="322">
                  <c:v>-7.287055411110452</c:v>
                </c:pt>
                <c:pt idx="323">
                  <c:v>-7.4296268707535758</c:v>
                </c:pt>
                <c:pt idx="324">
                  <c:v>-7.5707487473421882</c:v>
                </c:pt>
                <c:pt idx="325">
                  <c:v>-7.7104088607037387</c:v>
                </c:pt>
                <c:pt idx="326">
                  <c:v>-7.8485970030854126</c:v>
                </c:pt>
                <c:pt idx="327">
                  <c:v>-7.9853050437596345</c:v>
                </c:pt>
                <c:pt idx="328">
                  <c:v>-8.1205270300142605</c:v>
                </c:pt>
                <c:pt idx="329">
                  <c:v>-8.2542592837624369</c:v>
                </c:pt>
                <c:pt idx="330">
                  <c:v>-8.3865004930016305</c:v>
                </c:pt>
                <c:pt idx="331">
                  <c:v>-8.5172517973598438</c:v>
                </c:pt>
                <c:pt idx="332">
                  <c:v>-8.6465168669791197</c:v>
                </c:pt>
                <c:pt idx="333">
                  <c:v>-8.7743019740059562</c:v>
                </c:pt>
                <c:pt idx="334">
                  <c:v>-8.9006160559898788</c:v>
                </c:pt>
                <c:pt idx="335">
                  <c:v>-9.0254707705247466</c:v>
                </c:pt>
                <c:pt idx="336">
                  <c:v>-9.1488805405114295</c:v>
                </c:pt>
                <c:pt idx="337">
                  <c:v>-9.2708625894727668</c:v>
                </c:pt>
                <c:pt idx="338">
                  <c:v>-9.3914369664052888</c:v>
                </c:pt>
                <c:pt idx="339">
                  <c:v>-9.5106265597163393</c:v>
                </c:pt>
                <c:pt idx="340">
                  <c:v>-9.6284570998611958</c:v>
                </c:pt>
                <c:pt idx="341">
                  <c:v>-9.7449571503673837</c:v>
                </c:pt>
                <c:pt idx="342">
                  <c:v>-9.8601580870041374</c:v>
                </c:pt>
                <c:pt idx="343">
                  <c:v>-9.9740940649355743</c:v>
                </c:pt>
                <c:pt idx="344">
                  <c:v>-10.086801973770655</c:v>
                </c:pt>
                <c:pt idx="345">
                  <c:v>-10.198321380501268</c:v>
                </c:pt>
                <c:pt idx="346">
                  <c:v>-10.3086944603983</c:v>
                </c:pt>
                <c:pt idx="347">
                  <c:v>-10.417965916010498</c:v>
                </c:pt>
                <c:pt idx="348">
                  <c:v>-10.526182884483278</c:v>
                </c:pt>
                <c:pt idx="349">
                  <c:v>-10.633394833487618</c:v>
                </c:pt>
                <c:pt idx="350">
                  <c:v>-10.739653446115561</c:v>
                </c:pt>
                <c:pt idx="351">
                  <c:v>-10.845012495157642</c:v>
                </c:pt>
                <c:pt idx="352">
                  <c:v>-10.949527707244682</c:v>
                </c:pt>
                <c:pt idx="353">
                  <c:v>-11.053256617379525</c:v>
                </c:pt>
                <c:pt idx="354">
                  <c:v>-11.156258414443831</c:v>
                </c:pt>
                <c:pt idx="355">
                  <c:v>-11.258593778298223</c:v>
                </c:pt>
                <c:pt idx="356">
                  <c:v>-11.3603247091435</c:v>
                </c:pt>
                <c:pt idx="357">
                  <c:v>-11.461514349835229</c:v>
                </c:pt>
                <c:pt idx="358">
                  <c:v>-11.562226801880453</c:v>
                </c:pt>
                <c:pt idx="359">
                  <c:v>-11.662526935865653</c:v>
                </c:pt>
                <c:pt idx="360">
                  <c:v>-11.762480197088303</c:v>
                </c:pt>
                <c:pt idx="361">
                  <c:v>-11.862152407178899</c:v>
                </c:pt>
                <c:pt idx="362">
                  <c:v>-11.961609562514235</c:v>
                </c:pt>
                <c:pt idx="363">
                  <c:v>-12.060917630233122</c:v>
                </c:pt>
                <c:pt idx="364">
                  <c:v>-12.160142342666507</c:v>
                </c:pt>
                <c:pt idx="365">
                  <c:v>-12.259348991003733</c:v>
                </c:pt>
                <c:pt idx="366">
                  <c:v>-12.358602219009647</c:v>
                </c:pt>
                <c:pt idx="367">
                  <c:v>-12.457965817606006</c:v>
                </c:pt>
                <c:pt idx="368">
                  <c:v>-12.557502521121814</c:v>
                </c:pt>
                <c:pt idx="369">
                  <c:v>-12.657273806012022</c:v>
                </c:pt>
                <c:pt idx="370">
                  <c:v>-12.757339692818707</c:v>
                </c:pt>
                <c:pt idx="371">
                  <c:v>-12.857758552142625</c:v>
                </c:pt>
                <c:pt idx="372">
                  <c:v>-12.958586915365338</c:v>
                </c:pt>
                <c:pt idx="373">
                  <c:v>-13.059879290834598</c:v>
                </c:pt>
                <c:pt idx="374">
                  <c:v>-13.161687986198469</c:v>
                </c:pt>
                <c:pt idx="375">
                  <c:v>-13.264062937537938</c:v>
                </c:pt>
                <c:pt idx="376">
                  <c:v>-13.367051545904278</c:v>
                </c:pt>
                <c:pt idx="377">
                  <c:v>-13.470698521826352</c:v>
                </c:pt>
                <c:pt idx="378">
                  <c:v>-13.575045738299753</c:v>
                </c:pt>
                <c:pt idx="379">
                  <c:v>-13.680132092716082</c:v>
                </c:pt>
                <c:pt idx="380">
                  <c:v>-13.785993378128492</c:v>
                </c:pt>
                <c:pt idx="381">
                  <c:v>-13.892662164186346</c:v>
                </c:pt>
                <c:pt idx="382">
                  <c:v>-14.000167688001913</c:v>
                </c:pt>
                <c:pt idx="383">
                  <c:v>-14.108535755137488</c:v>
                </c:pt>
                <c:pt idx="384">
                  <c:v>-14.217788650825288</c:v>
                </c:pt>
                <c:pt idx="385">
                  <c:v>-14.327945061454734</c:v>
                </c:pt>
                <c:pt idx="386">
                  <c:v>-14.439020006275795</c:v>
                </c:pt>
                <c:pt idx="387">
                  <c:v>-14.551024779189193</c:v>
                </c:pt>
                <c:pt idx="388">
                  <c:v>-14.663966900409129</c:v>
                </c:pt>
                <c:pt idx="389">
                  <c:v>-14.777850077700602</c:v>
                </c:pt>
                <c:pt idx="390">
                  <c:v>-14.892674176815218</c:v>
                </c:pt>
                <c:pt idx="391">
                  <c:v>-15.008435200670672</c:v>
                </c:pt>
                <c:pt idx="392">
                  <c:v>-15.125125276742626</c:v>
                </c:pt>
                <c:pt idx="393">
                  <c:v>-15.242732652069002</c:v>
                </c:pt>
                <c:pt idx="394">
                  <c:v>-15.361241695202519</c:v>
                </c:pt>
                <c:pt idx="395">
                  <c:v>-15.480632904384453</c:v>
                </c:pt>
                <c:pt idx="396">
                  <c:v>-15.600882921164336</c:v>
                </c:pt>
                <c:pt idx="397">
                  <c:v>-15.721964548640168</c:v>
                </c:pt>
                <c:pt idx="398">
                  <c:v>-15.843846773461218</c:v>
                </c:pt>
                <c:pt idx="399">
                  <c:v>-15.966494790696084</c:v>
                </c:pt>
                <c:pt idx="400">
                  <c:v>-16.089870030658293</c:v>
                </c:pt>
                <c:pt idx="401">
                  <c:v>-16.213930186756816</c:v>
                </c:pt>
                <c:pt idx="402">
                  <c:v>-16.338629243437122</c:v>
                </c:pt>
                <c:pt idx="403">
                  <c:v>-16.463917503283138</c:v>
                </c:pt>
                <c:pt idx="404">
                  <c:v>-16.58974161235491</c:v>
                </c:pt>
                <c:pt idx="405">
                  <c:v>-16.716044582857027</c:v>
                </c:pt>
                <c:pt idx="406">
                  <c:v>-16.842765812259891</c:v>
                </c:pt>
                <c:pt idx="407">
                  <c:v>-16.96984109802732</c:v>
                </c:pt>
                <c:pt idx="408">
                  <c:v>-17.097202647142627</c:v>
                </c:pt>
                <c:pt idx="409">
                  <c:v>-17.224779079678179</c:v>
                </c:pt>
                <c:pt idx="410">
                  <c:v>-17.352495425705701</c:v>
                </c:pt>
                <c:pt idx="411">
                  <c:v>-17.480273114911601</c:v>
                </c:pt>
                <c:pt idx="412">
                  <c:v>-17.608029958355207</c:v>
                </c:pt>
                <c:pt idx="413">
                  <c:v>-17.735680121890233</c:v>
                </c:pt>
                <c:pt idx="414">
                  <c:v>-17.863134090871391</c:v>
                </c:pt>
                <c:pt idx="415">
                  <c:v>-17.990298625872143</c:v>
                </c:pt>
                <c:pt idx="416">
                  <c:v>-18.117076709275164</c:v>
                </c:pt>
                <c:pt idx="417">
                  <c:v>-18.243367482738986</c:v>
                </c:pt>
                <c:pt idx="418">
                  <c:v>-18.369066175727589</c:v>
                </c:pt>
                <c:pt idx="419">
                  <c:v>-18.494064025488125</c:v>
                </c:pt>
                <c:pt idx="420">
                  <c:v>-18.618248189116628</c:v>
                </c:pt>
                <c:pt idx="421">
                  <c:v>-18.741501648645357</c:v>
                </c:pt>
                <c:pt idx="422">
                  <c:v>-18.863703110440674</c:v>
                </c:pt>
                <c:pt idx="423">
                  <c:v>-18.984726900643466</c:v>
                </c:pt>
                <c:pt idx="424">
                  <c:v>-19.104442858906427</c:v>
                </c:pt>
                <c:pt idx="425">
                  <c:v>-19.222716233340314</c:v>
                </c:pt>
                <c:pt idx="426">
                  <c:v>-19.339407580376193</c:v>
                </c:pt>
                <c:pt idx="427">
                  <c:v>-19.454372674237852</c:v>
                </c:pt>
                <c:pt idx="428">
                  <c:v>-19.567462431932558</c:v>
                </c:pt>
                <c:pt idx="429">
                  <c:v>-19.678522861172251</c:v>
                </c:pt>
                <c:pt idx="430">
                  <c:v>-19.787395040497174</c:v>
                </c:pt>
                <c:pt idx="431">
                  <c:v>-19.893915143184621</c:v>
                </c:pt>
                <c:pt idx="432">
                  <c:v>-19.997914519386313</c:v>
                </c:pt>
                <c:pt idx="433">
                  <c:v>-20.099219854499282</c:v>
                </c:pt>
                <c:pt idx="434">
                  <c:v>-20.197653426195455</c:v>
                </c:pt>
                <c:pt idx="435">
                  <c:v>-20.293033488040209</c:v>
                </c:pt>
                <c:pt idx="436">
                  <c:v>-20.385174814464911</c:v>
                </c:pt>
                <c:pt idx="437">
                  <c:v>-20.473889450376412</c:v>
                </c:pt>
                <c:pt idx="438">
                  <c:v>-20.558987719259832</c:v>
                </c:pt>
                <c:pt idx="439">
                  <c:v>-20.640279556778967</c:v>
                </c:pt>
                <c:pt idx="440">
                  <c:v>-20.717576253178688</c:v>
                </c:pt>
                <c:pt idx="441">
                  <c:v>-20.790692707967818</c:v>
                </c:pt>
                <c:pt idx="442">
                  <c:v>-20.859450325259708</c:v>
                </c:pt>
                <c:pt idx="443">
                  <c:v>-20.923680708707391</c:v>
                </c:pt>
                <c:pt idx="444">
                  <c:v>-20.983230352283453</c:v>
                </c:pt>
                <c:pt idx="445">
                  <c:v>-21.037966568279948</c:v>
                </c:pt>
                <c:pt idx="446">
                  <c:v>-21.087784947843652</c:v>
                </c:pt>
                <c:pt idx="447">
                  <c:v>-21.132618712725908</c:v>
                </c:pt>
                <c:pt idx="448">
                  <c:v>-21.172450389557941</c:v>
                </c:pt>
                <c:pt idx="449">
                  <c:v>-21.207326318172207</c:v>
                </c:pt>
                <c:pt idx="450">
                  <c:v>-21.237374588918883</c:v>
                </c:pt>
                <c:pt idx="451">
                  <c:v>-21.262827081775832</c:v>
                </c:pt>
                <c:pt idx="452">
                  <c:v>-21.284046336364284</c:v>
                </c:pt>
                <c:pt idx="453">
                  <c:v>-21.301557989950528</c:v>
                </c:pt>
                <c:pt idx="454">
                  <c:v>-21.316089437373758</c:v>
                </c:pt>
                <c:pt idx="455">
                  <c:v>-21.328615127882244</c:v>
                </c:pt>
                <c:pt idx="456">
                  <c:v>-21.340408426516237</c:v>
                </c:pt>
                <c:pt idx="457">
                  <c:v>-21.353099108592364</c:v>
                </c:pt>
                <c:pt idx="458">
                  <c:v>-21.368734176923038</c:v>
                </c:pt>
                <c:pt idx="459">
                  <c:v>-21.389837645327169</c:v>
                </c:pt>
                <c:pt idx="460">
                  <c:v>-21.419462132451372</c:v>
                </c:pt>
                <c:pt idx="461">
                  <c:v>-21.461221644177005</c:v>
                </c:pt>
                <c:pt idx="462">
                  <c:v>-21.519291223411901</c:v>
                </c:pt>
                <c:pt idx="463">
                  <c:v>-21.598356192935086</c:v>
                </c:pt>
                <c:pt idx="464">
                  <c:v>-21.70349316750757</c:v>
                </c:pt>
                <c:pt idx="465">
                  <c:v>-21.839969050945719</c:v>
                </c:pt>
                <c:pt idx="466">
                  <c:v>-22.012954883543571</c:v>
                </c:pt>
                <c:pt idx="467">
                  <c:v>-22.227169169082931</c:v>
                </c:pt>
                <c:pt idx="468">
                  <c:v>-22.486487543564955</c:v>
                </c:pt>
                <c:pt idx="469">
                  <c:v>-22.793575771598437</c:v>
                </c:pt>
                <c:pt idx="470">
                  <c:v>-23.149612071239112</c:v>
                </c:pt>
                <c:pt idx="471">
                  <c:v>-23.554155481872083</c:v>
                </c:pt>
                <c:pt idx="472">
                  <c:v>-24.005189011698072</c:v>
                </c:pt>
                <c:pt idx="473">
                  <c:v>-24.499328039850102</c:v>
                </c:pt>
                <c:pt idx="474">
                  <c:v>-25.032149649748071</c:v>
                </c:pt>
                <c:pt idx="475">
                  <c:v>-25.598579151007865</c:v>
                </c:pt>
                <c:pt idx="476">
                  <c:v>-26.193270220575844</c:v>
                </c:pt>
                <c:pt idx="477">
                  <c:v>-26.810930638602251</c:v>
                </c:pt>
                <c:pt idx="478">
                  <c:v>-27.446567787283698</c:v>
                </c:pt>
                <c:pt idx="479">
                  <c:v>-28.095648723723819</c:v>
                </c:pt>
                <c:pt idx="480">
                  <c:v>-28.754184046394716</c:v>
                </c:pt>
                <c:pt idx="481">
                  <c:v>-29.418752018420928</c:v>
                </c:pt>
                <c:pt idx="482">
                  <c:v>-30.086480934681692</c:v>
                </c:pt>
                <c:pt idx="483">
                  <c:v>-30.755005753870606</c:v>
                </c:pt>
                <c:pt idx="484">
                  <c:v>-31.42241153690351</c:v>
                </c:pt>
                <c:pt idx="485">
                  <c:v>-32.087172563207005</c:v>
                </c:pt>
                <c:pt idx="486">
                  <c:v>-32.748092826251472</c:v>
                </c:pt>
                <c:pt idx="487">
                  <c:v>-33.404251179310307</c:v>
                </c:pt>
                <c:pt idx="488">
                  <c:v>-34.054952696898916</c:v>
                </c:pt>
                <c:pt idx="489">
                  <c:v>-34.699686710306601</c:v>
                </c:pt>
                <c:pt idx="490">
                  <c:v>-35.338091314395903</c:v>
                </c:pt>
                <c:pt idx="491">
                  <c:v>-35.969923789678219</c:v>
                </c:pt>
                <c:pt idx="492">
                  <c:v>-36.595036230142483</c:v>
                </c:pt>
                <c:pt idx="493">
                  <c:v>-37.213355635051315</c:v>
                </c:pt>
                <c:pt idx="494">
                  <c:v>-37.824867758627271</c:v>
                </c:pt>
                <c:pt idx="495">
                  <c:v>-38.429604080966691</c:v>
                </c:pt>
                <c:pt idx="496">
                  <c:v>-39.027631345599076</c:v>
                </c:pt>
                <c:pt idx="497">
                  <c:v>-39.619043191825234</c:v>
                </c:pt>
                <c:pt idx="498">
                  <c:v>-40.203953486899977</c:v>
                </c:pt>
                <c:pt idx="499">
                  <c:v>-40.782491031428577</c:v>
                </c:pt>
                <c:pt idx="500">
                  <c:v>-41.366473012508465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4D19-9DBC-690DDB1D00CA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25.557043543112933</c:v>
                </c:pt>
                <c:pt idx="1">
                  <c:v>25.362302802180952</c:v>
                </c:pt>
                <c:pt idx="2">
                  <c:v>25.16755446912321</c:v>
                </c:pt>
                <c:pt idx="3">
                  <c:v>24.972799054934537</c:v>
                </c:pt>
                <c:pt idx="4">
                  <c:v>24.778037056441438</c:v>
                </c:pt>
                <c:pt idx="5">
                  <c:v>24.583268957292837</c:v>
                </c:pt>
                <c:pt idx="6">
                  <c:v>24.388495228926132</c:v>
                </c:pt>
                <c:pt idx="7">
                  <c:v>24.193716331508579</c:v>
                </c:pt>
                <c:pt idx="8">
                  <c:v>23.998932714856998</c:v>
                </c:pt>
                <c:pt idx="9">
                  <c:v>23.804144819336667</c:v>
                </c:pt>
                <c:pt idx="10">
                  <c:v>23.609353076742718</c:v>
                </c:pt>
                <c:pt idx="11">
                  <c:v>23.414557911163346</c:v>
                </c:pt>
                <c:pt idx="12">
                  <c:v>23.219759739829069</c:v>
                </c:pt>
                <c:pt idx="13">
                  <c:v>23.024958973947815</c:v>
                </c:pt>
                <c:pt idx="14">
                  <c:v>22.830156019528491</c:v>
                </c:pt>
                <c:pt idx="15">
                  <c:v>22.635351278194111</c:v>
                </c:pt>
                <c:pt idx="16">
                  <c:v>22.440545147986718</c:v>
                </c:pt>
                <c:pt idx="17">
                  <c:v>22.245738024164496</c:v>
                </c:pt>
                <c:pt idx="18">
                  <c:v>22.050930299994228</c:v>
                </c:pt>
                <c:pt idx="19">
                  <c:v>21.856122367539527</c:v>
                </c:pt>
                <c:pt idx="20">
                  <c:v>21.661314618446397</c:v>
                </c:pt>
                <c:pt idx="21">
                  <c:v>21.466507444728332</c:v>
                </c:pt>
                <c:pt idx="22">
                  <c:v>21.271701239552062</c:v>
                </c:pt>
                <c:pt idx="23">
                  <c:v>21.076896398025717</c:v>
                </c:pt>
                <c:pt idx="24">
                  <c:v>20.882093317990197</c:v>
                </c:pt>
                <c:pt idx="25">
                  <c:v>20.687292400816926</c:v>
                </c:pt>
                <c:pt idx="26">
                  <c:v>20.492494052211384</c:v>
                </c:pt>
                <c:pt idx="27">
                  <c:v>20.297698683026184</c:v>
                </c:pt>
                <c:pt idx="28">
                  <c:v>20.102906710083804</c:v>
                </c:pt>
                <c:pt idx="29">
                  <c:v>19.908118557010958</c:v>
                </c:pt>
                <c:pt idx="30">
                  <c:v>19.713334655086427</c:v>
                </c:pt>
                <c:pt idx="31">
                  <c:v>19.518555444104148</c:v>
                </c:pt>
                <c:pt idx="32">
                  <c:v>19.323781373252697</c:v>
                </c:pt>
                <c:pt idx="33">
                  <c:v>19.129012902013361</c:v>
                </c:pt>
                <c:pt idx="34">
                  <c:v>18.934250501078321</c:v>
                </c:pt>
                <c:pt idx="35">
                  <c:v>18.73949465329088</c:v>
                </c:pt>
                <c:pt idx="36">
                  <c:v>18.544745854609342</c:v>
                </c:pt>
                <c:pt idx="37">
                  <c:v>18.350004615096669</c:v>
                </c:pt>
                <c:pt idx="38">
                  <c:v>18.155271459937701</c:v>
                </c:pt>
                <c:pt idx="39">
                  <c:v>17.960546930485709</c:v>
                </c:pt>
                <c:pt idx="40">
                  <c:v>17.765831585340798</c:v>
                </c:pt>
                <c:pt idx="41">
                  <c:v>17.571126001461586</c:v>
                </c:pt>
                <c:pt idx="42">
                  <c:v>17.376430775312894</c:v>
                </c:pt>
                <c:pt idx="43">
                  <c:v>17.181746524051135</c:v>
                </c:pt>
                <c:pt idx="44">
                  <c:v>16.987073886749954</c:v>
                </c:pt>
                <c:pt idx="45">
                  <c:v>16.792413525668476</c:v>
                </c:pt>
                <c:pt idx="46">
                  <c:v>16.597766127564142</c:v>
                </c:pt>
                <c:pt idx="47">
                  <c:v>16.403132405053263</c:v>
                </c:pt>
                <c:pt idx="48">
                  <c:v>16.208513098021143</c:v>
                </c:pt>
                <c:pt idx="49">
                  <c:v>16.013908975084941</c:v>
                </c:pt>
                <c:pt idx="50">
                  <c:v>15.819320835111712</c:v>
                </c:pt>
                <c:pt idx="51">
                  <c:v>15.624749508794519</c:v>
                </c:pt>
                <c:pt idx="52">
                  <c:v>15.430195860289501</c:v>
                </c:pt>
                <c:pt idx="53">
                  <c:v>15.235660788916825</c:v>
                </c:pt>
                <c:pt idx="54">
                  <c:v>15.041145230928844</c:v>
                </c:pt>
                <c:pt idx="55">
                  <c:v>14.846650161348418</c:v>
                </c:pt>
                <c:pt idx="56">
                  <c:v>14.652176595880738</c:v>
                </c:pt>
                <c:pt idx="57">
                  <c:v>14.457725592902424</c:v>
                </c:pt>
                <c:pt idx="58">
                  <c:v>14.263298255530765</c:v>
                </c:pt>
                <c:pt idx="59">
                  <c:v>14.068895733777591</c:v>
                </c:pt>
                <c:pt idx="60">
                  <c:v>13.874519226790785</c:v>
                </c:pt>
                <c:pt idx="61">
                  <c:v>13.680169985188044</c:v>
                </c:pt>
                <c:pt idx="62">
                  <c:v>13.48584931348592</c:v>
                </c:pt>
                <c:pt idx="63">
                  <c:v>13.291558572630066</c:v>
                </c:pt>
                <c:pt idx="64">
                  <c:v>13.097299182628648</c:v>
                </c:pt>
                <c:pt idx="65">
                  <c:v>12.903072625295763</c:v>
                </c:pt>
                <c:pt idx="66">
                  <c:v>12.708880447107362</c:v>
                </c:pt>
                <c:pt idx="67">
                  <c:v>12.514724262175822</c:v>
                </c:pt>
                <c:pt idx="68">
                  <c:v>12.320605755347799</c:v>
                </c:pt>
                <c:pt idx="69">
                  <c:v>12.126526685429532</c:v>
                </c:pt>
                <c:pt idx="70">
                  <c:v>11.932488888545594</c:v>
                </c:pt>
                <c:pt idx="71">
                  <c:v>11.738494281636758</c:v>
                </c:pt>
                <c:pt idx="72">
                  <c:v>11.544544866100818</c:v>
                </c:pt>
                <c:pt idx="73">
                  <c:v>11.350642731583651</c:v>
                </c:pt>
                <c:pt idx="74">
                  <c:v>11.1567900599258</c:v>
                </c:pt>
                <c:pt idx="75">
                  <c:v>10.962989129269642</c:v>
                </c:pt>
                <c:pt idx="76">
                  <c:v>10.76924231833431</c:v>
                </c:pt>
                <c:pt idx="77">
                  <c:v>10.575552110863615</c:v>
                </c:pt>
                <c:pt idx="78">
                  <c:v>10.381921100254122</c:v>
                </c:pt>
                <c:pt idx="79">
                  <c:v>10.188351994369116</c:v>
                </c:pt>
                <c:pt idx="80">
                  <c:v>9.9948476205449168</c:v>
                </c:pt>
                <c:pt idx="81">
                  <c:v>9.8014109307967185</c:v>
                </c:pt>
                <c:pt idx="82">
                  <c:v>9.6080450072305457</c:v>
                </c:pt>
                <c:pt idx="83">
                  <c:v>9.4147530676676396</c:v>
                </c:pt>
                <c:pt idx="84">
                  <c:v>9.221538471488687</c:v>
                </c:pt>
                <c:pt idx="85">
                  <c:v>9.0284047257042541</c:v>
                </c:pt>
                <c:pt idx="86">
                  <c:v>8.8353554912592216</c:v>
                </c:pt>
                <c:pt idx="87">
                  <c:v>8.6423945895773926</c:v>
                </c:pt>
                <c:pt idx="88">
                  <c:v>8.4495260093529119</c:v>
                </c:pt>
                <c:pt idx="89">
                  <c:v>8.2567539135968619</c:v>
                </c:pt>
                <c:pt idx="90">
                  <c:v>8.0640826469442004</c:v>
                </c:pt>
                <c:pt idx="91">
                  <c:v>7.8715167432282076</c:v>
                </c:pt>
                <c:pt idx="92">
                  <c:v>7.6790609333297546</c:v>
                </c:pt>
                <c:pt idx="93">
                  <c:v>7.486720153306667</c:v>
                </c:pt>
                <c:pt idx="94">
                  <c:v>7.2944995528093894</c:v>
                </c:pt>
                <c:pt idx="95">
                  <c:v>7.102404503789554</c:v>
                </c:pt>
                <c:pt idx="96">
                  <c:v>6.9104406095060238</c:v>
                </c:pt>
                <c:pt idx="97">
                  <c:v>6.7186137138334381</c:v>
                </c:pt>
                <c:pt idx="98">
                  <c:v>6.5269299108783621</c:v>
                </c:pt>
                <c:pt idx="99">
                  <c:v>6.3353955549062366</c:v>
                </c:pt>
                <c:pt idx="100">
                  <c:v>6.1440172705827525</c:v>
                </c:pt>
                <c:pt idx="101">
                  <c:v>5.9528019635322202</c:v>
                </c:pt>
                <c:pt idx="102">
                  <c:v>5.7617568312145568</c:v>
                </c:pt>
                <c:pt idx="103">
                  <c:v>5.5708893741211671</c:v>
                </c:pt>
                <c:pt idx="104">
                  <c:v>5.3802074072899417</c:v>
                </c:pt>
                <c:pt idx="105">
                  <c:v>5.1897190721378506</c:v>
                </c:pt>
                <c:pt idx="106">
                  <c:v>4.9994328486074826</c:v>
                </c:pt>
                <c:pt idx="107">
                  <c:v>4.8093575676241009</c:v>
                </c:pt>
                <c:pt idx="108">
                  <c:v>4.6195024238566234</c:v>
                </c:pt>
                <c:pt idx="109">
                  <c:v>4.4298769887751606</c:v>
                </c:pt>
                <c:pt idx="110">
                  <c:v>4.2404912239949812</c:v>
                </c:pt>
                <c:pt idx="111">
                  <c:v>4.051355494895426</c:v>
                </c:pt>
                <c:pt idx="112">
                  <c:v>3.8624805844995844</c:v>
                </c:pt>
                <c:pt idx="113">
                  <c:v>3.6738777075973217</c:v>
                </c:pt>
                <c:pt idx="114">
                  <c:v>3.485558525093067</c:v>
                </c:pt>
                <c:pt idx="115">
                  <c:v>3.2975351585551471</c:v>
                </c:pt>
                <c:pt idx="116">
                  <c:v>3.1098202049413439</c:v>
                </c:pt>
                <c:pt idx="117">
                  <c:v>2.9224267514712796</c:v>
                </c:pt>
                <c:pt idx="118">
                  <c:v>2.7353683906125488</c:v>
                </c:pt>
                <c:pt idx="119">
                  <c:v>2.5486592351443509</c:v>
                </c:pt>
                <c:pt idx="120">
                  <c:v>2.362313933256714</c:v>
                </c:pt>
                <c:pt idx="121">
                  <c:v>2.176347683639734</c:v>
                </c:pt>
                <c:pt idx="122">
                  <c:v>1.990776250513183</c:v>
                </c:pt>
                <c:pt idx="123">
                  <c:v>1.80561597853955</c:v>
                </c:pt>
                <c:pt idx="124">
                  <c:v>1.620883807561488</c:v>
                </c:pt>
                <c:pt idx="125">
                  <c:v>1.4365972870952384</c:v>
                </c:pt>
                <c:pt idx="126">
                  <c:v>1.2527745905093504</c:v>
                </c:pt>
                <c:pt idx="127">
                  <c:v>1.0694345288095306</c:v>
                </c:pt>
                <c:pt idx="128">
                  <c:v>0.88659656394548991</c:v>
                </c:pt>
                <c:pt idx="129">
                  <c:v>0.70428082154763838</c:v>
                </c:pt>
                <c:pt idx="130">
                  <c:v>0.52250810299741834</c:v>
                </c:pt>
                <c:pt idx="131">
                  <c:v>0.34129989672530436</c:v>
                </c:pt>
                <c:pt idx="132">
                  <c:v>0.16067838862554679</c:v>
                </c:pt>
                <c:pt idx="133">
                  <c:v>-1.9333528530025294E-2</c:v>
                </c:pt>
                <c:pt idx="134">
                  <c:v>-0.1987122468059267</c:v>
                </c:pt>
                <c:pt idx="135">
                  <c:v>-0.37743343607495461</c:v>
                </c:pt>
                <c:pt idx="136">
                  <c:v>-0.55547203838775994</c:v>
                </c:pt>
                <c:pt idx="137">
                  <c:v>-0.73280226388496494</c:v>
                </c:pt>
                <c:pt idx="138">
                  <c:v>-0.90939758840218143</c:v>
                </c:pt>
                <c:pt idx="139">
                  <c:v>-1.0852307529253833</c:v>
                </c:pt>
                <c:pt idx="140">
                  <c:v>-1.2602737650572999</c:v>
                </c:pt>
                <c:pt idx="141">
                  <c:v>-1.4344979026613067</c:v>
                </c:pt>
                <c:pt idx="142">
                  <c:v>-1.6078737198516293</c:v>
                </c:pt>
                <c:pt idx="143">
                  <c:v>-1.7803710555020249</c:v>
                </c:pt>
                <c:pt idx="144">
                  <c:v>-1.9519590444457189</c:v>
                </c:pt>
                <c:pt idx="145">
                  <c:v>-2.1226061315401497</c:v>
                </c:pt>
                <c:pt idx="146">
                  <c:v>-2.2922800887682397</c:v>
                </c:pt>
                <c:pt idx="147">
                  <c:v>-2.4609480355451265</c:v>
                </c:pt>
                <c:pt idx="148">
                  <c:v>-2.6285764623946029</c:v>
                </c:pt>
                <c:pt idx="149">
                  <c:v>-2.7951312581527139</c:v>
                </c:pt>
                <c:pt idx="150">
                  <c:v>-2.9605777408474427</c:v>
                </c:pt>
                <c:pt idx="151">
                  <c:v>-3.1248806923918595</c:v>
                </c:pt>
                <c:pt idx="152">
                  <c:v>-3.2880043972155262</c:v>
                </c:pt>
                <c:pt idx="153">
                  <c:v>-3.4499126849421762</c:v>
                </c:pt>
                <c:pt idx="154">
                  <c:v>-3.6105689772037977</c:v>
                </c:pt>
                <c:pt idx="155">
                  <c:v>-3.7699363386598419</c:v>
                </c:pt>
                <c:pt idx="156">
                  <c:v>-3.9279775322659582</c:v>
                </c:pt>
                <c:pt idx="157">
                  <c:v>-4.0846550788110489</c:v>
                </c:pt>
                <c:pt idx="158">
                  <c:v>-4.2399313207104932</c:v>
                </c:pt>
                <c:pt idx="159">
                  <c:v>-4.3937684900135014</c:v>
                </c:pt>
                <c:pt idx="160">
                  <c:v>-4.5461287805455717</c:v>
                </c:pt>
                <c:pt idx="161">
                  <c:v>-4.6969744240728852</c:v>
                </c:pt>
                <c:pt idx="162">
                  <c:v>-4.846267770334566</c:v>
                </c:pt>
                <c:pt idx="163">
                  <c:v>-4.9939713707497182</c:v>
                </c:pt>
                <c:pt idx="164">
                  <c:v>-5.140048065563291</c:v>
                </c:pt>
                <c:pt idx="165">
                  <c:v>-5.2844610741523557</c:v>
                </c:pt>
                <c:pt idx="166">
                  <c:v>-5.4271740881708617</c:v>
                </c:pt>
                <c:pt idx="167">
                  <c:v>-5.5681513671681158</c:v>
                </c:pt>
                <c:pt idx="168">
                  <c:v>-5.7073578362735242</c:v>
                </c:pt>
                <c:pt idx="169">
                  <c:v>-5.8447591854981411</c:v>
                </c:pt>
                <c:pt idx="170">
                  <c:v>-5.9803219701656127</c:v>
                </c:pt>
                <c:pt idx="171">
                  <c:v>-6.1140137119474245</c:v>
                </c:pt>
                <c:pt idx="172">
                  <c:v>-6.2458029999448765</c:v>
                </c:pt>
                <c:pt idx="173">
                  <c:v>-6.3756595912305141</c:v>
                </c:pt>
                <c:pt idx="174">
                  <c:v>-6.503554510237441</c:v>
                </c:pt>
                <c:pt idx="175">
                  <c:v>-6.6294601463672542</c:v>
                </c:pt>
                <c:pt idx="176">
                  <c:v>-6.7533503491718827</c:v>
                </c:pt>
                <c:pt idx="177">
                  <c:v>-6.875200520460881</c:v>
                </c:pt>
                <c:pt idx="178">
                  <c:v>-6.9949877026841136</c:v>
                </c:pt>
                <c:pt idx="179">
                  <c:v>-7.1126906629493325</c:v>
                </c:pt>
                <c:pt idx="180">
                  <c:v>-7.2282899720487803</c:v>
                </c:pt>
                <c:pt idx="181">
                  <c:v>-7.3417680778918983</c:v>
                </c:pt>
                <c:pt idx="182">
                  <c:v>-7.4531093727717979</c:v>
                </c:pt>
                <c:pt idx="183">
                  <c:v>-7.5623002539324453</c:v>
                </c:pt>
                <c:pt idx="184">
                  <c:v>-7.6693291769473761</c:v>
                </c:pt>
                <c:pt idx="185">
                  <c:v>-7.7741867014730301</c:v>
                </c:pt>
                <c:pt idx="186">
                  <c:v>-7.876865528998092</c:v>
                </c:pt>
                <c:pt idx="187">
                  <c:v>-7.9773605322738614</c:v>
                </c:pt>
                <c:pt idx="188">
                  <c:v>-8.0756687761769701</c:v>
                </c:pt>
                <c:pt idx="189">
                  <c:v>-8.1717895298292582</c:v>
                </c:pt>
                <c:pt idx="190">
                  <c:v>-8.2657242698714644</c:v>
                </c:pt>
                <c:pt idx="191">
                  <c:v>-8.3574766748652163</c:v>
                </c:pt>
                <c:pt idx="192">
                  <c:v>-8.4470526108709585</c:v>
                </c:pt>
                <c:pt idx="193">
                  <c:v>-8.5344601083270373</c:v>
                </c:pt>
                <c:pt idx="194">
                  <c:v>-8.6197093304273249</c:v>
                </c:pt>
                <c:pt idx="195">
                  <c:v>-8.7028125332646091</c:v>
                </c:pt>
                <c:pt idx="196">
                  <c:v>-8.7837840180754299</c:v>
                </c:pt>
                <c:pt idx="197">
                  <c:v>-8.8626400759823625</c:v>
                </c:pt>
                <c:pt idx="198">
                  <c:v>-8.939398925686552</c:v>
                </c:pt>
                <c:pt idx="199">
                  <c:v>-9.0140806446130828</c:v>
                </c:pt>
                <c:pt idx="200">
                  <c:v>-9.0867070940560879</c:v>
                </c:pt>
                <c:pt idx="201">
                  <c:v>-9.1573018389047451</c:v>
                </c:pt>
                <c:pt idx="202">
                  <c:v>-9.2258900625613389</c:v>
                </c:pt>
                <c:pt idx="203">
                  <c:v>-9.292498477682722</c:v>
                </c:pt>
                <c:pt idx="204">
                  <c:v>-9.3571552333902854</c:v>
                </c:pt>
                <c:pt idx="205">
                  <c:v>-9.4198898195981116</c:v>
                </c:pt>
                <c:pt idx="206">
                  <c:v>-9.4807329691091908</c:v>
                </c:pt>
                <c:pt idx="207">
                  <c:v>-9.5397165581204124</c:v>
                </c:pt>
                <c:pt idx="208">
                  <c:v>-9.59687350576176</c:v>
                </c:pt>
                <c:pt idx="209">
                  <c:v>-9.6522376732755379</c:v>
                </c:pt>
                <c:pt idx="210">
                  <c:v>-9.7058437634157553</c:v>
                </c:pt>
                <c:pt idx="211">
                  <c:v>-9.757727220616383</c:v>
                </c:pt>
                <c:pt idx="212">
                  <c:v>-9.8079241324435227</c:v>
                </c:pt>
                <c:pt idx="213">
                  <c:v>-9.8564711328103431</c:v>
                </c:pt>
                <c:pt idx="214">
                  <c:v>-9.9034053073908641</c:v>
                </c:pt>
                <c:pt idx="215">
                  <c:v>-9.9487641016303332</c:v>
                </c:pt>
                <c:pt idx="216">
                  <c:v>-9.99258523170462</c:v>
                </c:pt>
                <c:pt idx="217">
                  <c:v>-10.034906598739406</c:v>
                </c:pt>
                <c:pt idx="218">
                  <c:v>-10.075766206554952</c:v>
                </c:pt>
                <c:pt idx="219">
                  <c:v>-10.115202083162217</c:v>
                </c:pt>
                <c:pt idx="220">
                  <c:v>-10.153252206191832</c:v>
                </c:pt>
                <c:pt idx="221">
                  <c:v>-10.189954432399457</c:v>
                </c:pt>
                <c:pt idx="222">
                  <c:v>-10.225346431351348</c:v>
                </c:pt>
                <c:pt idx="223">
                  <c:v>-10.259465623359409</c:v>
                </c:pt>
                <c:pt idx="224">
                  <c:v>-10.292349121699957</c:v>
                </c:pt>
                <c:pt idx="225">
                  <c:v>-10.324033679119546</c:v>
                </c:pt>
                <c:pt idx="226">
                  <c:v>-10.354555638603831</c:v>
                </c:pt>
                <c:pt idx="227">
                  <c:v>-10.383950888357536</c:v>
                </c:pt>
                <c:pt idx="228">
                  <c:v>-10.412254820922058</c:v>
                </c:pt>
                <c:pt idx="229">
                  <c:v>-10.439502296337267</c:v>
                </c:pt>
                <c:pt idx="230">
                  <c:v>-10.46572760923363</c:v>
                </c:pt>
                <c:pt idx="231">
                  <c:v>-10.490964459729547</c:v>
                </c:pt>
                <c:pt idx="232">
                  <c:v>-10.515245927992618</c:v>
                </c:pt>
                <c:pt idx="233">
                  <c:v>-10.53860445231582</c:v>
                </c:pt>
                <c:pt idx="234">
                  <c:v>-10.561071810549265</c:v>
                </c:pt>
                <c:pt idx="235">
                  <c:v>-10.582679104725072</c:v>
                </c:pt>
                <c:pt idx="236">
                  <c:v>-10.603456748704838</c:v>
                </c:pt>
                <c:pt idx="237">
                  <c:v>-10.623434458680745</c:v>
                </c:pt>
                <c:pt idx="238">
                  <c:v>-10.642641246357789</c:v>
                </c:pt>
                <c:pt idx="239">
                  <c:v>-10.661105414646332</c:v>
                </c:pt>
                <c:pt idx="240">
                  <c:v>-10.678854555695384</c:v>
                </c:pt>
                <c:pt idx="241">
                  <c:v>-10.695915551100869</c:v>
                </c:pt>
                <c:pt idx="242">
                  <c:v>-10.71231457412523</c:v>
                </c:pt>
                <c:pt idx="243">
                  <c:v>-10.728077093771304</c:v>
                </c:pt>
                <c:pt idx="244">
                  <c:v>-10.743227880557196</c:v>
                </c:pt>
                <c:pt idx="245">
                  <c:v>-10.757791013844836</c:v>
                </c:pt>
                <c:pt idx="246">
                  <c:v>-10.771789890582497</c:v>
                </c:pt>
                <c:pt idx="247">
                  <c:v>-10.785247235325539</c:v>
                </c:pt>
                <c:pt idx="248">
                  <c:v>-10.798185111409147</c:v>
                </c:pt>
                <c:pt idx="249">
                  <c:v>-10.810624933151985</c:v>
                </c:pt>
                <c:pt idx="250">
                  <c:v>-10.822587478976942</c:v>
                </c:pt>
                <c:pt idx="251">
                  <c:v>-10.834092905343004</c:v>
                </c:pt>
                <c:pt idx="252">
                  <c:v>-10.845160761388238</c:v>
                </c:pt>
                <c:pt idx="253">
                  <c:v>-10.855810004190873</c:v>
                </c:pt>
                <c:pt idx="254">
                  <c:v>-10.86605901456355</c:v>
                </c:pt>
                <c:pt idx="255">
                  <c:v>-10.875925613299607</c:v>
                </c:pt>
                <c:pt idx="256">
                  <c:v>-10.88542707779993</c:v>
                </c:pt>
                <c:pt idx="257">
                  <c:v>-10.894580159012563</c:v>
                </c:pt>
                <c:pt idx="258">
                  <c:v>-10.903401098623757</c:v>
                </c:pt>
                <c:pt idx="259">
                  <c:v>-10.911905646445813</c:v>
                </c:pt>
                <c:pt idx="260">
                  <c:v>-10.920109077951231</c:v>
                </c:pt>
                <c:pt idx="261">
                  <c:v>-10.928026211907977</c:v>
                </c:pt>
                <c:pt idx="262">
                  <c:v>-10.935671428076724</c:v>
                </c:pt>
                <c:pt idx="263">
                  <c:v>-10.943058684933538</c:v>
                </c:pt>
                <c:pt idx="264">
                  <c:v>-10.950201537387489</c:v>
                </c:pt>
                <c:pt idx="265">
                  <c:v>-10.957113154465732</c:v>
                </c:pt>
                <c:pt idx="266">
                  <c:v>-10.963806336943389</c:v>
                </c:pt>
                <c:pt idx="267">
                  <c:v>-10.970293534897612</c:v>
                </c:pt>
                <c:pt idx="268">
                  <c:v>-10.97658686516958</c:v>
                </c:pt>
                <c:pt idx="269">
                  <c:v>-10.982698128722017</c:v>
                </c:pt>
                <c:pt idx="270">
                  <c:v>-10.988638827880004</c:v>
                </c:pt>
                <c:pt idx="271">
                  <c:v>-10.994420183448799</c:v>
                </c:pt>
                <c:pt idx="272">
                  <c:v>-11.00005315170208</c:v>
                </c:pt>
                <c:pt idx="273">
                  <c:v>-11.005548441237798</c:v>
                </c:pt>
                <c:pt idx="274">
                  <c:v>-11.010916529701117</c:v>
                </c:pt>
                <c:pt idx="275">
                  <c:v>-11.016167680372863</c:v>
                </c:pt>
                <c:pt idx="276">
                  <c:v>-11.021311958629685</c:v>
                </c:pt>
                <c:pt idx="277">
                  <c:v>-11.026359248275284</c:v>
                </c:pt>
                <c:pt idx="278">
                  <c:v>-11.031319267752352</c:v>
                </c:pt>
                <c:pt idx="279">
                  <c:v>-11.036201586238183</c:v>
                </c:pt>
                <c:pt idx="280">
                  <c:v>-11.04101563963466</c:v>
                </c:pt>
                <c:pt idx="281">
                  <c:v>-11.045770746459056</c:v>
                </c:pt>
                <c:pt idx="282">
                  <c:v>-11.050476123646543</c:v>
                </c:pt>
                <c:pt idx="283">
                  <c:v>-11.055140902273912</c:v>
                </c:pt>
                <c:pt idx="284">
                  <c:v>-11.05977414321617</c:v>
                </c:pt>
                <c:pt idx="285">
                  <c:v>-11.064384852747391</c:v>
                </c:pt>
                <c:pt idx="286">
                  <c:v>-11.068981998096882</c:v>
                </c:pt>
                <c:pt idx="287">
                  <c:v>-11.073574522974086</c:v>
                </c:pt>
                <c:pt idx="288">
                  <c:v>-11.078171363074274</c:v>
                </c:pt>
                <c:pt idx="289">
                  <c:v>-11.082781461577646</c:v>
                </c:pt>
                <c:pt idx="290">
                  <c:v>-11.087413784654178</c:v>
                </c:pt>
                <c:pt idx="291">
                  <c:v>-11.092077336987892</c:v>
                </c:pt>
                <c:pt idx="292">
                  <c:v>-11.096781177332</c:v>
                </c:pt>
                <c:pt idx="293">
                  <c:v>-11.101534434107659</c:v>
                </c:pt>
                <c:pt idx="294">
                  <c:v>-11.106346321058695</c:v>
                </c:pt>
                <c:pt idx="295">
                  <c:v>-11.111226152972577</c:v>
                </c:pt>
                <c:pt idx="296">
                  <c:v>-11.116183361480463</c:v>
                </c:pt>
                <c:pt idx="297">
                  <c:v>-11.121227510944493</c:v>
                </c:pt>
                <c:pt idx="298">
                  <c:v>-11.126368314444379</c:v>
                </c:pt>
                <c:pt idx="299">
                  <c:v>-11.131615649869424</c:v>
                </c:pt>
                <c:pt idx="300">
                  <c:v>-11.136979576125745</c:v>
                </c:pt>
                <c:pt idx="301">
                  <c:v>-11.142470349464364</c:v>
                </c:pt>
                <c:pt idx="302">
                  <c:v>-11.148098439935897</c:v>
                </c:pt>
                <c:pt idx="303">
                  <c:v>-11.153874547975276</c:v>
                </c:pt>
                <c:pt idx="304">
                  <c:v>-11.159809621119617</c:v>
                </c:pt>
                <c:pt idx="305">
                  <c:v>-11.16591487085984</c:v>
                </c:pt>
                <c:pt idx="306">
                  <c:v>-11.172201789624301</c:v>
                </c:pt>
                <c:pt idx="307">
                  <c:v>-11.178682167892287</c:v>
                </c:pt>
                <c:pt idx="308">
                  <c:v>-11.185368111430797</c:v>
                </c:pt>
                <c:pt idx="309">
                  <c:v>-11.192272058648163</c:v>
                </c:pt>
                <c:pt idx="310">
                  <c:v>-11.199406798052545</c:v>
                </c:pt>
                <c:pt idx="311">
                  <c:v>-11.206785485803554</c:v>
                </c:pt>
                <c:pt idx="312">
                  <c:v>-11.214421663339596</c:v>
                </c:pt>
                <c:pt idx="313">
                  <c:v>-11.222329275061009</c:v>
                </c:pt>
                <c:pt idx="314">
                  <c:v>-11.230522686047804</c:v>
                </c:pt>
                <c:pt idx="315">
                  <c:v>-11.239016699782303</c:v>
                </c:pt>
                <c:pt idx="316">
                  <c:v>-11.247826575847387</c:v>
                </c:pt>
                <c:pt idx="317">
                  <c:v>-11.25696804756541</c:v>
                </c:pt>
                <c:pt idx="318">
                  <c:v>-11.26645733953578</c:v>
                </c:pt>
                <c:pt idx="319">
                  <c:v>-11.276311185028675</c:v>
                </c:pt>
                <c:pt idx="320">
                  <c:v>-11.286546843184313</c:v>
                </c:pt>
                <c:pt idx="321">
                  <c:v>-11.297182115961597</c:v>
                </c:pt>
                <c:pt idx="322">
                  <c:v>-11.308235364776603</c:v>
                </c:pt>
                <c:pt idx="323">
                  <c:v>-11.319725526763481</c:v>
                </c:pt>
                <c:pt idx="324">
                  <c:v>-11.331672130585291</c:v>
                </c:pt>
                <c:pt idx="325">
                  <c:v>-11.344095311714533</c:v>
                </c:pt>
                <c:pt idx="326">
                  <c:v>-11.357015827098877</c:v>
                </c:pt>
                <c:pt idx="327">
                  <c:v>-11.370455069119087</c:v>
                </c:pt>
                <c:pt idx="328">
                  <c:v>-11.384435078738802</c:v>
                </c:pt>
                <c:pt idx="329">
                  <c:v>-11.398978557741779</c:v>
                </c:pt>
                <c:pt idx="330">
                  <c:v>-11.414108879941516</c:v>
                </c:pt>
                <c:pt idx="331">
                  <c:v>-11.429850101243753</c:v>
                </c:pt>
                <c:pt idx="332">
                  <c:v>-11.446226968434534</c:v>
                </c:pt>
                <c:pt idx="333">
                  <c:v>-11.463264926559475</c:v>
                </c:pt>
                <c:pt idx="334">
                  <c:v>-11.480990124754166</c:v>
                </c:pt>
                <c:pt idx="335">
                  <c:v>-11.499429420378622</c:v>
                </c:pt>
                <c:pt idx="336">
                  <c:v>-11.518610381302954</c:v>
                </c:pt>
                <c:pt idx="337">
                  <c:v>-11.538561286186741</c:v>
                </c:pt>
                <c:pt idx="338">
                  <c:v>-11.55931112258963</c:v>
                </c:pt>
                <c:pt idx="339">
                  <c:v>-11.580889582746618</c:v>
                </c:pt>
                <c:pt idx="340">
                  <c:v>-11.603327056838729</c:v>
                </c:pt>
                <c:pt idx="341">
                  <c:v>-11.626654623588502</c:v>
                </c:pt>
                <c:pt idx="342">
                  <c:v>-11.65090403800836</c:v>
                </c:pt>
                <c:pt idx="343">
                  <c:v>-11.676107716130755</c:v>
                </c:pt>
                <c:pt idx="344">
                  <c:v>-11.702298716552338</c:v>
                </c:pt>
                <c:pt idx="345">
                  <c:v>-11.729510718627367</c:v>
                </c:pt>
                <c:pt idx="346">
                  <c:v>-11.757777997151322</c:v>
                </c:pt>
                <c:pt idx="347">
                  <c:v>-11.787135393385997</c:v>
                </c:pt>
                <c:pt idx="348">
                  <c:v>-11.817618282284164</c:v>
                </c:pt>
                <c:pt idx="349">
                  <c:v>-11.849262535786877</c:v>
                </c:pt>
                <c:pt idx="350">
                  <c:v>-11.882104482081544</c:v>
                </c:pt>
                <c:pt idx="351">
                  <c:v>-11.916180860724428</c:v>
                </c:pt>
                <c:pt idx="352">
                  <c:v>-11.951528773554234</c:v>
                </c:pt>
                <c:pt idx="353">
                  <c:v>-11.988185631344436</c:v>
                </c:pt>
                <c:pt idx="354">
                  <c:v>-12.026189096168579</c:v>
                </c:pt>
                <c:pt idx="355">
                  <c:v>-12.065577019481008</c:v>
                </c:pt>
                <c:pt idx="356">
                  <c:v>-12.106387375947351</c:v>
                </c:pt>
                <c:pt idx="357">
                  <c:v>-12.148658193090576</c:v>
                </c:pt>
                <c:pt idx="358">
                  <c:v>-12.192427476857597</c:v>
                </c:pt>
                <c:pt idx="359">
                  <c:v>-12.237733133246575</c:v>
                </c:pt>
                <c:pt idx="360">
                  <c:v>-12.284612886176969</c:v>
                </c:pt>
                <c:pt idx="361">
                  <c:v>-12.333104191824663</c:v>
                </c:pt>
                <c:pt idx="362">
                  <c:v>-12.383244149688073</c:v>
                </c:pt>
                <c:pt idx="363">
                  <c:v>-12.435069410693613</c:v>
                </c:pt>
                <c:pt idx="364">
                  <c:v>-12.488616082692287</c:v>
                </c:pt>
                <c:pt idx="365">
                  <c:v>-12.543919633742197</c:v>
                </c:pt>
                <c:pt idx="366">
                  <c:v>-12.601014793614159</c:v>
                </c:pt>
                <c:pt idx="367">
                  <c:v>-12.65993545399512</c:v>
                </c:pt>
                <c:pt idx="368">
                  <c:v>-12.720714567904787</c:v>
                </c:pt>
                <c:pt idx="369">
                  <c:v>-12.783384048873627</c:v>
                </c:pt>
                <c:pt idx="370">
                  <c:v>-12.847974670459676</c:v>
                </c:pt>
                <c:pt idx="371">
                  <c:v>-12.914515966710319</c:v>
                </c:pt>
                <c:pt idx="372">
                  <c:v>-12.983036134193854</c:v>
                </c:pt>
                <c:pt idx="373">
                  <c:v>-13.053561936241158</c:v>
                </c:pt>
                <c:pt idx="374">
                  <c:v>-13.126118610045832</c:v>
                </c:pt>
                <c:pt idx="375">
                  <c:v>-13.20072977727518</c:v>
                </c:pt>
                <c:pt idx="376">
                  <c:v>-13.277417358834709</c:v>
                </c:pt>
                <c:pt idx="377">
                  <c:v>-13.356201494419977</c:v>
                </c:pt>
                <c:pt idx="378">
                  <c:v>-13.437100467466902</c:v>
                </c:pt>
                <c:pt idx="379">
                  <c:v>-13.520130636083096</c:v>
                </c:pt>
                <c:pt idx="380">
                  <c:v>-13.605306370508245</c:v>
                </c:pt>
                <c:pt idx="381">
                  <c:v>-13.692639997607994</c:v>
                </c:pt>
                <c:pt idx="382">
                  <c:v>-13.782141752855557</c:v>
                </c:pt>
                <c:pt idx="383">
                  <c:v>-13.873819740199913</c:v>
                </c:pt>
                <c:pt idx="384">
                  <c:v>-13.967679900157171</c:v>
                </c:pt>
                <c:pt idx="385">
                  <c:v>-14.063725986395927</c:v>
                </c:pt>
                <c:pt idx="386">
                  <c:v>-14.16195955101575</c:v>
                </c:pt>
                <c:pt idx="387">
                  <c:v>-14.262379938646369</c:v>
                </c:pt>
                <c:pt idx="388">
                  <c:v>-14.364984289419077</c:v>
                </c:pt>
                <c:pt idx="389">
                  <c:v>-14.469767550785226</c:v>
                </c:pt>
                <c:pt idx="390">
                  <c:v>-14.576722498083461</c:v>
                </c:pt>
                <c:pt idx="391">
                  <c:v>-14.685839763681191</c:v>
                </c:pt>
                <c:pt idx="392">
                  <c:v>-14.797107874444624</c:v>
                </c:pt>
                <c:pt idx="393">
                  <c:v>-14.910513297225201</c:v>
                </c:pt>
                <c:pt idx="394">
                  <c:v>-15.02604049198467</c:v>
                </c:pt>
                <c:pt idx="395">
                  <c:v>-15.143671972124697</c:v>
                </c:pt>
                <c:pt idx="396">
                  <c:v>-15.263388371533818</c:v>
                </c:pt>
                <c:pt idx="397">
                  <c:v>-15.385168517818286</c:v>
                </c:pt>
                <c:pt idx="398">
                  <c:v>-15.50898951114868</c:v>
                </c:pt>
                <c:pt idx="399">
                  <c:v>-15.634826808116184</c:v>
                </c:pt>
                <c:pt idx="400">
                  <c:v>-15.762654309978322</c:v>
                </c:pt>
                <c:pt idx="401">
                  <c:v>-15.892444454649421</c:v>
                </c:pt>
                <c:pt idx="402">
                  <c:v>-16.024168311788657</c:v>
                </c:pt>
                <c:pt idx="403">
                  <c:v>-16.157795680335859</c:v>
                </c:pt>
                <c:pt idx="404">
                  <c:v>-16.293295187851417</c:v>
                </c:pt>
                <c:pt idx="405">
                  <c:v>-16.430634391028644</c:v>
                </c:pt>
                <c:pt idx="406">
                  <c:v>-16.569779876767431</c:v>
                </c:pt>
                <c:pt idx="407">
                  <c:v>-16.710697363221428</c:v>
                </c:pt>
                <c:pt idx="408">
                  <c:v>-16.853351800258586</c:v>
                </c:pt>
                <c:pt idx="409">
                  <c:v>-16.99770746881028</c:v>
                </c:pt>
                <c:pt idx="410">
                  <c:v>-17.143728078619272</c:v>
                </c:pt>
                <c:pt idx="411">
                  <c:v>-17.291376863936353</c:v>
                </c:pt>
                <c:pt idx="412">
                  <c:v>-17.440616676756537</c:v>
                </c:pt>
                <c:pt idx="413">
                  <c:v>-17.591410077228435</c:v>
                </c:pt>
                <c:pt idx="414">
                  <c:v>-17.743719420913685</c:v>
                </c:pt>
                <c:pt idx="415">
                  <c:v>-17.897506942615983</c:v>
                </c:pt>
                <c:pt idx="416">
                  <c:v>-18.052734836543426</c:v>
                </c:pt>
                <c:pt idx="417">
                  <c:v>-18.209365332607749</c:v>
                </c:pt>
                <c:pt idx="418">
                  <c:v>-18.367360768708338</c:v>
                </c:pt>
                <c:pt idx="419">
                  <c:v>-18.52668365888189</c:v>
                </c:pt>
                <c:pt idx="420">
                  <c:v>-18.687296757241938</c:v>
                </c:pt>
                <c:pt idx="421">
                  <c:v>-18.849163117662581</c:v>
                </c:pt>
                <c:pt idx="422">
                  <c:v>-19.012246149193363</c:v>
                </c:pt>
                <c:pt idx="423">
                  <c:v>-19.176509667224629</c:v>
                </c:pt>
                <c:pt idx="424">
                  <c:v>-19.341917940444887</c:v>
                </c:pt>
                <c:pt idx="425">
                  <c:v>-19.508435733659734</c:v>
                </c:pt>
                <c:pt idx="426">
                  <c:v>-19.676028346560294</c:v>
                </c:pt>
                <c:pt idx="427">
                  <c:v>-19.844661648550918</c:v>
                </c:pt>
                <c:pt idx="428">
                  <c:v>-20.014302109757722</c:v>
                </c:pt>
                <c:pt idx="429">
                  <c:v>-20.184916828356407</c:v>
                </c:pt>
                <c:pt idx="430">
                  <c:v>-20.356473554368506</c:v>
                </c:pt>
                <c:pt idx="431">
                  <c:v>-20.528940710081464</c:v>
                </c:pt>
                <c:pt idx="432">
                  <c:v>-20.702287407258456</c:v>
                </c:pt>
                <c:pt idx="433">
                  <c:v>-20.876483461305174</c:v>
                </c:pt>
                <c:pt idx="434">
                  <c:v>-21.05149940256662</c:v>
                </c:pt>
                <c:pt idx="435">
                  <c:v>-21.227306484926434</c:v>
                </c:pt>
                <c:pt idx="436">
                  <c:v>-21.403876691882072</c:v>
                </c:pt>
                <c:pt idx="437">
                  <c:v>-21.581182740267792</c:v>
                </c:pt>
                <c:pt idx="438">
                  <c:v>-21.759198081794615</c:v>
                </c:pt>
                <c:pt idx="439">
                  <c:v>-21.937896902573438</c:v>
                </c:pt>
                <c:pt idx="440">
                  <c:v>-22.117254120783368</c:v>
                </c:pt>
                <c:pt idx="441">
                  <c:v>-22.297245382640355</c:v>
                </c:pt>
                <c:pt idx="442">
                  <c:v>-22.477847056820206</c:v>
                </c:pt>
                <c:pt idx="443">
                  <c:v>-22.65903622747782</c:v>
                </c:pt>
                <c:pt idx="444">
                  <c:v>-22.840790686004333</c:v>
                </c:pt>
                <c:pt idx="445">
                  <c:v>-23.023088921652505</c:v>
                </c:pt>
                <c:pt idx="446">
                  <c:v>-23.205910111156946</c:v>
                </c:pt>
                <c:pt idx="447">
                  <c:v>-23.389234107466844</c:v>
                </c:pt>
                <c:pt idx="448">
                  <c:v>-23.573041427703899</c:v>
                </c:pt>
                <c:pt idx="449">
                  <c:v>-23.757313240449008</c:v>
                </c:pt>
                <c:pt idx="450">
                  <c:v>-23.94203135245737</c:v>
                </c:pt>
                <c:pt idx="451">
                  <c:v>-24.127178194891208</c:v>
                </c:pt>
                <c:pt idx="452">
                  <c:v>-24.312736809157549</c:v>
                </c:pt>
                <c:pt idx="453">
                  <c:v>-24.49869083242708</c:v>
                </c:pt>
                <c:pt idx="454">
                  <c:v>-24.68502448290868</c:v>
                </c:pt>
                <c:pt idx="455">
                  <c:v>-24.871722544944777</c:v>
                </c:pt>
                <c:pt idx="456">
                  <c:v>-25.058770353989274</c:v>
                </c:pt>
                <c:pt idx="457">
                  <c:v>-25.246153781524082</c:v>
                </c:pt>
                <c:pt idx="458">
                  <c:v>-25.433859219963519</c:v>
                </c:pt>
                <c:pt idx="459">
                  <c:v>-25.621873567594371</c:v>
                </c:pt>
                <c:pt idx="460">
                  <c:v>-25.810184213591011</c:v>
                </c:pt>
                <c:pt idx="461">
                  <c:v>-25.998779023144145</c:v>
                </c:pt>
                <c:pt idx="462">
                  <c:v>-26.187646322735134</c:v>
                </c:pt>
                <c:pt idx="463">
                  <c:v>-26.376774885586094</c:v>
                </c:pt>
                <c:pt idx="464">
                  <c:v>-26.56615391731092</c:v>
                </c:pt>
                <c:pt idx="465">
                  <c:v>-26.755773041790579</c:v>
                </c:pt>
                <c:pt idx="466">
                  <c:v>-26.945622287291343</c:v>
                </c:pt>
                <c:pt idx="467">
                  <c:v>-27.135692072843909</c:v>
                </c:pt>
                <c:pt idx="468">
                  <c:v>-27.325973194896985</c:v>
                </c:pt>
                <c:pt idx="469">
                  <c:v>-27.516456814257346</c:v>
                </c:pt>
                <c:pt idx="470">
                  <c:v>-27.707134443326762</c:v>
                </c:pt>
                <c:pt idx="471">
                  <c:v>-27.897997933642472</c:v>
                </c:pt>
                <c:pt idx="472">
                  <c:v>-28.089039463728781</c:v>
                </c:pt>
                <c:pt idx="473">
                  <c:v>-28.280251527262909</c:v>
                </c:pt>
                <c:pt idx="474">
                  <c:v>-28.471626921558464</c:v>
                </c:pt>
                <c:pt idx="475">
                  <c:v>-28.663158736368658</c:v>
                </c:pt>
                <c:pt idx="476">
                  <c:v>-28.854840343008902</c:v>
                </c:pt>
                <c:pt idx="477">
                  <c:v>-29.046665383798388</c:v>
                </c:pt>
                <c:pt idx="478">
                  <c:v>-29.238627761819508</c:v>
                </c:pt>
                <c:pt idx="479">
                  <c:v>-29.43072163099162</c:v>
                </c:pt>
                <c:pt idx="480">
                  <c:v>-29.622941386457633</c:v>
                </c:pt>
                <c:pt idx="481">
                  <c:v>-29.815281655277239</c:v>
                </c:pt>
                <c:pt idx="482">
                  <c:v>-30.007737287424607</c:v>
                </c:pt>
                <c:pt idx="483">
                  <c:v>-30.200303347084244</c:v>
                </c:pt>
                <c:pt idx="484">
                  <c:v>-30.392975104239838</c:v>
                </c:pt>
                <c:pt idx="485">
                  <c:v>-30.585748026551126</c:v>
                </c:pt>
                <c:pt idx="486">
                  <c:v>-30.778617771511406</c:v>
                </c:pt>
                <c:pt idx="487">
                  <c:v>-30.971580178880917</c:v>
                </c:pt>
                <c:pt idx="488">
                  <c:v>-31.164631263388603</c:v>
                </c:pt>
                <c:pt idx="489">
                  <c:v>-31.357767207695556</c:v>
                </c:pt>
                <c:pt idx="490">
                  <c:v>-31.550984355614354</c:v>
                </c:pt>
                <c:pt idx="491">
                  <c:v>-31.744279205576611</c:v>
                </c:pt>
                <c:pt idx="492">
                  <c:v>-31.937648404341804</c:v>
                </c:pt>
                <c:pt idx="493">
                  <c:v>-32.131088740941735</c:v>
                </c:pt>
                <c:pt idx="494">
                  <c:v>-32.324597140851033</c:v>
                </c:pt>
                <c:pt idx="495">
                  <c:v>-32.518170660380797</c:v>
                </c:pt>
                <c:pt idx="496">
                  <c:v>-32.711806481284512</c:v>
                </c:pt>
                <c:pt idx="497">
                  <c:v>-32.905501905572272</c:v>
                </c:pt>
                <c:pt idx="498">
                  <c:v>-33.099254350525896</c:v>
                </c:pt>
                <c:pt idx="499">
                  <c:v>-33.293061343906849</c:v>
                </c:pt>
                <c:pt idx="500">
                  <c:v>-33.486920519353667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4D19-9DBC-690DDB1D00CA}"/>
            </c:ext>
          </c:extLst>
        </c:ser>
        <c:ser>
          <c:idx val="0"/>
          <c:order val="6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Signal'!$J$511:$J$612</c:f>
              <c:numCache>
                <c:formatCode>General</c:formatCode>
                <c:ptCount val="102"/>
                <c:pt idx="0">
                  <c:v>37.660600000000002</c:v>
                </c:pt>
                <c:pt idx="1">
                  <c:v>40.938000000000002</c:v>
                </c:pt>
                <c:pt idx="2">
                  <c:v>45.019300000000001</c:v>
                </c:pt>
                <c:pt idx="3">
                  <c:v>41.562100000000001</c:v>
                </c:pt>
                <c:pt idx="4">
                  <c:v>43.169699999999999</c:v>
                </c:pt>
                <c:pt idx="5">
                  <c:v>42.245800000000003</c:v>
                </c:pt>
                <c:pt idx="6">
                  <c:v>41.420299999999997</c:v>
                </c:pt>
                <c:pt idx="7">
                  <c:v>41.924500000000002</c:v>
                </c:pt>
                <c:pt idx="8">
                  <c:v>40.187199999999997</c:v>
                </c:pt>
                <c:pt idx="9">
                  <c:v>38.4514</c:v>
                </c:pt>
                <c:pt idx="10">
                  <c:v>36.996499999999997</c:v>
                </c:pt>
                <c:pt idx="11">
                  <c:v>35.101599999999998</c:v>
                </c:pt>
                <c:pt idx="12">
                  <c:v>33.128500000000003</c:v>
                </c:pt>
                <c:pt idx="13">
                  <c:v>31.1892</c:v>
                </c:pt>
                <c:pt idx="14">
                  <c:v>29.313400000000001</c:v>
                </c:pt>
                <c:pt idx="15">
                  <c:v>27.4208</c:v>
                </c:pt>
                <c:pt idx="16">
                  <c:v>25.543299999999999</c:v>
                </c:pt>
                <c:pt idx="17">
                  <c:v>23.7925</c:v>
                </c:pt>
                <c:pt idx="18">
                  <c:v>22.151800000000001</c:v>
                </c:pt>
                <c:pt idx="19">
                  <c:v>20.708300000000001</c:v>
                </c:pt>
                <c:pt idx="20">
                  <c:v>19.408200000000001</c:v>
                </c:pt>
                <c:pt idx="21">
                  <c:v>18.206299999999999</c:v>
                </c:pt>
                <c:pt idx="22">
                  <c:v>16.799600000000002</c:v>
                </c:pt>
                <c:pt idx="23">
                  <c:v>15.136699999999999</c:v>
                </c:pt>
                <c:pt idx="24">
                  <c:v>13.201000000000001</c:v>
                </c:pt>
                <c:pt idx="25">
                  <c:v>11.1213</c:v>
                </c:pt>
                <c:pt idx="26">
                  <c:v>9.0173299999999994</c:v>
                </c:pt>
                <c:pt idx="27">
                  <c:v>6.94102</c:v>
                </c:pt>
                <c:pt idx="28">
                  <c:v>4.9103399999999997</c:v>
                </c:pt>
                <c:pt idx="29">
                  <c:v>2.9131499999999999</c:v>
                </c:pt>
                <c:pt idx="30">
                  <c:v>0.95159800000000005</c:v>
                </c:pt>
                <c:pt idx="31">
                  <c:v>-0.97999400000000003</c:v>
                </c:pt>
                <c:pt idx="32">
                  <c:v>-3.0378500000000002</c:v>
                </c:pt>
                <c:pt idx="33">
                  <c:v>-5.0957600000000003</c:v>
                </c:pt>
                <c:pt idx="34">
                  <c:v>-6.9738800000000003</c:v>
                </c:pt>
                <c:pt idx="35">
                  <c:v>-8.6015200000000007</c:v>
                </c:pt>
                <c:pt idx="36">
                  <c:v>-9.9493500000000008</c:v>
                </c:pt>
                <c:pt idx="37">
                  <c:v>-10.9834</c:v>
                </c:pt>
                <c:pt idx="38">
                  <c:v>-11.75</c:v>
                </c:pt>
                <c:pt idx="39">
                  <c:v>-12.6732</c:v>
                </c:pt>
                <c:pt idx="40">
                  <c:v>-13.494400000000001</c:v>
                </c:pt>
                <c:pt idx="41">
                  <c:v>-14.252599999999999</c:v>
                </c:pt>
                <c:pt idx="42">
                  <c:v>-14.984500000000001</c:v>
                </c:pt>
                <c:pt idx="43">
                  <c:v>-15.6913</c:v>
                </c:pt>
                <c:pt idx="44">
                  <c:v>-16.584</c:v>
                </c:pt>
                <c:pt idx="45">
                  <c:v>-18.080200000000001</c:v>
                </c:pt>
                <c:pt idx="46">
                  <c:v>-23.304200000000002</c:v>
                </c:pt>
                <c:pt idx="47">
                  <c:v>-38.991999999999997</c:v>
                </c:pt>
                <c:pt idx="48">
                  <c:v>-30.333600000000001</c:v>
                </c:pt>
                <c:pt idx="49">
                  <c:v>-25.927700000000002</c:v>
                </c:pt>
                <c:pt idx="50">
                  <c:v>-25.588000000000001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1-4D19-9DBC-690DDB1D00CA}"/>
            </c:ext>
          </c:extLst>
        </c:ser>
        <c:ser>
          <c:idx val="8"/>
          <c:order val="8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Signal'!$N$511:$N$612</c:f>
              <c:numCache>
                <c:formatCode>General</c:formatCode>
                <c:ptCount val="102"/>
                <c:pt idx="0">
                  <c:v>18.21</c:v>
                </c:pt>
                <c:pt idx="1">
                  <c:v>18.2605</c:v>
                </c:pt>
                <c:pt idx="2">
                  <c:v>18.195399999999999</c:v>
                </c:pt>
                <c:pt idx="3">
                  <c:v>18.6417</c:v>
                </c:pt>
                <c:pt idx="4">
                  <c:v>18.401</c:v>
                </c:pt>
                <c:pt idx="5">
                  <c:v>18.456</c:v>
                </c:pt>
                <c:pt idx="6">
                  <c:v>18.449200000000001</c:v>
                </c:pt>
                <c:pt idx="7">
                  <c:v>18.566299999999998</c:v>
                </c:pt>
                <c:pt idx="8">
                  <c:v>18.429400000000001</c:v>
                </c:pt>
                <c:pt idx="9">
                  <c:v>18.380700000000001</c:v>
                </c:pt>
                <c:pt idx="10">
                  <c:v>18.421800000000001</c:v>
                </c:pt>
                <c:pt idx="11">
                  <c:v>18.415299999999998</c:v>
                </c:pt>
                <c:pt idx="12">
                  <c:v>18.372299999999999</c:v>
                </c:pt>
                <c:pt idx="13">
                  <c:v>18.3811</c:v>
                </c:pt>
                <c:pt idx="14">
                  <c:v>18.360399999999998</c:v>
                </c:pt>
                <c:pt idx="15">
                  <c:v>18.352900000000002</c:v>
                </c:pt>
                <c:pt idx="16">
                  <c:v>18.329999999999998</c:v>
                </c:pt>
                <c:pt idx="17">
                  <c:v>18.350000000000001</c:v>
                </c:pt>
                <c:pt idx="18">
                  <c:v>18.415500000000002</c:v>
                </c:pt>
                <c:pt idx="19">
                  <c:v>18.587599999999998</c:v>
                </c:pt>
                <c:pt idx="20">
                  <c:v>18.744800000000001</c:v>
                </c:pt>
                <c:pt idx="21">
                  <c:v>18.844999999999999</c:v>
                </c:pt>
                <c:pt idx="22">
                  <c:v>18.576599999999999</c:v>
                </c:pt>
                <c:pt idx="23">
                  <c:v>17.8185</c:v>
                </c:pt>
                <c:pt idx="24">
                  <c:v>16.533100000000001</c:v>
                </c:pt>
                <c:pt idx="25">
                  <c:v>14.869</c:v>
                </c:pt>
                <c:pt idx="26">
                  <c:v>13.0419</c:v>
                </c:pt>
                <c:pt idx="27">
                  <c:v>11.1648</c:v>
                </c:pt>
                <c:pt idx="28">
                  <c:v>9.2243700000000004</c:v>
                </c:pt>
                <c:pt idx="29">
                  <c:v>7.2900400000000003</c:v>
                </c:pt>
                <c:pt idx="30">
                  <c:v>5.4023700000000003</c:v>
                </c:pt>
                <c:pt idx="31">
                  <c:v>3.5295200000000002</c:v>
                </c:pt>
                <c:pt idx="32">
                  <c:v>1.69167</c:v>
                </c:pt>
                <c:pt idx="33">
                  <c:v>-7.7088799999999999E-2</c:v>
                </c:pt>
                <c:pt idx="34">
                  <c:v>-1.73281</c:v>
                </c:pt>
                <c:pt idx="35">
                  <c:v>-3.2250700000000001</c:v>
                </c:pt>
                <c:pt idx="36">
                  <c:v>-4.5564999999999998</c:v>
                </c:pt>
                <c:pt idx="37">
                  <c:v>-5.5935600000000001</c:v>
                </c:pt>
                <c:pt idx="38">
                  <c:v>-6.4191700000000003</c:v>
                </c:pt>
                <c:pt idx="39">
                  <c:v>-6.9911099999999999</c:v>
                </c:pt>
                <c:pt idx="40">
                  <c:v>-7.3113000000000001</c:v>
                </c:pt>
                <c:pt idx="41">
                  <c:v>-7.4893900000000002</c:v>
                </c:pt>
                <c:pt idx="42">
                  <c:v>-7.4759000000000002</c:v>
                </c:pt>
                <c:pt idx="43">
                  <c:v>-7.1994300000000004</c:v>
                </c:pt>
                <c:pt idx="44">
                  <c:v>-6.92408</c:v>
                </c:pt>
                <c:pt idx="45">
                  <c:v>-6.6042899999999998</c:v>
                </c:pt>
                <c:pt idx="46">
                  <c:v>-8.0669299999999993</c:v>
                </c:pt>
                <c:pt idx="47">
                  <c:v>-13.757400000000001</c:v>
                </c:pt>
                <c:pt idx="48">
                  <c:v>-23.852499999999999</c:v>
                </c:pt>
                <c:pt idx="49">
                  <c:v>-23.9956</c:v>
                </c:pt>
                <c:pt idx="50">
                  <c:v>-14.6715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1-4D19-9DBC-690DDB1D00CA}"/>
            </c:ext>
          </c:extLst>
        </c:ser>
        <c:ser>
          <c:idx val="10"/>
          <c:order val="10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Signal'!$R$511:$R$612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6288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-0.62937241584178372</c:v>
                </c:pt>
                <c:pt idx="1">
                  <c:v>-0.64366090047203239</c:v>
                </c:pt>
                <c:pt idx="2">
                  <c:v>-0.65827372436170928</c:v>
                </c:pt>
                <c:pt idx="3">
                  <c:v>-0.67321824641185324</c:v>
                </c:pt>
                <c:pt idx="4">
                  <c:v>-0.68850199225287967</c:v>
                </c:pt>
                <c:pt idx="5">
                  <c:v>-0.70413265800564573</c:v>
                </c:pt>
                <c:pt idx="6">
                  <c:v>-0.72011811412627247</c:v>
                </c:pt>
                <c:pt idx="7">
                  <c:v>-0.73646640933644913</c:v>
                </c:pt>
                <c:pt idx="8">
                  <c:v>-0.75318577464097591</c:v>
                </c:pt>
                <c:pt idx="9">
                  <c:v>-0.77028462743452775</c:v>
                </c:pt>
                <c:pt idx="10">
                  <c:v>-0.78777157569934264</c:v>
                </c:pt>
                <c:pt idx="11">
                  <c:v>-0.80565542229598175</c:v>
                </c:pt>
                <c:pt idx="12">
                  <c:v>-0.8239451693487535</c:v>
                </c:pt>
                <c:pt idx="13">
                  <c:v>-0.8426500227282413</c:v>
                </c:pt>
                <c:pt idx="14">
                  <c:v>-0.86177939663250136</c:v>
                </c:pt>
                <c:pt idx="15">
                  <c:v>-0.88134291826923328</c:v>
                </c:pt>
                <c:pt idx="16">
                  <c:v>-0.90135043264096204</c:v>
                </c:pt>
                <c:pt idx="17">
                  <c:v>-0.9218120074352758</c:v>
                </c:pt>
                <c:pt idx="18">
                  <c:v>-0.94273793802230432</c:v>
                </c:pt>
                <c:pt idx="19">
                  <c:v>-0.96413875256155379</c:v>
                </c:pt>
                <c:pt idx="20">
                  <c:v>-0.9860252172204268</c:v>
                </c:pt>
                <c:pt idx="21">
                  <c:v>-1.0084083415064597</c:v>
                </c:pt>
                <c:pt idx="22">
                  <c:v>-1.03129938371576</c:v>
                </c:pt>
                <c:pt idx="23">
                  <c:v>-1.0547098564997677</c:v>
                </c:pt>
                <c:pt idx="24">
                  <c:v>-1.0786515325526935</c:v>
                </c:pt>
                <c:pt idx="25">
                  <c:v>-1.1031364504220798</c:v>
                </c:pt>
                <c:pt idx="26">
                  <c:v>-1.1281769204446923</c:v>
                </c:pt>
                <c:pt idx="27">
                  <c:v>-1.1537855308103151</c:v>
                </c:pt>
                <c:pt idx="28">
                  <c:v>-1.1799751537556598</c:v>
                </c:pt>
                <c:pt idx="29">
                  <c:v>-1.2067589518910469</c:v>
                </c:pt>
                <c:pt idx="30">
                  <c:v>-1.2341503846621591</c:v>
                </c:pt>
                <c:pt idx="31">
                  <c:v>-1.262163214949475</c:v>
                </c:pt>
                <c:pt idx="32">
                  <c:v>-1.2908115158076479</c:v>
                </c:pt>
                <c:pt idx="33">
                  <c:v>-1.3201096773477121</c:v>
                </c:pt>
                <c:pt idx="34">
                  <c:v>-1.3500724137642137</c:v>
                </c:pt>
                <c:pt idx="35">
                  <c:v>-1.3807147705100606</c:v>
                </c:pt>
                <c:pt idx="36">
                  <c:v>-1.4120521316215977</c:v>
                </c:pt>
                <c:pt idx="37">
                  <c:v>-1.4441002271962888</c:v>
                </c:pt>
                <c:pt idx="38">
                  <c:v>-1.4768751410257097</c:v>
                </c:pt>
                <c:pt idx="39">
                  <c:v>-1.5103933183861571</c:v>
                </c:pt>
                <c:pt idx="40">
                  <c:v>-1.5446715739896582</c:v>
                </c:pt>
                <c:pt idx="41">
                  <c:v>-1.5797271000975581</c:v>
                </c:pt>
                <c:pt idx="42">
                  <c:v>-1.6155774747995024</c:v>
                </c:pt>
                <c:pt idx="43">
                  <c:v>-1.6522406704596748</c:v>
                </c:pt>
                <c:pt idx="44">
                  <c:v>-1.6897350623335743</c:v>
                </c:pt>
                <c:pt idx="45">
                  <c:v>-1.7280794373567039</c:v>
                </c:pt>
                <c:pt idx="46">
                  <c:v>-1.7672930031082279</c:v>
                </c:pt>
                <c:pt idx="47">
                  <c:v>-1.8073953969514656</c:v>
                </c:pt>
                <c:pt idx="48">
                  <c:v>-1.8484066953535709</c:v>
                </c:pt>
                <c:pt idx="49">
                  <c:v>-1.8903474233862738</c:v>
                </c:pt>
                <c:pt idx="50">
                  <c:v>-1.9332385644101715</c:v>
                </c:pt>
                <c:pt idx="51">
                  <c:v>-1.9771015699437555</c:v>
                </c:pt>
                <c:pt idx="52">
                  <c:v>-2.0219583697198624</c:v>
                </c:pt>
                <c:pt idx="53">
                  <c:v>-2.0678313819304788</c:v>
                </c:pt>
                <c:pt idx="54">
                  <c:v>-2.1147435236619136</c:v>
                </c:pt>
                <c:pt idx="55">
                  <c:v>-2.1627182215215037</c:v>
                </c:pt>
                <c:pt idx="56">
                  <c:v>-2.2117794224572105</c:v>
                </c:pt>
                <c:pt idx="57">
                  <c:v>-2.261951604771133</c:v>
                </c:pt>
                <c:pt idx="58">
                  <c:v>-2.3132597893277267</c:v>
                </c:pt>
                <c:pt idx="59">
                  <c:v>-2.3657295509574454</c:v>
                </c:pt>
                <c:pt idx="60">
                  <c:v>-2.4193870300559985</c:v>
                </c:pt>
                <c:pt idx="61">
                  <c:v>-2.4742589443797063</c:v>
                </c:pt>
                <c:pt idx="62">
                  <c:v>-2.5303726010362575</c:v>
                </c:pt>
                <c:pt idx="63">
                  <c:v>-2.5877559086708453</c:v>
                </c:pt>
                <c:pt idx="64">
                  <c:v>-2.6464373898466316</c:v>
                </c:pt>
                <c:pt idx="65">
                  <c:v>-2.7064461936181576</c:v>
                </c:pt>
                <c:pt idx="66">
                  <c:v>-2.7678121082965266</c:v>
                </c:pt>
                <c:pt idx="67">
                  <c:v>-2.8305655744037668</c:v>
                </c:pt>
                <c:pt idx="68">
                  <c:v>-2.8947376978143189</c:v>
                </c:pt>
                <c:pt idx="69">
                  <c:v>-2.9603602630801054</c:v>
                </c:pt>
                <c:pt idx="70">
                  <c:v>-3.0274657469361048</c:v>
                </c:pt>
                <c:pt idx="71">
                  <c:v>-3.0960873319815834</c:v>
                </c:pt>
                <c:pt idx="72">
                  <c:v>-3.1662589205327794</c:v>
                </c:pt>
                <c:pt idx="73">
                  <c:v>-3.2380151486408564</c:v>
                </c:pt>
                <c:pt idx="74">
                  <c:v>-3.3113914002691236</c:v>
                </c:pt>
                <c:pt idx="75">
                  <c:v>-3.3864238216227034</c:v>
                </c:pt>
                <c:pt idx="76">
                  <c:v>-3.463149335621488</c:v>
                </c:pt>
                <c:pt idx="77">
                  <c:v>-3.5416056565090082</c:v>
                </c:pt>
                <c:pt idx="78">
                  <c:v>-3.6218313045859931</c:v>
                </c:pt>
                <c:pt idx="79">
                  <c:v>-3.7038656210580352</c:v>
                </c:pt>
                <c:pt idx="80">
                  <c:v>-3.7877487829853438</c:v>
                </c:pt>
                <c:pt idx="81">
                  <c:v>-3.8735218183208366</c:v>
                </c:pt>
                <c:pt idx="82">
                  <c:v>-3.9612266210219791</c:v>
                </c:pt>
                <c:pt idx="83">
                  <c:v>-4.0509059662201095</c:v>
                </c:pt>
                <c:pt idx="84">
                  <c:v>-4.1426035254294256</c:v>
                </c:pt>
                <c:pt idx="85">
                  <c:v>-4.2363638817766862</c:v>
                </c:pt>
                <c:pt idx="86">
                  <c:v>-4.3322325452300063</c:v>
                </c:pt>
                <c:pt idx="87">
                  <c:v>-4.4302559678042748</c:v>
                </c:pt>
                <c:pt idx="88">
                  <c:v>-4.5304815587179998</c:v>
                </c:pt>
                <c:pt idx="89">
                  <c:v>-4.6329576994747974</c:v>
                </c:pt>
                <c:pt idx="90">
                  <c:v>-4.7377337588402497</c:v>
                </c:pt>
                <c:pt idx="91">
                  <c:v>-4.8448601076821731</c:v>
                </c:pt>
                <c:pt idx="92">
                  <c:v>-4.9543881336405589</c:v>
                </c:pt>
                <c:pt idx="93">
                  <c:v>-5.0663702555900461</c:v>
                </c:pt>
                <c:pt idx="94">
                  <c:v>-5.1808599378556863</c:v>
                </c:pt>
                <c:pt idx="95">
                  <c:v>-5.2979117041381647</c:v>
                </c:pt>
                <c:pt idx="96">
                  <c:v>-5.4175811511036729</c:v>
                </c:pt>
                <c:pt idx="97">
                  <c:v>-5.5399249615885298</c:v>
                </c:pt>
                <c:pt idx="98">
                  <c:v>-5.6650009173649138</c:v>
                </c:pt>
                <c:pt idx="99">
                  <c:v>-5.7928679114122836</c:v>
                </c:pt>
                <c:pt idx="100">
                  <c:v>-5.9235859596325078</c:v>
                </c:pt>
                <c:pt idx="101">
                  <c:v>-6.0572162119429898</c:v>
                </c:pt>
                <c:pt idx="102">
                  <c:v>-6.1938209626807179</c:v>
                </c:pt>
                <c:pt idx="103">
                  <c:v>-6.3334636602390368</c:v>
                </c:pt>
                <c:pt idx="104">
                  <c:v>-6.4762089158614531</c:v>
                </c:pt>
                <c:pt idx="105">
                  <c:v>-6.6221225115050366</c:v>
                </c:pt>
                <c:pt idx="106">
                  <c:v>-6.7712714066854085</c:v>
                </c:pt>
                <c:pt idx="107">
                  <c:v>-6.9237237442050725</c:v>
                </c:pt>
                <c:pt idx="108">
                  <c:v>-7.0795488546658696</c:v>
                </c:pt>
                <c:pt idx="109">
                  <c:v>-7.2388172596546836</c:v>
                </c:pt>
                <c:pt idx="110">
                  <c:v>-7.4016006734888862</c:v>
                </c:pt>
                <c:pt idx="111">
                  <c:v>-7.5679720033994364</c:v>
                </c:pt>
                <c:pt idx="112">
                  <c:v>-7.7380053480228375</c:v>
                </c:pt>
                <c:pt idx="113">
                  <c:v>-7.9117759940640218</c:v>
                </c:pt>
                <c:pt idx="114">
                  <c:v>-8.0893604109892774</c:v>
                </c:pt>
                <c:pt idx="115">
                  <c:v>-8.2708362435926137</c:v>
                </c:pt>
                <c:pt idx="116">
                  <c:v>-8.4562823022793001</c:v>
                </c:pt>
                <c:pt idx="117">
                  <c:v>-8.6457785508952174</c:v>
                </c:pt>
                <c:pt idx="118">
                  <c:v>-8.8394060919249817</c:v>
                </c:pt>
                <c:pt idx="119">
                  <c:v>-9.0372471488730142</c:v>
                </c:pt>
                <c:pt idx="120">
                  <c:v>-9.2393850456309146</c:v>
                </c:pt>
                <c:pt idx="121">
                  <c:v>-9.4459041826274284</c:v>
                </c:pt>
                <c:pt idx="122">
                  <c:v>-9.6568900095462133</c:v>
                </c:pt>
                <c:pt idx="123">
                  <c:v>-9.8724289943882884</c:v>
                </c:pt>
                <c:pt idx="124">
                  <c:v>-10.092608588646447</c:v>
                </c:pt>
                <c:pt idx="125">
                  <c:v>-10.317517188348338</c:v>
                </c:pt>
                <c:pt idx="126">
                  <c:v>-10.547244090719611</c:v>
                </c:pt>
                <c:pt idx="127">
                  <c:v>-10.78187944620354</c:v>
                </c:pt>
                <c:pt idx="128">
                  <c:v>-11.021514205571311</c:v>
                </c:pt>
                <c:pt idx="129">
                  <c:v>-11.266240061842323</c:v>
                </c:pt>
                <c:pt idx="130">
                  <c:v>-11.516149386733947</c:v>
                </c:pt>
                <c:pt idx="131">
                  <c:v>-11.771335161343645</c:v>
                </c:pt>
                <c:pt idx="132">
                  <c:v>-12.031890900769479</c:v>
                </c:pt>
                <c:pt idx="133">
                  <c:v>-12.297910572362433</c:v>
                </c:pt>
                <c:pt idx="134">
                  <c:v>-12.569488507301923</c:v>
                </c:pt>
                <c:pt idx="135">
                  <c:v>-12.846719305186834</c:v>
                </c:pt>
                <c:pt idx="136">
                  <c:v>-13.129697731323757</c:v>
                </c:pt>
                <c:pt idx="137">
                  <c:v>-13.418518606403818</c:v>
                </c:pt>
                <c:pt idx="138">
                  <c:v>-13.713276688257217</c:v>
                </c:pt>
                <c:pt idx="139">
                  <c:v>-14.014066545374119</c:v>
                </c:pt>
                <c:pt idx="140">
                  <c:v>-14.320982421899094</c:v>
                </c:pt>
                <c:pt idx="141">
                  <c:v>-14.634118093801559</c:v>
                </c:pt>
                <c:pt idx="142">
                  <c:v>-14.953566715948233</c:v>
                </c:pt>
                <c:pt idx="143">
                  <c:v>-15.279420659813441</c:v>
                </c:pt>
                <c:pt idx="144">
                  <c:v>-15.611771341581377</c:v>
                </c:pt>
                <c:pt idx="145">
                  <c:v>-15.950709040425446</c:v>
                </c:pt>
                <c:pt idx="146">
                  <c:v>-16.296322706764563</c:v>
                </c:pt>
                <c:pt idx="147">
                  <c:v>-16.648699760341838</c:v>
                </c:pt>
                <c:pt idx="148">
                  <c:v>-17.007925877998179</c:v>
                </c:pt>
                <c:pt idx="149">
                  <c:v>-17.374084771059877</c:v>
                </c:pt>
                <c:pt idx="150">
                  <c:v>-17.747257952308367</c:v>
                </c:pt>
                <c:pt idx="151">
                  <c:v>-18.127524492549782</c:v>
                </c:pt>
                <c:pt idx="152">
                  <c:v>-18.51496076686767</c:v>
                </c:pt>
                <c:pt idx="153">
                  <c:v>-18.909640190703122</c:v>
                </c:pt>
                <c:pt idx="154">
                  <c:v>-19.311632945983906</c:v>
                </c:pt>
                <c:pt idx="155">
                  <c:v>-19.721005697602411</c:v>
                </c:pt>
                <c:pt idx="156">
                  <c:v>-20.137821300627863</c:v>
                </c:pt>
                <c:pt idx="157">
                  <c:v>-20.562138498735411</c:v>
                </c:pt>
                <c:pt idx="158">
                  <c:v>-20.994011614429237</c:v>
                </c:pt>
                <c:pt idx="159">
                  <c:v>-21.433490231752</c:v>
                </c:pt>
                <c:pt idx="160">
                  <c:v>-21.880618872276916</c:v>
                </c:pt>
                <c:pt idx="161">
                  <c:v>-22.335436665306535</c:v>
                </c:pt>
                <c:pt idx="162">
                  <c:v>-22.797977013322015</c:v>
                </c:pt>
                <c:pt idx="163">
                  <c:v>-23.268267253853043</c:v>
                </c:pt>
                <c:pt idx="164">
                  <c:v>-23.746328319084583</c:v>
                </c:pt>
                <c:pt idx="165">
                  <c:v>-24.232174394630427</c:v>
                </c:pt>
                <c:pt idx="166">
                  <c:v>-24.725812579067775</c:v>
                </c:pt>
                <c:pt idx="167">
                  <c:v>-25.227242545934192</c:v>
                </c:pt>
                <c:pt idx="168">
                  <c:v>-25.736456210054488</c:v>
                </c:pt>
                <c:pt idx="169">
                  <c:v>-26.253437400170196</c:v>
                </c:pt>
                <c:pt idx="170">
                  <c:v>-26.778161539993356</c:v>
                </c:pt>
                <c:pt idx="171">
                  <c:v>-27.310595339910119</c:v>
                </c:pt>
                <c:pt idx="172">
                  <c:v>-27.850696501675529</c:v>
                </c:pt>
                <c:pt idx="173">
                  <c:v>-28.398413438549746</c:v>
                </c:pt>
                <c:pt idx="174">
                  <c:v>-28.953685013381449</c:v>
                </c:pt>
                <c:pt idx="175">
                  <c:v>-29.516440297246131</c:v>
                </c:pt>
                <c:pt idx="176">
                  <c:v>-30.086598351262221</c:v>
                </c:pt>
                <c:pt idx="177">
                  <c:v>-30.664068034253027</c:v>
                </c:pt>
                <c:pt idx="178">
                  <c:v>-31.248747838911893</c:v>
                </c:pt>
                <c:pt idx="179">
                  <c:v>-31.840525759101084</c:v>
                </c:pt>
                <c:pt idx="180">
                  <c:v>-32.439279190865342</c:v>
                </c:pt>
                <c:pt idx="181">
                  <c:v>-33.044874869640125</c:v>
                </c:pt>
                <c:pt idx="182">
                  <c:v>-33.657168846030622</c:v>
                </c:pt>
                <c:pt idx="183">
                  <c:v>-34.276006502363693</c:v>
                </c:pt>
                <c:pt idx="184">
                  <c:v>-34.901222612046567</c:v>
                </c:pt>
                <c:pt idx="185">
                  <c:v>-35.532641443522671</c:v>
                </c:pt>
                <c:pt idx="186">
                  <c:v>-36.170076910374341</c:v>
                </c:pt>
                <c:pt idx="187">
                  <c:v>-36.813332768819905</c:v>
                </c:pt>
                <c:pt idx="188">
                  <c:v>-37.462202863540433</c:v>
                </c:pt>
                <c:pt idx="189">
                  <c:v>-38.116471422404842</c:v>
                </c:pt>
                <c:pt idx="190">
                  <c:v>-38.775913400308923</c:v>
                </c:pt>
                <c:pt idx="191">
                  <c:v>-39.440294871922276</c:v>
                </c:pt>
                <c:pt idx="192">
                  <c:v>-40.109373472740039</c:v>
                </c:pt>
                <c:pt idx="193">
                  <c:v>-40.78289888739431</c:v>
                </c:pt>
                <c:pt idx="194">
                  <c:v>-41.460613383752644</c:v>
                </c:pt>
                <c:pt idx="195">
                  <c:v>-42.142252390896282</c:v>
                </c:pt>
                <c:pt idx="196">
                  <c:v>-42.827545118634895</c:v>
                </c:pt>
                <c:pt idx="197">
                  <c:v>-43.516215215798162</c:v>
                </c:pt>
                <c:pt idx="198">
                  <c:v>-44.207981464148432</c:v>
                </c:pt>
                <c:pt idx="199">
                  <c:v>-44.902558504380409</c:v>
                </c:pt>
                <c:pt idx="200">
                  <c:v>-45.59965759032572</c:v>
                </c:pt>
                <c:pt idx="201">
                  <c:v>-46.29898736718355</c:v>
                </c:pt>
                <c:pt idx="202">
                  <c:v>-47.000254669325159</c:v>
                </c:pt>
                <c:pt idx="203">
                  <c:v>-47.703165333003703</c:v>
                </c:pt>
                <c:pt idx="204">
                  <c:v>-48.407425019138799</c:v>
                </c:pt>
                <c:pt idx="205">
                  <c:v>-49.112740041228292</c:v>
                </c:pt>
                <c:pt idx="206">
                  <c:v>-49.818818193384288</c:v>
                </c:pt>
                <c:pt idx="207">
                  <c:v>-50.52536957348498</c:v>
                </c:pt>
                <c:pt idx="208">
                  <c:v>-51.232107396503253</c:v>
                </c:pt>
                <c:pt idx="209">
                  <c:v>-51.938748793171222</c:v>
                </c:pt>
                <c:pt idx="210">
                  <c:v>-52.645015589315463</c:v>
                </c:pt>
                <c:pt idx="211">
                  <c:v>-53.350635061414842</c:v>
                </c:pt>
                <c:pt idx="212">
                  <c:v>-54.05534066418538</c:v>
                </c:pt>
                <c:pt idx="213">
                  <c:v>-54.758872726325968</c:v>
                </c:pt>
                <c:pt idx="214">
                  <c:v>-55.460979110873453</c:v>
                </c:pt>
                <c:pt idx="215">
                  <c:v>-56.161415837016762</c:v>
                </c:pt>
                <c:pt idx="216">
                  <c:v>-56.859947660594237</c:v>
                </c:pt>
                <c:pt idx="217">
                  <c:v>-57.556348610938215</c:v>
                </c:pt>
                <c:pt idx="218">
                  <c:v>-58.250402482141304</c:v>
                </c:pt>
                <c:pt idx="219">
                  <c:v>-58.941903277263869</c:v>
                </c:pt>
                <c:pt idx="220">
                  <c:v>-59.630655604433429</c:v>
                </c:pt>
                <c:pt idx="221">
                  <c:v>-60.316475024206689</c:v>
                </c:pt>
                <c:pt idx="222">
                  <c:v>-60.999188347991144</c:v>
                </c:pt>
                <c:pt idx="223">
                  <c:v>-61.678633887703782</c:v>
                </c:pt>
                <c:pt idx="224">
                  <c:v>-62.354661657228263</c:v>
                </c:pt>
                <c:pt idx="225">
                  <c:v>-63.027133526583263</c:v>
                </c:pt>
                <c:pt idx="226">
                  <c:v>-63.695923330017223</c:v>
                </c:pt>
                <c:pt idx="227">
                  <c:v>-64.360916929554975</c:v>
                </c:pt>
                <c:pt idx="228">
                  <c:v>-65.022012235754943</c:v>
                </c:pt>
                <c:pt idx="229">
                  <c:v>-65.679119187670082</c:v>
                </c:pt>
                <c:pt idx="230">
                  <c:v>-66.332159694187652</c:v>
                </c:pt>
                <c:pt idx="231">
                  <c:v>-66.981067539065066</c:v>
                </c:pt>
                <c:pt idx="232">
                  <c:v>-67.625788252113836</c:v>
                </c:pt>
                <c:pt idx="233">
                  <c:v>-68.266278949047759</c:v>
                </c:pt>
                <c:pt idx="234">
                  <c:v>-68.902508142576849</c:v>
                </c:pt>
                <c:pt idx="235">
                  <c:v>-69.534455527352762</c:v>
                </c:pt>
                <c:pt idx="236">
                  <c:v>-70.162111741352774</c:v>
                </c:pt>
                <c:pt idx="237">
                  <c:v>-70.785478106283406</c:v>
                </c:pt>
                <c:pt idx="238">
                  <c:v>-71.404566349510603</c:v>
                </c:pt>
                <c:pt idx="239">
                  <c:v>-72.019398309967656</c:v>
                </c:pt>
                <c:pt idx="240">
                  <c:v>-72.630005630397619</c:v>
                </c:pt>
                <c:pt idx="241">
                  <c:v>-73.236429438180522</c:v>
                </c:pt>
                <c:pt idx="242">
                  <c:v>-73.838720016888161</c:v>
                </c:pt>
                <c:pt idx="243">
                  <c:v>-74.436936470576271</c:v>
                </c:pt>
                <c:pt idx="244">
                  <c:v>-75.031146382691759</c:v>
                </c:pt>
                <c:pt idx="245">
                  <c:v>-75.621425471339549</c:v>
                </c:pt>
                <c:pt idx="246">
                  <c:v>-76.207857242505042</c:v>
                </c:pt>
                <c:pt idx="247">
                  <c:v>-76.790532642683544</c:v>
                </c:pt>
                <c:pt idx="248">
                  <c:v>-77.369549712233436</c:v>
                </c:pt>
                <c:pt idx="249">
                  <c:v>-77.945013240613989</c:v>
                </c:pt>
                <c:pt idx="250">
                  <c:v>-78.51703442453568</c:v>
                </c:pt>
                <c:pt idx="251">
                  <c:v>-79.085730529915836</c:v>
                </c:pt>
                <c:pt idx="252">
                  <c:v>-79.651224558391334</c:v>
                </c:pt>
                <c:pt idx="253">
                  <c:v>-80.213644919021462</c:v>
                </c:pt>
                <c:pt idx="254">
                  <c:v>-80.773125105686972</c:v>
                </c:pt>
                <c:pt idx="255">
                  <c:v>-81.329803380575342</c:v>
                </c:pt>
                <c:pt idx="256">
                  <c:v>-81.883822464038403</c:v>
                </c:pt>
                <c:pt idx="257">
                  <c:v>-82.435329230997482</c:v>
                </c:pt>
                <c:pt idx="258">
                  <c:v>-82.984474413984117</c:v>
                </c:pt>
                <c:pt idx="259">
                  <c:v>-83.531412312806737</c:v>
                </c:pt>
                <c:pt idx="260">
                  <c:v>-84.076300510758998</c:v>
                </c:pt>
                <c:pt idx="261">
                  <c:v>-84.619299597204119</c:v>
                </c:pt>
                <c:pt idx="262">
                  <c:v>-85.160572896304643</c:v>
                </c:pt>
                <c:pt idx="263">
                  <c:v>-85.700286201599525</c:v>
                </c:pt>
                <c:pt idx="264">
                  <c:v>-86.238607516078588</c:v>
                </c:pt>
                <c:pt idx="265">
                  <c:v>-86.775706797353152</c:v>
                </c:pt>
                <c:pt idx="266">
                  <c:v>-87.311755707469302</c:v>
                </c:pt>
                <c:pt idx="267">
                  <c:v>-87.846927366886931</c:v>
                </c:pt>
                <c:pt idx="268">
                  <c:v>-88.381396112093043</c:v>
                </c:pt>
                <c:pt idx="269">
                  <c:v>-88.915337256308177</c:v>
                </c:pt>
                <c:pt idx="270">
                  <c:v>-89.44892685270942</c:v>
                </c:pt>
                <c:pt idx="271">
                  <c:v>-89.982341459577484</c:v>
                </c:pt>
                <c:pt idx="272">
                  <c:v>-90.515757906762161</c:v>
                </c:pt>
                <c:pt idx="273">
                  <c:v>-91.049353062852063</c:v>
                </c:pt>
                <c:pt idx="274">
                  <c:v>-91.583303602422603</c:v>
                </c:pt>
                <c:pt idx="275">
                  <c:v>-92.117785772748022</c:v>
                </c:pt>
                <c:pt idx="276">
                  <c:v>-92.652975159353957</c:v>
                </c:pt>
                <c:pt idx="277">
                  <c:v>-93.189046449804891</c:v>
                </c:pt>
                <c:pt idx="278">
                  <c:v>-93.726173195129732</c:v>
                </c:pt>
                <c:pt idx="279">
                  <c:v>-94.264527568308822</c:v>
                </c:pt>
                <c:pt idx="280">
                  <c:v>-94.804280119264789</c:v>
                </c:pt>
                <c:pt idx="281">
                  <c:v>-95.345599525834544</c:v>
                </c:pt>
                <c:pt idx="282">
                  <c:v>-95.88865234022343</c:v>
                </c:pt>
                <c:pt idx="283">
                  <c:v>-96.433602730486271</c:v>
                </c:pt>
                <c:pt idx="284">
                  <c:v>-96.980612216622774</c:v>
                </c:pt>
                <c:pt idx="285">
                  <c:v>-97.529839400926775</c:v>
                </c:pt>
                <c:pt idx="286">
                  <c:v>-98.081439692273776</c:v>
                </c:pt>
                <c:pt idx="287">
                  <c:v>-98.635565024108374</c:v>
                </c:pt>
                <c:pt idx="288">
                  <c:v>-99.192363565944575</c:v>
                </c:pt>
                <c:pt idx="289">
                  <c:v>-99.751979428281928</c:v>
                </c:pt>
                <c:pt idx="290">
                  <c:v>-100.31455236090703</c:v>
                </c:pt>
                <c:pt idx="291">
                  <c:v>-100.8802174446466</c:v>
                </c:pt>
                <c:pt idx="292">
                  <c:v>-101.44910477673261</c:v>
                </c:pt>
                <c:pt idx="293">
                  <c:v>-102.02133915003363</c:v>
                </c:pt>
                <c:pt idx="294">
                  <c:v>-102.59703972652527</c:v>
                </c:pt>
                <c:pt idx="295">
                  <c:v>-103.17631970547679</c:v>
                </c:pt>
                <c:pt idx="296">
                  <c:v>-103.75928598695799</c:v>
                </c:pt>
                <c:pt idx="297">
                  <c:v>-104.34603883139656</c:v>
                </c:pt>
                <c:pt idx="298">
                  <c:v>-104.93667151604461</c:v>
                </c:pt>
                <c:pt idx="299">
                  <c:v>-105.53126998934802</c:v>
                </c:pt>
                <c:pt idx="300">
                  <c:v>-106.12991252436264</c:v>
                </c:pt>
                <c:pt idx="301">
                  <c:v>-106.73266937248798</c:v>
                </c:pt>
                <c:pt idx="302">
                  <c:v>-107.33960241894842</c:v>
                </c:pt>
                <c:pt idx="303">
                  <c:v>-107.95076484158551</c:v>
                </c:pt>
                <c:pt idx="304">
                  <c:v>-108.56620077467386</c:v>
                </c:pt>
                <c:pt idx="305">
                  <c:v>-109.18594497961095</c:v>
                </c:pt>
                <c:pt idx="306">
                  <c:v>-109.81002252446525</c:v>
                </c:pt>
                <c:pt idx="307">
                  <c:v>-110.43844847449893</c:v>
                </c:pt>
                <c:pt idx="308">
                  <c:v>-111.07122759589156</c:v>
                </c:pt>
                <c:pt idx="309">
                  <c:v>-111.70835407500809</c:v>
                </c:pt>
                <c:pt idx="310">
                  <c:v>-112.34981125563866</c:v>
                </c:pt>
                <c:pt idx="311">
                  <c:v>-112.9955713967189</c:v>
                </c:pt>
                <c:pt idx="312">
                  <c:v>-113.64559545309027</c:v>
                </c:pt>
                <c:pt idx="313">
                  <c:v>-114.29983288190458</c:v>
                </c:pt>
                <c:pt idx="314">
                  <c:v>-114.95822147727235</c:v>
                </c:pt>
                <c:pt idx="315">
                  <c:v>-115.62068723575297</c:v>
                </c:pt>
                <c:pt idx="316">
                  <c:v>-116.28714425522824</c:v>
                </c:pt>
                <c:pt idx="317">
                  <c:v>-116.95749466963214</c:v>
                </c:pt>
                <c:pt idx="318">
                  <c:v>-117.63162862189557</c:v>
                </c:pt>
                <c:pt idx="319">
                  <c:v>-118.30942427732407</c:v>
                </c:pt>
                <c:pt idx="320">
                  <c:v>-118.99074787945223</c:v>
                </c:pt>
                <c:pt idx="321">
                  <c:v>-119.67545385020074</c:v>
                </c:pt>
                <c:pt idx="322">
                  <c:v>-120.36338493592329</c:v>
                </c:pt>
                <c:pt idx="323">
                  <c:v>-121.05437240064586</c:v>
                </c:pt>
                <c:pt idx="324">
                  <c:v>-121.74823626748901</c:v>
                </c:pt>
                <c:pt idx="325">
                  <c:v>-122.44478560892638</c:v>
                </c:pt>
                <c:pt idx="326">
                  <c:v>-123.14381888616727</c:v>
                </c:pt>
                <c:pt idx="327">
                  <c:v>-123.84512433754826</c:v>
                </c:pt>
                <c:pt idx="328">
                  <c:v>-124.54848041542607</c:v>
                </c:pt>
                <c:pt idx="329">
                  <c:v>-125.25365627062958</c:v>
                </c:pt>
                <c:pt idx="330">
                  <c:v>-125.96041228310158</c:v>
                </c:pt>
                <c:pt idx="331">
                  <c:v>-126.66850063693063</c:v>
                </c:pt>
                <c:pt idx="332">
                  <c:v>-127.37766593753311</c:v>
                </c:pt>
                <c:pt idx="333">
                  <c:v>-128.08764586834332</c:v>
                </c:pt>
                <c:pt idx="334">
                  <c:v>-128.79817188394946</c:v>
                </c:pt>
                <c:pt idx="335">
                  <c:v>-129.50896993624573</c:v>
                </c:pt>
                <c:pt idx="336">
                  <c:v>-130.2197612298163</c:v>
                </c:pt>
                <c:pt idx="337">
                  <c:v>-130.9302630024587</c:v>
                </c:pt>
                <c:pt idx="338">
                  <c:v>-131.64018932647153</c:v>
                </c:pt>
                <c:pt idx="339">
                  <c:v>-132.34925192611749</c:v>
                </c:pt>
                <c:pt idx="340">
                  <c:v>-133.05716100648584</c:v>
                </c:pt>
                <c:pt idx="341">
                  <c:v>-133.76362608885989</c:v>
                </c:pt>
                <c:pt idx="342">
                  <c:v>-134.46835684763215</c:v>
                </c:pt>
                <c:pt idx="343">
                  <c:v>-135.17106394378484</c:v>
                </c:pt>
                <c:pt idx="344">
                  <c:v>-135.87145985001996</c:v>
                </c:pt>
                <c:pt idx="345">
                  <c:v>-136.56925966270825</c:v>
                </c:pt>
                <c:pt idx="346">
                  <c:v>-137.264181895994</c:v>
                </c:pt>
                <c:pt idx="347">
                  <c:v>-137.95594925360058</c:v>
                </c:pt>
                <c:pt idx="348">
                  <c:v>-138.64428937414104</c:v>
                </c:pt>
                <c:pt idx="349">
                  <c:v>-139.3289355460264</c:v>
                </c:pt>
                <c:pt idx="350">
                  <c:v>-140.00962738842966</c:v>
                </c:pt>
                <c:pt idx="351">
                  <c:v>-140.68611149510869</c:v>
                </c:pt>
                <c:pt idx="352">
                  <c:v>-141.35814203831242</c:v>
                </c:pt>
                <c:pt idx="353">
                  <c:v>-142.02548133039815</c:v>
                </c:pt>
                <c:pt idx="354">
                  <c:v>-142.6879003412364</c:v>
                </c:pt>
                <c:pt idx="355">
                  <c:v>-143.34517916990532</c:v>
                </c:pt>
                <c:pt idx="356">
                  <c:v>-143.99710746963345</c:v>
                </c:pt>
                <c:pt idx="357">
                  <c:v>-144.64348482537414</c:v>
                </c:pt>
                <c:pt idx="358">
                  <c:v>-145.28412108383199</c:v>
                </c:pt>
                <c:pt idx="359">
                  <c:v>-145.91883663615999</c:v>
                </c:pt>
                <c:pt idx="360">
                  <c:v>-146.54746265395255</c:v>
                </c:pt>
                <c:pt idx="361">
                  <c:v>-147.16984127950656</c:v>
                </c:pt>
                <c:pt idx="362">
                  <c:v>-147.78582577168044</c:v>
                </c:pt>
                <c:pt idx="363">
                  <c:v>-148.39528060897536</c:v>
                </c:pt>
                <c:pt idx="364">
                  <c:v>-148.99808155174509</c:v>
                </c:pt>
                <c:pt idx="365">
                  <c:v>-149.59411566569037</c:v>
                </c:pt>
                <c:pt idx="366">
                  <c:v>-150.18328130899175</c:v>
                </c:pt>
                <c:pt idx="367">
                  <c:v>-150.76548808562569</c:v>
                </c:pt>
                <c:pt idx="368">
                  <c:v>-151.3406567675454</c:v>
                </c:pt>
                <c:pt idx="369">
                  <c:v>-151.90871918851533</c:v>
                </c:pt>
                <c:pt idx="370">
                  <c:v>-152.46961811248852</c:v>
                </c:pt>
                <c:pt idx="371">
                  <c:v>-153.02330707945376</c:v>
                </c:pt>
                <c:pt idx="372">
                  <c:v>-153.56975023171336</c:v>
                </c:pt>
                <c:pt idx="373">
                  <c:v>-154.10892212356327</c:v>
                </c:pt>
                <c:pt idx="374">
                  <c:v>-154.64080751732567</c:v>
                </c:pt>
                <c:pt idx="375">
                  <c:v>-155.16540116865144</c:v>
                </c:pt>
                <c:pt idx="376">
                  <c:v>-155.68270760396751</c:v>
                </c:pt>
                <c:pt idx="377">
                  <c:v>-156.19274089287387</c:v>
                </c:pt>
                <c:pt idx="378">
                  <c:v>-156.69552441823549</c:v>
                </c:pt>
                <c:pt idx="379">
                  <c:v>-157.19109064662516</c:v>
                </c:pt>
                <c:pt idx="380">
                  <c:v>-157.6794809017062</c:v>
                </c:pt>
                <c:pt idx="381">
                  <c:v>-158.16074514304796</c:v>
                </c:pt>
                <c:pt idx="382">
                  <c:v>-158.63494175279311</c:v>
                </c:pt>
                <c:pt idx="383">
                  <c:v>-159.10213733251524</c:v>
                </c:pt>
                <c:pt idx="384">
                  <c:v>-159.56240651252995</c:v>
                </c:pt>
                <c:pt idx="385">
                  <c:v>-160.01583177585786</c:v>
                </c:pt>
                <c:pt idx="386">
                  <c:v>-160.4625032989812</c:v>
                </c:pt>
                <c:pt idx="387">
                  <c:v>-160.90251881148828</c:v>
                </c:pt>
                <c:pt idx="388">
                  <c:v>-161.3359834766697</c:v>
                </c:pt>
                <c:pt idx="389">
                  <c:v>-161.76300979510663</c:v>
                </c:pt>
                <c:pt idx="390">
                  <c:v>-162.1837175332966</c:v>
                </c:pt>
                <c:pt idx="391">
                  <c:v>-162.59823367936741</c:v>
                </c:pt>
                <c:pt idx="392">
                  <c:v>-163.0066924279744</c:v>
                </c:pt>
                <c:pt idx="393">
                  <c:v>-163.40923519652512</c:v>
                </c:pt>
                <c:pt idx="394">
                  <c:v>-163.80601067495442</c:v>
                </c:pt>
                <c:pt idx="395">
                  <c:v>-164.19717491137979</c:v>
                </c:pt>
                <c:pt idx="396">
                  <c:v>-164.58289143609034</c:v>
                </c:pt>
                <c:pt idx="397">
                  <c:v>-164.96333142648808</c:v>
                </c:pt>
                <c:pt idx="398">
                  <c:v>-165.33867391578207</c:v>
                </c:pt>
                <c:pt idx="399">
                  <c:v>-165.70910604846699</c:v>
                </c:pt>
                <c:pt idx="400">
                  <c:v>-166.07482338587721</c:v>
                </c:pt>
                <c:pt idx="401">
                  <c:v>-166.43603026540217</c:v>
                </c:pt>
                <c:pt idx="402">
                  <c:v>-166.79294021731326</c:v>
                </c:pt>
                <c:pt idx="403">
                  <c:v>-167.14577644352724</c:v>
                </c:pt>
                <c:pt idx="404">
                  <c:v>-167.49477236310466</c:v>
                </c:pt>
                <c:pt idx="405">
                  <c:v>-167.84017222978008</c:v>
                </c:pt>
                <c:pt idx="406">
                  <c:v>-168.18223182741085</c:v>
                </c:pt>
                <c:pt idx="407">
                  <c:v>-168.52121924988626</c:v>
                </c:pt>
                <c:pt idx="408">
                  <c:v>-168.85741577278597</c:v>
                </c:pt>
                <c:pt idx="409">
                  <c:v>-169.19111682491297</c:v>
                </c:pt>
                <c:pt idx="410">
                  <c:v>-169.5226330687822</c:v>
                </c:pt>
                <c:pt idx="411">
                  <c:v>-169.85229160021203</c:v>
                </c:pt>
                <c:pt idx="412">
                  <c:v>-170.18043727838347</c:v>
                </c:pt>
                <c:pt idx="413">
                  <c:v>-170.50743419909531</c:v>
                </c:pt>
                <c:pt idx="414">
                  <c:v>-170.83366732549925</c:v>
                </c:pt>
                <c:pt idx="415">
                  <c:v>-171.15954429234026</c:v>
                </c:pt>
                <c:pt idx="416">
                  <c:v>-171.48549740172027</c:v>
                </c:pt>
                <c:pt idx="417">
                  <c:v>-171.81198583064244</c:v>
                </c:pt>
                <c:pt idx="418">
                  <c:v>-172.13949807313904</c:v>
                </c:pt>
                <c:pt idx="419">
                  <c:v>-172.46855464266963</c:v>
                </c:pt>
                <c:pt idx="420">
                  <c:v>-172.79971106375658</c:v>
                </c:pt>
                <c:pt idx="421">
                  <c:v>-173.13356118552852</c:v>
                </c:pt>
                <c:pt idx="422">
                  <c:v>-173.4707408540641</c:v>
                </c:pt>
                <c:pt idx="423">
                  <c:v>-173.81193198521228</c:v>
                </c:pt>
                <c:pt idx="424">
                  <c:v>-174.15786708499346</c:v>
                </c:pt>
                <c:pt idx="425">
                  <c:v>-174.50933427083635</c:v>
                </c:pt>
                <c:pt idx="426">
                  <c:v>-174.86718285388491</c:v>
                </c:pt>
                <c:pt idx="427">
                  <c:v>-175.23232955049656</c:v>
                </c:pt>
                <c:pt idx="428">
                  <c:v>-175.60576539995179</c:v>
                </c:pt>
                <c:pt idx="429">
                  <c:v>-175.98856347542383</c:v>
                </c:pt>
                <c:pt idx="430">
                  <c:v>-176.38188748649654</c:v>
                </c:pt>
                <c:pt idx="431">
                  <c:v>-176.78700138405213</c:v>
                </c:pt>
                <c:pt idx="432">
                  <c:v>-177.20528009224523</c:v>
                </c:pt>
                <c:pt idx="433">
                  <c:v>-177.63822150752216</c:v>
                </c:pt>
                <c:pt idx="434">
                  <c:v>-178.0874599211796</c:v>
                </c:pt>
                <c:pt idx="435">
                  <c:v>-178.55478103953982</c:v>
                </c:pt>
                <c:pt idx="436">
                  <c:v>-179.04213879410199</c:v>
                </c:pt>
                <c:pt idx="437">
                  <c:v>-179.55167415226921</c:v>
                </c:pt>
                <c:pt idx="438">
                  <c:v>-180.08573615636067</c:v>
                </c:pt>
                <c:pt idx="439">
                  <c:v>-180.64690543285332</c:v>
                </c:pt>
                <c:pt idx="440">
                  <c:v>-181.23802042250188</c:v>
                </c:pt>
                <c:pt idx="441">
                  <c:v>-181.86220658127488</c:v>
                </c:pt>
                <c:pt idx="442">
                  <c:v>-182.52290878618638</c:v>
                </c:pt>
                <c:pt idx="443">
                  <c:v>-183.22392714080172</c:v>
                </c:pt>
                <c:pt idx="444">
                  <c:v>-183.9694563007161</c:v>
                </c:pt>
                <c:pt idx="445">
                  <c:v>-184.76412831287118</c:v>
                </c:pt>
                <c:pt idx="446">
                  <c:v>-185.61305876095278</c:v>
                </c:pt>
                <c:pt idx="447">
                  <c:v>-186.52189570005393</c:v>
                </c:pt>
                <c:pt idx="448">
                  <c:v>-187.49687040350983</c:v>
                </c:pt>
                <c:pt idx="449">
                  <c:v>-188.5448482747822</c:v>
                </c:pt>
                <c:pt idx="450">
                  <c:v>-189.67337732131955</c:v>
                </c:pt>
                <c:pt idx="451">
                  <c:v>-190.89073024927848</c:v>
                </c:pt>
                <c:pt idx="452">
                  <c:v>-192.2059344032115</c:v>
                </c:pt>
                <c:pt idx="453">
                  <c:v>-193.62878131693301</c:v>
                </c:pt>
                <c:pt idx="454">
                  <c:v>-195.16980444358265</c:v>
                </c:pt>
                <c:pt idx="455">
                  <c:v>-196.84020962855658</c:v>
                </c:pt>
                <c:pt idx="456">
                  <c:v>-198.65173814347963</c:v>
                </c:pt>
                <c:pt idx="457">
                  <c:v>-200.61643694181245</c:v>
                </c:pt>
                <c:pt idx="458">
                  <c:v>-202.74630602230448</c:v>
                </c:pt>
                <c:pt idx="459">
                  <c:v>-205.05278992645776</c:v>
                </c:pt>
                <c:pt idx="460">
                  <c:v>-207.54608200267694</c:v>
                </c:pt>
                <c:pt idx="461">
                  <c:v>-210.23421986922057</c:v>
                </c:pt>
                <c:pt idx="462">
                  <c:v>-213.12197311264978</c:v>
                </c:pt>
                <c:pt idx="463">
                  <c:v>-216.20956396335498</c:v>
                </c:pt>
                <c:pt idx="464">
                  <c:v>-219.49131986554229</c:v>
                </c:pt>
                <c:pt idx="465">
                  <c:v>-222.95442792812176</c:v>
                </c:pt>
                <c:pt idx="466">
                  <c:v>-226.57802854284364</c:v>
                </c:pt>
                <c:pt idx="467">
                  <c:v>-230.33292030978464</c:v>
                </c:pt>
                <c:pt idx="468">
                  <c:v>-234.18211696584535</c:v>
                </c:pt>
                <c:pt idx="469">
                  <c:v>-238.08237703684085</c:v>
                </c:pt>
                <c:pt idx="470">
                  <c:v>-241.98662894096589</c:v>
                </c:pt>
                <c:pt idx="471">
                  <c:v>-245.84699201626887</c:v>
                </c:pt>
                <c:pt idx="472">
                  <c:v>-249.61792907210017</c:v>
                </c:pt>
                <c:pt idx="473">
                  <c:v>-253.25902804797516</c:v>
                </c:pt>
                <c:pt idx="474">
                  <c:v>-256.73701606971383</c:v>
                </c:pt>
                <c:pt idx="475">
                  <c:v>-260.02681247384669</c:v>
                </c:pt>
                <c:pt idx="476">
                  <c:v>-263.11164703151019</c:v>
                </c:pt>
                <c:pt idx="477">
                  <c:v>-265.98243374782567</c:v>
                </c:pt>
                <c:pt idx="478">
                  <c:v>-268.63666641572752</c:v>
                </c:pt>
                <c:pt idx="479">
                  <c:v>-271.07709735317883</c:v>
                </c:pt>
                <c:pt idx="480">
                  <c:v>-273.31040595153797</c:v>
                </c:pt>
                <c:pt idx="481">
                  <c:v>-275.34599164617612</c:v>
                </c:pt>
                <c:pt idx="482">
                  <c:v>-277.19495979883948</c:v>
                </c:pt>
                <c:pt idx="483">
                  <c:v>-278.86931961682819</c:v>
                </c:pt>
                <c:pt idx="484">
                  <c:v>-280.3813822670117</c:v>
                </c:pt>
                <c:pt idx="485">
                  <c:v>-281.74333155683678</c:v>
                </c:pt>
                <c:pt idx="486">
                  <c:v>-282.96693427073075</c:v>
                </c:pt>
                <c:pt idx="487">
                  <c:v>-284.06335820603704</c:v>
                </c:pt>
                <c:pt idx="488">
                  <c:v>-285.04306999215225</c:v>
                </c:pt>
                <c:pt idx="489">
                  <c:v>-285.91578987620079</c:v>
                </c:pt>
                <c:pt idx="490">
                  <c:v>-286.69048568115574</c:v>
                </c:pt>
                <c:pt idx="491">
                  <c:v>-287.37539254906835</c:v>
                </c:pt>
                <c:pt idx="492">
                  <c:v>-287.97804869277627</c:v>
                </c:pt>
                <c:pt idx="493">
                  <c:v>-288.5053402056443</c:v>
                </c:pt>
                <c:pt idx="494">
                  <c:v>-288.96355011852131</c:v>
                </c:pt>
                <c:pt idx="495">
                  <c:v>-289.35840847152122</c:v>
                </c:pt>
                <c:pt idx="496">
                  <c:v>-289.69514130767186</c:v>
                </c:pt>
                <c:pt idx="497">
                  <c:v>-289.9785173019892</c:v>
                </c:pt>
                <c:pt idx="498">
                  <c:v>-290.21289129948548</c:v>
                </c:pt>
                <c:pt idx="499">
                  <c:v>-290.40224441622576</c:v>
                </c:pt>
                <c:pt idx="500">
                  <c:v>-290.42305602111895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41-4D19-9DBC-690DDB1D00CA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92.144266429525459</c:v>
                </c:pt>
                <c:pt idx="1">
                  <c:v>92.105890075886265</c:v>
                </c:pt>
                <c:pt idx="2">
                  <c:v>92.068572227108078</c:v>
                </c:pt>
                <c:pt idx="3">
                  <c:v>92.032294243135894</c:v>
                </c:pt>
                <c:pt idx="4">
                  <c:v>91.997037995434525</c:v>
                </c:pt>
                <c:pt idx="5">
                  <c:v>91.962785858560522</c:v>
                </c:pt>
                <c:pt idx="6">
                  <c:v>91.929520701933725</c:v>
                </c:pt>
                <c:pt idx="7">
                  <c:v>91.897225881807898</c:v>
                </c:pt>
                <c:pt idx="8">
                  <c:v>91.865885233438505</c:v>
                </c:pt>
                <c:pt idx="9">
                  <c:v>91.835483063446873</c:v>
                </c:pt>
                <c:pt idx="10">
                  <c:v>91.806004142378214</c:v>
                </c:pt>
                <c:pt idx="11">
                  <c:v>91.777433697452864</c:v>
                </c:pt>
                <c:pt idx="12">
                  <c:v>91.749757405508504</c:v>
                </c:pt>
                <c:pt idx="13">
                  <c:v>91.722961386131274</c:v>
                </c:pt>
                <c:pt idx="14">
                  <c:v>91.697032194974511</c:v>
                </c:pt>
                <c:pt idx="15">
                  <c:v>91.671956817262867</c:v>
                </c:pt>
                <c:pt idx="16">
                  <c:v>91.647722661479492</c:v>
                </c:pt>
                <c:pt idx="17">
                  <c:v>91.624317553234746</c:v>
                </c:pt>
                <c:pt idx="18">
                  <c:v>91.601729729314059</c:v>
                </c:pt>
                <c:pt idx="19">
                  <c:v>91.579947831902601</c:v>
                </c:pt>
                <c:pt idx="20">
                  <c:v>91.558960902984921</c:v>
                </c:pt>
                <c:pt idx="21">
                  <c:v>91.538758378917066</c:v>
                </c:pt>
                <c:pt idx="22">
                  <c:v>91.519330085168718</c:v>
                </c:pt>
                <c:pt idx="23">
                  <c:v>91.500666231233339</c:v>
                </c:pt>
                <c:pt idx="24">
                  <c:v>91.482757405703893</c:v>
                </c:pt>
                <c:pt idx="25">
                  <c:v>91.465594571511289</c:v>
                </c:pt>
                <c:pt idx="26">
                  <c:v>91.44916906132373</c:v>
                </c:pt>
                <c:pt idx="27">
                  <c:v>91.433472573103813</c:v>
                </c:pt>
                <c:pt idx="28">
                  <c:v>91.41849716582135</c:v>
                </c:pt>
                <c:pt idx="29">
                  <c:v>91.404235255318824</c:v>
                </c:pt>
                <c:pt idx="30">
                  <c:v>91.390679610327325</c:v>
                </c:pt>
                <c:pt idx="31">
                  <c:v>91.377823348629576</c:v>
                </c:pt>
                <c:pt idx="32">
                  <c:v>91.365659933368079</c:v>
                </c:pt>
                <c:pt idx="33">
                  <c:v>91.354183169494561</c:v>
                </c:pt>
                <c:pt idx="34">
                  <c:v>91.34338720035899</c:v>
                </c:pt>
                <c:pt idx="35">
                  <c:v>91.33326650443388</c:v>
                </c:pt>
                <c:pt idx="36">
                  <c:v>91.323815892171851</c:v>
                </c:pt>
                <c:pt idx="37">
                  <c:v>91.315030502992443</c:v>
                </c:pt>
                <c:pt idx="38">
                  <c:v>91.306905802395733</c:v>
                </c:pt>
                <c:pt idx="39">
                  <c:v>91.299437579198667</c:v>
                </c:pt>
                <c:pt idx="40">
                  <c:v>91.292621942890733</c:v>
                </c:pt>
                <c:pt idx="41">
                  <c:v>91.286455321105777</c:v>
                </c:pt>
                <c:pt idx="42">
                  <c:v>91.280934457205618</c:v>
                </c:pt>
                <c:pt idx="43">
                  <c:v>91.276056407971936</c:v>
                </c:pt>
                <c:pt idx="44">
                  <c:v>91.271818541401885</c:v>
                </c:pt>
                <c:pt idx="45">
                  <c:v>91.268218534603776</c:v>
                </c:pt>
                <c:pt idx="46">
                  <c:v>91.265254371787719</c:v>
                </c:pt>
                <c:pt idx="47">
                  <c:v>91.262924342346835</c:v>
                </c:pt>
                <c:pt idx="48">
                  <c:v>91.261227039024092</c:v>
                </c:pt>
                <c:pt idx="49">
                  <c:v>91.260161356159685</c:v>
                </c:pt>
                <c:pt idx="50">
                  <c:v>91.259726488012831</c:v>
                </c:pt>
                <c:pt idx="51">
                  <c:v>91.259921927153655</c:v>
                </c:pt>
                <c:pt idx="52">
                  <c:v>91.260747462917294</c:v>
                </c:pt>
                <c:pt idx="53">
                  <c:v>91.262203179915332</c:v>
                </c:pt>
                <c:pt idx="54">
                  <c:v>91.264289456596842</c:v>
                </c:pt>
                <c:pt idx="55">
                  <c:v>91.26700696385268</c:v>
                </c:pt>
                <c:pt idx="56">
                  <c:v>91.270356663654354</c:v>
                </c:pt>
                <c:pt idx="57">
                  <c:v>91.274339807720665</c:v>
                </c:pt>
                <c:pt idx="58">
                  <c:v>91.278957936202644</c:v>
                </c:pt>
                <c:pt idx="59">
                  <c:v>91.284212876378191</c:v>
                </c:pt>
                <c:pt idx="60">
                  <c:v>91.290106741346705</c:v>
                </c:pt>
                <c:pt idx="61">
                  <c:v>91.296641928713498</c:v>
                </c:pt>
                <c:pt idx="62">
                  <c:v>91.303821119253186</c:v>
                </c:pt>
                <c:pt idx="63">
                  <c:v>91.311647275540395</c:v>
                </c:pt>
                <c:pt idx="64">
                  <c:v>91.320123640535627</c:v>
                </c:pt>
                <c:pt idx="65">
                  <c:v>91.329253736113415</c:v>
                </c:pt>
                <c:pt idx="66">
                  <c:v>91.33904136151844</c:v>
                </c:pt>
                <c:pt idx="67">
                  <c:v>91.349490591735318</c:v>
                </c:pt>
                <c:pt idx="68">
                  <c:v>91.360605775755985</c:v>
                </c:pt>
                <c:pt idx="69">
                  <c:v>91.372391534728337</c:v>
                </c:pt>
                <c:pt idx="70">
                  <c:v>91.384852759967885</c:v>
                </c:pt>
                <c:pt idx="71">
                  <c:v>91.397994610814138</c:v>
                </c:pt>
                <c:pt idx="72">
                  <c:v>91.411822512310707</c:v>
                </c:pt>
                <c:pt idx="73">
                  <c:v>91.426342152688704</c:v>
                </c:pt>
                <c:pt idx="74">
                  <c:v>91.441559480629962</c:v>
                </c:pt>
                <c:pt idx="75">
                  <c:v>91.457480702285935</c:v>
                </c:pt>
                <c:pt idx="76">
                  <c:v>91.474112278027206</c:v>
                </c:pt>
                <c:pt idx="77">
                  <c:v>91.4914609188951</c:v>
                </c:pt>
                <c:pt idx="78">
                  <c:v>91.509533582727556</c:v>
                </c:pt>
                <c:pt idx="79">
                  <c:v>91.52833746992755</c:v>
                </c:pt>
                <c:pt idx="80">
                  <c:v>91.547880018841568</c:v>
                </c:pt>
                <c:pt idx="81">
                  <c:v>91.568168900713758</c:v>
                </c:pt>
                <c:pt idx="82">
                  <c:v>91.589212014178017</c:v>
                </c:pt>
                <c:pt idx="83">
                  <c:v>91.611017479249696</c:v>
                </c:pt>
                <c:pt idx="84">
                  <c:v>91.633593630775451</c:v>
                </c:pt>
                <c:pt idx="85">
                  <c:v>91.656949011296661</c:v>
                </c:pt>
                <c:pt idx="86">
                  <c:v>91.681092363280868</c:v>
                </c:pt>
                <c:pt idx="87">
                  <c:v>91.706032620671522</c:v>
                </c:pt>
                <c:pt idx="88">
                  <c:v>91.731778899704437</c:v>
                </c:pt>
                <c:pt idx="89">
                  <c:v>91.758340488935602</c:v>
                </c:pt>
                <c:pt idx="90">
                  <c:v>91.785726838423656</c:v>
                </c:pt>
                <c:pt idx="91">
                  <c:v>91.813947548003767</c:v>
                </c:pt>
                <c:pt idx="92">
                  <c:v>91.843012354591551</c:v>
                </c:pt>
                <c:pt idx="93">
                  <c:v>91.872931118446232</c:v>
                </c:pt>
                <c:pt idx="94">
                  <c:v>91.903713808324056</c:v>
                </c:pt>
                <c:pt idx="95">
                  <c:v>91.935370485445944</c:v>
                </c:pt>
                <c:pt idx="96">
                  <c:v>91.967911286200945</c:v>
                </c:pt>
                <c:pt idx="97">
                  <c:v>92.001346403503433</c:v>
                </c:pt>
                <c:pt idx="98">
                  <c:v>92.035686066717602</c:v>
                </c:pt>
                <c:pt idx="99">
                  <c:v>92.070940520058429</c:v>
                </c:pt>
                <c:pt idx="100">
                  <c:v>92.10711999937601</c:v>
                </c:pt>
                <c:pt idx="101">
                  <c:v>92.144234707224328</c:v>
                </c:pt>
                <c:pt idx="102">
                  <c:v>92.182294786111342</c:v>
                </c:pt>
                <c:pt idx="103">
                  <c:v>92.221310289826874</c:v>
                </c:pt>
                <c:pt idx="104">
                  <c:v>92.261291152734458</c:v>
                </c:pt>
                <c:pt idx="105">
                  <c:v>92.302247156916025</c:v>
                </c:pt>
                <c:pt idx="106">
                  <c:v>92.344187897049395</c:v>
                </c:pt>
                <c:pt idx="107">
                  <c:v>92.387122742899834</c:v>
                </c:pt>
                <c:pt idx="108">
                  <c:v>92.431060799297654</c:v>
                </c:pt>
                <c:pt idx="109">
                  <c:v>92.476010863476702</c:v>
                </c:pt>
                <c:pt idx="110">
                  <c:v>92.521981379642895</c:v>
                </c:pt>
                <c:pt idx="111">
                  <c:v>92.568980390638785</c:v>
                </c:pt>
                <c:pt idx="112">
                  <c:v>92.617015486570139</c:v>
                </c:pt>
                <c:pt idx="113">
                  <c:v>92.666093750260899</c:v>
                </c:pt>
                <c:pt idx="114">
                  <c:v>92.716221699395732</c:v>
                </c:pt>
                <c:pt idx="115">
                  <c:v>92.767405225220699</c:v>
                </c:pt>
                <c:pt idx="116">
                  <c:v>92.819649527659436</c:v>
                </c:pt>
                <c:pt idx="117">
                  <c:v>92.872959046719856</c:v>
                </c:pt>
                <c:pt idx="118">
                  <c:v>92.927337390056906</c:v>
                </c:pt>
                <c:pt idx="119">
                  <c:v>92.982787256569253</c:v>
                </c:pt>
                <c:pt idx="120">
                  <c:v>93.039310355911624</c:v>
                </c:pt>
                <c:pt idx="121">
                  <c:v>93.096907323810441</c:v>
                </c:pt>
                <c:pt idx="122">
                  <c:v>93.155577633084775</c:v>
                </c:pt>
                <c:pt idx="123">
                  <c:v>93.215319500280614</c:v>
                </c:pt>
                <c:pt idx="124">
                  <c:v>93.276129787843871</c:v>
                </c:pt>
                <c:pt idx="125">
                  <c:v>93.338003901774329</c:v>
                </c:pt>
                <c:pt idx="126">
                  <c:v>93.400935684717794</c:v>
                </c:pt>
                <c:pt idx="127">
                  <c:v>93.464917304478575</c:v>
                </c:pt>
                <c:pt idx="128">
                  <c:v>93.529939137958806</c:v>
                </c:pt>
                <c:pt idx="129">
                  <c:v>93.595989650559204</c:v>
                </c:pt>
                <c:pt idx="130">
                  <c:v>93.663055271103616</c:v>
                </c:pt>
                <c:pt idx="131">
                  <c:v>93.731120262391144</c:v>
                </c:pt>
                <c:pt idx="132">
                  <c:v>93.800166587514923</c:v>
                </c:pt>
                <c:pt idx="133">
                  <c:v>93.870173772127401</c:v>
                </c:pt>
                <c:pt idx="134">
                  <c:v>93.941118762888152</c:v>
                </c:pt>
                <c:pt idx="135">
                  <c:v>94.012975782369651</c:v>
                </c:pt>
                <c:pt idx="136">
                  <c:v>94.085716180763654</c:v>
                </c:pt>
                <c:pt idx="137">
                  <c:v>94.159308284786377</c:v>
                </c:pt>
                <c:pt idx="138">
                  <c:v>94.23371724424419</c:v>
                </c:pt>
                <c:pt idx="139">
                  <c:v>94.308904876798792</c:v>
                </c:pt>
                <c:pt idx="140">
                  <c:v>94.384829511535216</c:v>
                </c:pt>
                <c:pt idx="141">
                  <c:v>94.461445832022818</c:v>
                </c:pt>
                <c:pt idx="142">
                  <c:v>94.538704719636755</c:v>
                </c:pt>
                <c:pt idx="143">
                  <c:v>94.616553097994242</c:v>
                </c:pt>
                <c:pt idx="144">
                  <c:v>94.694933779451134</c:v>
                </c:pt>
                <c:pt idx="145">
                  <c:v>94.773785314687643</c:v>
                </c:pt>
                <c:pt idx="146">
                  <c:v>94.853041846517755</c:v>
                </c:pt>
                <c:pt idx="147">
                  <c:v>94.932632969134275</c:v>
                </c:pt>
                <c:pt idx="148">
                  <c:v>95.012483594106911</c:v>
                </c:pt>
                <c:pt idx="149">
                  <c:v>95.092513824535047</c:v>
                </c:pt>
                <c:pt idx="150">
                  <c:v>95.172638838846979</c:v>
                </c:pt>
                <c:pt idx="151">
                  <c:v>95.252768785819086</c:v>
                </c:pt>
                <c:pt idx="152">
                  <c:v>95.332808692468987</c:v>
                </c:pt>
                <c:pt idx="153">
                  <c:v>95.412658386540357</c:v>
                </c:pt>
                <c:pt idx="154">
                  <c:v>95.492212435360912</c:v>
                </c:pt>
                <c:pt idx="155">
                  <c:v>95.57136010289743</c:v>
                </c:pt>
                <c:pt idx="156">
                  <c:v>95.649985326866627</c:v>
                </c:pt>
                <c:pt idx="157">
                  <c:v>95.727966717771224</c:v>
                </c:pt>
                <c:pt idx="158">
                  <c:v>95.805177581733489</c:v>
                </c:pt>
                <c:pt idx="159">
                  <c:v>95.881485968963972</c:v>
                </c:pt>
                <c:pt idx="160">
                  <c:v>95.956754749660917</c:v>
                </c:pt>
                <c:pt idx="161">
                  <c:v>96.030841719056724</c:v>
                </c:pt>
                <c:pt idx="162">
                  <c:v>96.103599733223703</c:v>
                </c:pt>
                <c:pt idx="163">
                  <c:v>96.17487687712385</c:v>
                </c:pt>
                <c:pt idx="164">
                  <c:v>96.244516666210231</c:v>
                </c:pt>
                <c:pt idx="165">
                  <c:v>96.312358282712239</c:v>
                </c:pt>
                <c:pt idx="166">
                  <c:v>96.37823684747876</c:v>
                </c:pt>
                <c:pt idx="167">
                  <c:v>96.441983728024354</c:v>
                </c:pt>
                <c:pt idx="168">
                  <c:v>96.503426883095159</c:v>
                </c:pt>
                <c:pt idx="169">
                  <c:v>96.562391243774826</c:v>
                </c:pt>
                <c:pt idx="170">
                  <c:v>96.618699130771887</c:v>
                </c:pt>
                <c:pt idx="171">
                  <c:v>96.672170707166075</c:v>
                </c:pt>
                <c:pt idx="172">
                  <c:v>96.722624465477864</c:v>
                </c:pt>
                <c:pt idx="173">
                  <c:v>96.76987774749378</c:v>
                </c:pt>
                <c:pt idx="174">
                  <c:v>96.81374729486636</c:v>
                </c:pt>
                <c:pt idx="175">
                  <c:v>96.854049828031407</c:v>
                </c:pt>
                <c:pt idx="176">
                  <c:v>96.890602650563338</c:v>
                </c:pt>
                <c:pt idx="177">
                  <c:v>96.923224275631071</c:v>
                </c:pt>
                <c:pt idx="178">
                  <c:v>96.951735070797952</c:v>
                </c:pt>
                <c:pt idx="179">
                  <c:v>96.975957916997899</c:v>
                </c:pt>
                <c:pt idx="180">
                  <c:v>96.995718877137023</c:v>
                </c:pt>
                <c:pt idx="181">
                  <c:v>97.010847869441932</c:v>
                </c:pt>
                <c:pt idx="182">
                  <c:v>97.021179340363005</c:v>
                </c:pt>
                <c:pt idx="183">
                  <c:v>97.026552931616806</c:v>
                </c:pt>
                <c:pt idx="184">
                  <c:v>97.026814135751707</c:v>
                </c:pt>
                <c:pt idx="185">
                  <c:v>97.021814934524741</c:v>
                </c:pt>
                <c:pt idx="186">
                  <c:v>97.011414414315936</c:v>
                </c:pt>
                <c:pt idx="187">
                  <c:v>96.995479352850495</c:v>
                </c:pt>
                <c:pt idx="188">
                  <c:v>96.973884771604673</c:v>
                </c:pt>
                <c:pt idx="189">
                  <c:v>96.946514448470182</c:v>
                </c:pt>
                <c:pt idx="190">
                  <c:v>96.913261385512385</c:v>
                </c:pt>
                <c:pt idx="191">
                  <c:v>96.874028227016851</c:v>
                </c:pt>
                <c:pt idx="192">
                  <c:v>96.828727623434332</c:v>
                </c:pt>
                <c:pt idx="193">
                  <c:v>96.77728253733801</c:v>
                </c:pt>
                <c:pt idx="194">
                  <c:v>96.719626488050181</c:v>
                </c:pt>
                <c:pt idx="195">
                  <c:v>96.655703732216836</c:v>
                </c:pt>
                <c:pt idx="196">
                  <c:v>96.585469378251361</c:v>
                </c:pt>
                <c:pt idx="197">
                  <c:v>96.508889433275755</c:v>
                </c:pt>
                <c:pt idx="198">
                  <c:v>96.425940781878225</c:v>
                </c:pt>
                <c:pt idx="199">
                  <c:v>96.33661109674722</c:v>
                </c:pt>
                <c:pt idx="200">
                  <c:v>96.240898681959479</c:v>
                </c:pt>
                <c:pt idx="201">
                  <c:v>96.138812250403191</c:v>
                </c:pt>
                <c:pt idx="202">
                  <c:v>96.030370637512732</c:v>
                </c:pt>
                <c:pt idx="203">
                  <c:v>95.915602454133989</c:v>
                </c:pt>
                <c:pt idx="204">
                  <c:v>95.794545681942282</c:v>
                </c:pt>
                <c:pt idx="205">
                  <c:v>95.667247215385132</c:v>
                </c:pt>
                <c:pt idx="206">
                  <c:v>95.533762354596718</c:v>
                </c:pt>
                <c:pt idx="207">
                  <c:v>95.394154254164349</c:v>
                </c:pt>
                <c:pt idx="208">
                  <c:v>95.248493332934046</c:v>
                </c:pt>
                <c:pt idx="209">
                  <c:v>95.096856650337088</c:v>
                </c:pt>
                <c:pt idx="210">
                  <c:v>94.939327254868559</c:v>
                </c:pt>
                <c:pt idx="211">
                  <c:v>94.775993510468965</c:v>
                </c:pt>
                <c:pt idx="212">
                  <c:v>94.606948406581196</c:v>
                </c:pt>
                <c:pt idx="213">
                  <c:v>94.432288857577873</c:v>
                </c:pt>
                <c:pt idx="214">
                  <c:v>94.252114997164497</c:v>
                </c:pt>
                <c:pt idx="215">
                  <c:v>94.066529473143675</c:v>
                </c:pt>
                <c:pt idx="216">
                  <c:v>93.875636747692624</c:v>
                </c:pt>
                <c:pt idx="217">
                  <c:v>93.679542407994546</c:v>
                </c:pt>
                <c:pt idx="218">
                  <c:v>93.478352491729964</c:v>
                </c:pt>
                <c:pt idx="219">
                  <c:v>93.272172831539052</c:v>
                </c:pt>
                <c:pt idx="220">
                  <c:v>93.061108422164779</c:v>
                </c:pt>
                <c:pt idx="221">
                  <c:v>92.84526281355781</c:v>
                </c:pt>
                <c:pt idx="222">
                  <c:v>92.62473753277294</c:v>
                </c:pt>
                <c:pt idx="223">
                  <c:v>92.399631537055868</c:v>
                </c:pt>
                <c:pt idx="224">
                  <c:v>92.170040700064106</c:v>
                </c:pt>
                <c:pt idx="225">
                  <c:v>91.936057332733185</c:v>
                </c:pt>
                <c:pt idx="226">
                  <c:v>91.697769739891356</c:v>
                </c:pt>
                <c:pt idx="227">
                  <c:v>91.455261813309789</c:v>
                </c:pt>
                <c:pt idx="228">
                  <c:v>91.208612661516042</c:v>
                </c:pt>
                <c:pt idx="229">
                  <c:v>90.957896276338587</c:v>
                </c:pt>
                <c:pt idx="230">
                  <c:v>90.703181235836752</c:v>
                </c:pt>
                <c:pt idx="231">
                  <c:v>90.444530442987883</c:v>
                </c:pt>
                <c:pt idx="232">
                  <c:v>90.182000899238574</c:v>
                </c:pt>
                <c:pt idx="233">
                  <c:v>89.915643511814537</c:v>
                </c:pt>
                <c:pt idx="234">
                  <c:v>89.645502933500879</c:v>
                </c:pt>
                <c:pt idx="235">
                  <c:v>89.371617433424447</c:v>
                </c:pt>
                <c:pt idx="236">
                  <c:v>89.094018797285472</c:v>
                </c:pt>
                <c:pt idx="237">
                  <c:v>88.812732255346575</c:v>
                </c:pt>
                <c:pt idx="238">
                  <c:v>88.527776436457842</c:v>
                </c:pt>
                <c:pt idx="239">
                  <c:v>88.239163346332802</c:v>
                </c:pt>
                <c:pt idx="240">
                  <c:v>87.946898368279335</c:v>
                </c:pt>
                <c:pt idx="241">
                  <c:v>87.650980284601985</c:v>
                </c:pt>
                <c:pt idx="242">
                  <c:v>87.351401316900294</c:v>
                </c:pt>
                <c:pt idx="243">
                  <c:v>87.048147183540053</c:v>
                </c:pt>
                <c:pt idx="244">
                  <c:v>86.741197172626727</c:v>
                </c:pt>
                <c:pt idx="245">
                  <c:v>86.43052422887142</c:v>
                </c:pt>
                <c:pt idx="246">
                  <c:v>86.11609505282243</c:v>
                </c:pt>
                <c:pt idx="247">
                  <c:v>85.797870211024318</c:v>
                </c:pt>
                <c:pt idx="248">
                  <c:v>85.475804255744322</c:v>
                </c:pt>
                <c:pt idx="249">
                  <c:v>85.149845853018533</c:v>
                </c:pt>
                <c:pt idx="250">
                  <c:v>84.819937917861168</c:v>
                </c:pt>
                <c:pt idx="251">
                  <c:v>84.486017755578686</c:v>
                </c:pt>
                <c:pt idx="252">
                  <c:v>84.14801720824255</c:v>
                </c:pt>
                <c:pt idx="253">
                  <c:v>83.805862805465594</c:v>
                </c:pt>
                <c:pt idx="254">
                  <c:v>83.459475918732124</c:v>
                </c:pt>
                <c:pt idx="255">
                  <c:v>83.108772918631715</c:v>
                </c:pt>
                <c:pt idx="256">
                  <c:v>82.753665334433279</c:v>
                </c:pt>
                <c:pt idx="257">
                  <c:v>82.394060015538415</c:v>
                </c:pt>
                <c:pt idx="258">
                  <c:v>82.029859294432185</c:v>
                </c:pt>
                <c:pt idx="259">
                  <c:v>81.66096115083937</c:v>
                </c:pt>
                <c:pt idx="260">
                  <c:v>81.287259376869471</c:v>
                </c:pt>
                <c:pt idx="261">
                  <c:v>80.908643743011893</c:v>
                </c:pt>
                <c:pt idx="262">
                  <c:v>80.525000164910637</c:v>
                </c:pt>
                <c:pt idx="263">
                  <c:v>80.136210870917537</c:v>
                </c:pt>
                <c:pt idx="264">
                  <c:v>79.742154570479983</c:v>
                </c:pt>
                <c:pt idx="265">
                  <c:v>79.342706623476332</c:v>
                </c:pt>
                <c:pt idx="266">
                  <c:v>78.937739210671111</c:v>
                </c:pt>
                <c:pt idx="267">
                  <c:v>78.527121505494236</c:v>
                </c:pt>
                <c:pt idx="268">
                  <c:v>78.110719847412284</c:v>
                </c:pt>
                <c:pt idx="269">
                  <c:v>77.688397917177653</c:v>
                </c:pt>
                <c:pt idx="270">
                  <c:v>77.260016914289636</c:v>
                </c:pt>
                <c:pt idx="271">
                  <c:v>76.825435737025444</c:v>
                </c:pt>
                <c:pt idx="272">
                  <c:v>76.384511165426943</c:v>
                </c:pt>
                <c:pt idx="273">
                  <c:v>75.937098047644881</c:v>
                </c:pt>
                <c:pt idx="274">
                  <c:v>75.483049490070357</c:v>
                </c:pt>
                <c:pt idx="275">
                  <c:v>75.022217051680002</c:v>
                </c:pt>
                <c:pt idx="276">
                  <c:v>74.554450943045396</c:v>
                </c:pt>
                <c:pt idx="277">
                  <c:v>74.079600230450097</c:v>
                </c:pt>
                <c:pt idx="278">
                  <c:v>73.597513045562167</c:v>
                </c:pt>
                <c:pt idx="279">
                  <c:v>73.108036801101761</c:v>
                </c:pt>
                <c:pt idx="280">
                  <c:v>72.611018412937668</c:v>
                </c:pt>
                <c:pt idx="281">
                  <c:v>72.106304529022893</c:v>
                </c:pt>
                <c:pt idx="282">
                  <c:v>71.593741765569817</c:v>
                </c:pt>
                <c:pt idx="283">
                  <c:v>71.073176950832689</c:v>
                </c:pt>
                <c:pt idx="284">
                  <c:v>70.544457376836135</c:v>
                </c:pt>
                <c:pt idx="285">
                  <c:v>70.007431059347098</c:v>
                </c:pt>
                <c:pt idx="286">
                  <c:v>69.461947006358187</c:v>
                </c:pt>
                <c:pt idx="287">
                  <c:v>68.907855495281396</c:v>
                </c:pt>
                <c:pt idx="288">
                  <c:v>68.345008359015807</c:v>
                </c:pt>
                <c:pt idx="289">
                  <c:v>67.773259280973193</c:v>
                </c:pt>
                <c:pt idx="290">
                  <c:v>67.192464099091367</c:v>
                </c:pt>
                <c:pt idx="291">
                  <c:v>66.60248111878272</c:v>
                </c:pt>
                <c:pt idx="292">
                  <c:v>66.003171434679928</c:v>
                </c:pt>
                <c:pt idx="293">
                  <c:v>65.394399260962714</c:v>
                </c:pt>
                <c:pt idx="294">
                  <c:v>64.776032269941524</c:v>
                </c:pt>
                <c:pt idx="295">
                  <c:v>64.1479419384831</c:v>
                </c:pt>
                <c:pt idx="296">
                  <c:v>63.510003901746586</c:v>
                </c:pt>
                <c:pt idx="297">
                  <c:v>62.862098313588206</c:v>
                </c:pt>
                <c:pt idx="298">
                  <c:v>62.204110212872251</c:v>
                </c:pt>
                <c:pt idx="299">
                  <c:v>61.535929894809456</c:v>
                </c:pt>
                <c:pt idx="300">
                  <c:v>60.857453286298508</c:v>
                </c:pt>
                <c:pt idx="301">
                  <c:v>60.168582324140033</c:v>
                </c:pt>
                <c:pt idx="302">
                  <c:v>59.469225334839066</c:v>
                </c:pt>
                <c:pt idx="303">
                  <c:v>58.759297414596062</c:v>
                </c:pt>
                <c:pt idx="304">
                  <c:v>58.03872080794514</c:v>
                </c:pt>
                <c:pt idx="305">
                  <c:v>57.307425283376801</c:v>
                </c:pt>
                <c:pt idx="306">
                  <c:v>56.56534850415791</c:v>
                </c:pt>
                <c:pt idx="307">
                  <c:v>55.812436392442095</c:v>
                </c:pt>
                <c:pt idx="308">
                  <c:v>55.04864348466613</c:v>
                </c:pt>
                <c:pt idx="309">
                  <c:v>54.273933276121454</c:v>
                </c:pt>
                <c:pt idx="310">
                  <c:v>53.488278552516334</c:v>
                </c:pt>
                <c:pt idx="311">
                  <c:v>52.691661706274601</c:v>
                </c:pt>
                <c:pt idx="312">
                  <c:v>51.884075035273781</c:v>
                </c:pt>
                <c:pt idx="313">
                  <c:v>51.065521021692931</c:v>
                </c:pt>
                <c:pt idx="314">
                  <c:v>50.23601258864899</c:v>
                </c:pt>
                <c:pt idx="315">
                  <c:v>49.395573332313802</c:v>
                </c:pt>
                <c:pt idx="316">
                  <c:v>48.544237727262384</c:v>
                </c:pt>
                <c:pt idx="317">
                  <c:v>47.682051302878634</c:v>
                </c:pt>
                <c:pt idx="318">
                  <c:v>46.809070788763364</c:v>
                </c:pt>
                <c:pt idx="319">
                  <c:v>45.925364227225884</c:v>
                </c:pt>
                <c:pt idx="320">
                  <c:v>45.031011051121894</c:v>
                </c:pt>
                <c:pt idx="321">
                  <c:v>44.126102125510187</c:v>
                </c:pt>
                <c:pt idx="322">
                  <c:v>43.210739751834879</c:v>
                </c:pt>
                <c:pt idx="323">
                  <c:v>42.285037633618884</c:v>
                </c:pt>
                <c:pt idx="324">
                  <c:v>41.349120802953365</c:v>
                </c:pt>
                <c:pt idx="325">
                  <c:v>40.403125507392659</c:v>
                </c:pt>
                <c:pt idx="326">
                  <c:v>39.447199057209033</c:v>
                </c:pt>
                <c:pt idx="327">
                  <c:v>38.481499633346559</c:v>
                </c:pt>
                <c:pt idx="328">
                  <c:v>37.506196056777469</c:v>
                </c:pt>
                <c:pt idx="329">
                  <c:v>36.52146752036866</c:v>
                </c:pt>
                <c:pt idx="330">
                  <c:v>35.527503284757799</c:v>
                </c:pt>
                <c:pt idx="331">
                  <c:v>34.524502340128535</c:v>
                </c:pt>
                <c:pt idx="332">
                  <c:v>33.512673036167044</c:v>
                </c:pt>
                <c:pt idx="333">
                  <c:v>32.492232682833531</c:v>
                </c:pt>
                <c:pt idx="334">
                  <c:v>31.463407124941511</c:v>
                </c:pt>
                <c:pt idx="335">
                  <c:v>30.426430293843367</c:v>
                </c:pt>
                <c:pt idx="336">
                  <c:v>29.381543739801344</c:v>
                </c:pt>
                <c:pt idx="337">
                  <c:v>28.328996148854316</c:v>
                </c:pt>
                <c:pt idx="338">
                  <c:v>27.269042848186871</c:v>
                </c:pt>
                <c:pt idx="339">
                  <c:v>26.201945304130646</c:v>
                </c:pt>
                <c:pt idx="340">
                  <c:v>25.127970617015194</c:v>
                </c:pt>
                <c:pt idx="341">
                  <c:v>24.047391017097482</c:v>
                </c:pt>
                <c:pt idx="342">
                  <c:v>22.960483365752111</c:v>
                </c:pt>
                <c:pt idx="343">
                  <c:v>21.867528666009974</c:v>
                </c:pt>
                <c:pt idx="344">
                  <c:v>20.768811586343077</c:v>
                </c:pt>
                <c:pt idx="345">
                  <c:v>19.664620001380456</c:v>
                </c:pt>
                <c:pt idx="346">
                  <c:v>18.555244552941929</c:v>
                </c:pt>
                <c:pt idx="347">
                  <c:v>17.440978234427348</c:v>
                </c:pt>
                <c:pt idx="348">
                  <c:v>16.322116001211555</c:v>
                </c:pt>
                <c:pt idx="349">
                  <c:v>15.198954409263337</c:v>
                </c:pt>
                <c:pt idx="350">
                  <c:v>14.071791283705693</c:v>
                </c:pt>
                <c:pt idx="351">
                  <c:v>12.940925418561307</c:v>
                </c:pt>
                <c:pt idx="352">
                  <c:v>11.80665630837089</c:v>
                </c:pt>
                <c:pt idx="353">
                  <c:v>10.669283911853427</c:v>
                </c:pt>
                <c:pt idx="354">
                  <c:v>9.5291084472134173</c:v>
                </c:pt>
                <c:pt idx="355">
                  <c:v>8.3864302181746382</c:v>
                </c:pt>
                <c:pt idx="356">
                  <c:v>7.2415494692779703</c:v>
                </c:pt>
                <c:pt idx="357">
                  <c:v>6.0947662684847899</c:v>
                </c:pt>
                <c:pt idx="358">
                  <c:v>4.946380414643329</c:v>
                </c:pt>
                <c:pt idx="359">
                  <c:v>3.7966913669435201</c:v>
                </c:pt>
                <c:pt idx="360">
                  <c:v>2.6459981930795777</c:v>
                </c:pt>
                <c:pt idx="361">
                  <c:v>1.494599532511927</c:v>
                </c:pt>
                <c:pt idx="362">
                  <c:v>0.34279357091716633</c:v>
                </c:pt>
                <c:pt idx="363">
                  <c:v>-0.80912197830630816</c:v>
                </c:pt>
                <c:pt idx="364">
                  <c:v>-1.9608498897598565</c:v>
                </c:pt>
                <c:pt idx="365">
                  <c:v>-3.1120934434031824</c:v>
                </c:pt>
                <c:pt idx="366">
                  <c:v>-4.2625564479454567</c:v>
                </c:pt>
                <c:pt idx="367">
                  <c:v>-5.4119432746669816</c:v>
                </c:pt>
                <c:pt idx="368">
                  <c:v>-6.5599589059324899</c:v>
                </c:pt>
                <c:pt idx="369">
                  <c:v>-7.7063090024960559</c:v>
                </c:pt>
                <c:pt idx="370">
                  <c:v>-8.8506999934692487</c:v>
                </c:pt>
                <c:pt idx="371">
                  <c:v>-9.9928391925264748</c:v>
                </c:pt>
                <c:pt idx="372">
                  <c:v>-11.132434943577948</c:v>
                </c:pt>
                <c:pt idx="373">
                  <c:v>-12.269196798759538</c:v>
                </c:pt>
                <c:pt idx="374">
                  <c:v>-13.402835731151839</c:v>
                </c:pt>
                <c:pt idx="375">
                  <c:v>-14.53306438418673</c:v>
                </c:pt>
                <c:pt idx="376">
                  <c:v>-15.659597359217855</c:v>
                </c:pt>
                <c:pt idx="377">
                  <c:v>-16.782151542232498</c:v>
                </c:pt>
                <c:pt idx="378">
                  <c:v>-17.900446470182032</c:v>
                </c:pt>
                <c:pt idx="379">
                  <c:v>-19.014204736905327</c:v>
                </c:pt>
                <c:pt idx="380">
                  <c:v>-20.123152438148225</c:v>
                </c:pt>
                <c:pt idx="381">
                  <c:v>-21.227019654699859</c:v>
                </c:pt>
                <c:pt idx="382">
                  <c:v>-22.325540972253918</c:v>
                </c:pt>
                <c:pt idx="383">
                  <c:v>-23.418456036195124</c:v>
                </c:pt>
                <c:pt idx="384">
                  <c:v>-24.505510139175954</c:v>
                </c:pt>
                <c:pt idx="385">
                  <c:v>-25.58645483905218</c:v>
                </c:pt>
                <c:pt idx="386">
                  <c:v>-26.661048604506902</c:v>
                </c:pt>
                <c:pt idx="387">
                  <c:v>-27.729057485538704</c:v>
                </c:pt>
                <c:pt idx="388">
                  <c:v>-28.790255805873585</c:v>
                </c:pt>
                <c:pt idx="389">
                  <c:v>-29.844426874340371</c:v>
                </c:pt>
                <c:pt idx="390">
                  <c:v>-30.891363712295657</c:v>
                </c:pt>
                <c:pt idx="391">
                  <c:v>-31.930869794291453</c:v>
                </c:pt>
                <c:pt idx="392">
                  <c:v>-32.962759799386475</c:v>
                </c:pt>
                <c:pt idx="393">
                  <c:v>-33.986860370749554</c:v>
                </c:pt>
                <c:pt idx="394">
                  <c:v>-35.003010881554133</c:v>
                </c:pt>
                <c:pt idx="395">
                  <c:v>-36.011064205552458</c:v>
                </c:pt>
                <c:pt idx="396">
                  <c:v>-37.010887491192932</c:v>
                </c:pt>
                <c:pt idx="397">
                  <c:v>-38.002362938670501</c:v>
                </c:pt>
                <c:pt idx="398">
                  <c:v>-38.985388579885438</c:v>
                </c:pt>
                <c:pt idx="399">
                  <c:v>-39.959879061923203</c:v>
                </c:pt>
                <c:pt idx="400">
                  <c:v>-40.925766435366853</c:v>
                </c:pt>
                <c:pt idx="401">
                  <c:v>-41.88300094947131</c:v>
                </c:pt>
                <c:pt idx="402">
                  <c:v>-42.831551857039926</c:v>
                </c:pt>
                <c:pt idx="403">
                  <c:v>-43.771408232642798</c:v>
                </c:pt>
                <c:pt idx="404">
                  <c:v>-44.702579808703661</c:v>
                </c:pt>
                <c:pt idx="405">
                  <c:v>-45.625097834891804</c:v>
                </c:pt>
                <c:pt idx="406">
                  <c:v>-46.539015967216102</c:v>
                </c:pt>
                <c:pt idx="407">
                  <c:v>-47.444411194234988</c:v>
                </c:pt>
                <c:pt idx="408">
                  <c:v>-48.341384808867986</c:v>
                </c:pt>
                <c:pt idx="409">
                  <c:v>-49.230063435422238</c:v>
                </c:pt>
                <c:pt idx="410">
                  <c:v>-50.110600122678051</c:v>
                </c:pt>
                <c:pt idx="411">
                  <c:v>-50.983175515159701</c:v>
                </c:pt>
                <c:pt idx="412">
                  <c:v>-51.84799911613834</c:v>
                </c:pt>
                <c:pt idx="413">
                  <c:v>-52.705310657435007</c:v>
                </c:pt>
                <c:pt idx="414">
                  <c:v>-53.555381592773742</c:v>
                </c:pt>
                <c:pt idx="415">
                  <c:v>-54.398516733271066</c:v>
                </c:pt>
                <c:pt idx="416">
                  <c:v>-55.23505604569786</c:v>
                </c:pt>
                <c:pt idx="417">
                  <c:v>-56.06537663642996</c:v>
                </c:pt>
                <c:pt idx="418">
                  <c:v>-56.889894946544956</c:v>
                </c:pt>
                <c:pt idx="419">
                  <c:v>-57.709069186393137</c:v>
                </c:pt>
                <c:pt idx="420">
                  <c:v>-58.523402041204449</c:v>
                </c:pt>
                <c:pt idx="421">
                  <c:v>-59.333443682934245</c:v>
                </c:pt>
                <c:pt idx="422">
                  <c:v>-60.139795127693432</c:v>
                </c:pt>
                <c:pt idx="423">
                  <c:v>-60.943111982793326</c:v>
                </c:pt>
                <c:pt idx="424">
                  <c:v>-61.744108632759449</c:v>
                </c:pt>
                <c:pt idx="425">
                  <c:v>-62.543562919697678</c:v>
                </c:pt>
                <c:pt idx="426">
                  <c:v>-63.342321380251249</c:v>
                </c:pt>
                <c:pt idx="427">
                  <c:v>-64.141305109142465</c:v>
                </c:pt>
                <c:pt idx="428">
                  <c:v>-64.941516328054831</c:v>
                </c:pt>
                <c:pt idx="429">
                  <c:v>-65.744045748505542</c:v>
                </c:pt>
                <c:pt idx="430">
                  <c:v>-66.550080828458434</c:v>
                </c:pt>
                <c:pt idx="431">
                  <c:v>-67.360915034826363</c:v>
                </c:pt>
                <c:pt idx="432">
                  <c:v>-68.177958237771747</c:v>
                </c:pt>
                <c:pt idx="433">
                  <c:v>-69.002748377828524</c:v>
                </c:pt>
                <c:pt idx="434">
                  <c:v>-69.836964563278386</c:v>
                </c:pt>
                <c:pt idx="435">
                  <c:v>-70.682441772674096</c:v>
                </c:pt>
                <c:pt idx="436">
                  <c:v>-71.541187355575687</c:v>
                </c:pt>
                <c:pt idx="437">
                  <c:v>-72.415399542693564</c:v>
                </c:pt>
                <c:pt idx="438">
                  <c:v>-73.307488193640779</c:v>
                </c:pt>
                <c:pt idx="439">
                  <c:v>-74.220098024641416</c:v>
                </c:pt>
                <c:pt idx="440">
                  <c:v>-75.156134567151568</c:v>
                </c:pt>
                <c:pt idx="441">
                  <c:v>-76.118793107563206</c:v>
                </c:pt>
                <c:pt idx="442">
                  <c:v>-77.111590842227542</c:v>
                </c:pt>
                <c:pt idx="443">
                  <c:v>-78.138402442662169</c:v>
                </c:pt>
                <c:pt idx="444">
                  <c:v>-79.20349915127079</c:v>
                </c:pt>
                <c:pt idx="445">
                  <c:v>-80.311591401412201</c:v>
                </c:pt>
                <c:pt idx="446">
                  <c:v>-81.467874753986536</c:v>
                </c:pt>
                <c:pt idx="447">
                  <c:v>-82.67807863360143</c:v>
                </c:pt>
                <c:pt idx="448">
                  <c:v>-83.948516887070596</c:v>
                </c:pt>
                <c:pt idx="449">
                  <c:v>-85.28613851692883</c:v>
                </c:pt>
                <c:pt idx="450">
                  <c:v>-86.698575986673646</c:v>
                </c:pt>
                <c:pt idx="451">
                  <c:v>-88.194187156376699</c:v>
                </c:pt>
                <c:pt idx="452">
                  <c:v>-89.78208507250632</c:v>
                </c:pt>
                <c:pt idx="453">
                  <c:v>-91.472147377896988</c:v>
                </c:pt>
                <c:pt idx="454">
                  <c:v>-93.274993909593192</c:v>
                </c:pt>
                <c:pt idx="455">
                  <c:v>-95.201917047936121</c:v>
                </c:pt>
                <c:pt idx="456">
                  <c:v>-97.26474463476076</c:v>
                </c:pt>
                <c:pt idx="457">
                  <c:v>-99.475610120983987</c:v>
                </c:pt>
                <c:pt idx="458">
                  <c:v>-101.8465998294791</c:v>
                </c:pt>
                <c:pt idx="459">
                  <c:v>-104.38924435908939</c:v>
                </c:pt>
                <c:pt idx="460">
                  <c:v>-107.11382276213953</c:v>
                </c:pt>
                <c:pt idx="461">
                  <c:v>-110.02845792725184</c:v>
                </c:pt>
                <c:pt idx="462">
                  <c:v>-113.138004203855</c:v>
                </c:pt>
                <c:pt idx="463">
                  <c:v>-116.44276800966634</c:v>
                </c:pt>
                <c:pt idx="464">
                  <c:v>-119.93716033823284</c:v>
                </c:pt>
                <c:pt idx="465">
                  <c:v>-123.60845115268651</c:v>
                </c:pt>
                <c:pt idx="466">
                  <c:v>-127.43586295177913</c:v>
                </c:pt>
                <c:pt idx="467">
                  <c:v>-131.39027564802626</c:v>
                </c:pt>
                <c:pt idx="468">
                  <c:v>-135.4347834533599</c:v>
                </c:pt>
                <c:pt idx="469">
                  <c:v>-139.52622449261511</c:v>
                </c:pt>
                <c:pt idx="470">
                  <c:v>-143.61760587238885</c:v>
                </c:pt>
                <c:pt idx="471">
                  <c:v>-147.66112467766789</c:v>
                </c:pt>
                <c:pt idx="472">
                  <c:v>-151.611320495966</c:v>
                </c:pt>
                <c:pt idx="473">
                  <c:v>-155.42785705219296</c:v>
                </c:pt>
                <c:pt idx="474">
                  <c:v>-159.07753624390963</c:v>
                </c:pt>
                <c:pt idx="475">
                  <c:v>-162.53535114776088</c:v>
                </c:pt>
                <c:pt idx="476">
                  <c:v>-165.78460422811949</c:v>
                </c:pt>
                <c:pt idx="477">
                  <c:v>-168.81628112375489</c:v>
                </c:pt>
                <c:pt idx="478">
                  <c:v>-171.62794619132112</c:v>
                </c:pt>
                <c:pt idx="479">
                  <c:v>-174.22242123443937</c:v>
                </c:pt>
                <c:pt idx="480">
                  <c:v>-176.60645404598259</c:v>
                </c:pt>
                <c:pt idx="481">
                  <c:v>-178.78951137451685</c:v>
                </c:pt>
                <c:pt idx="482">
                  <c:v>-180.78276480425359</c:v>
                </c:pt>
                <c:pt idx="483">
                  <c:v>-182.59828867345362</c:v>
                </c:pt>
                <c:pt idx="484">
                  <c:v>-184.24845818917836</c:v>
                </c:pt>
                <c:pt idx="485">
                  <c:v>-185.74552011042721</c:v>
                </c:pt>
                <c:pt idx="486">
                  <c:v>-187.10130308795326</c:v>
                </c:pt>
                <c:pt idx="487">
                  <c:v>-188.32703570479083</c:v>
                </c:pt>
                <c:pt idx="488">
                  <c:v>-189.4332443010652</c:v>
                </c:pt>
                <c:pt idx="489">
                  <c:v>-190.42970776632865</c:v>
                </c:pt>
                <c:pt idx="490">
                  <c:v>-191.32545150524567</c:v>
                </c:pt>
                <c:pt idx="491">
                  <c:v>-192.12876718920768</c:v>
                </c:pt>
                <c:pt idx="492">
                  <c:v>-192.84724851717164</c:v>
                </c:pt>
                <c:pt idx="493">
                  <c:v>-193.48783603520479</c:v>
                </c:pt>
                <c:pt idx="494">
                  <c:v>-194.05686620385208</c:v>
                </c:pt>
                <c:pt idx="495">
                  <c:v>-194.56012148087268</c:v>
                </c:pt>
                <c:pt idx="496">
                  <c:v>-195.00287932632989</c:v>
                </c:pt>
                <c:pt idx="497">
                  <c:v>-195.38995884353773</c:v>
                </c:pt>
                <c:pt idx="498">
                  <c:v>-195.72576432932294</c:v>
                </c:pt>
                <c:pt idx="499">
                  <c:v>-196.01432538766755</c:v>
                </c:pt>
                <c:pt idx="500">
                  <c:v>-196.13216892437595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41-4D19-9DBC-690DDB1D00CA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92.773638845367245</c:v>
                </c:pt>
                <c:pt idx="1">
                  <c:v>92.749550976358293</c:v>
                </c:pt>
                <c:pt idx="2">
                  <c:v>92.726845951469784</c:v>
                </c:pt>
                <c:pt idx="3">
                  <c:v>92.705512489547743</c:v>
                </c:pt>
                <c:pt idx="4">
                  <c:v>92.685539987687406</c:v>
                </c:pt>
                <c:pt idx="5">
                  <c:v>92.66691851656617</c:v>
                </c:pt>
                <c:pt idx="6">
                  <c:v>92.649638816060005</c:v>
                </c:pt>
                <c:pt idx="7">
                  <c:v>92.633692291144342</c:v>
                </c:pt>
                <c:pt idx="8">
                  <c:v>92.619071008079487</c:v>
                </c:pt>
                <c:pt idx="9">
                  <c:v>92.605767690881407</c:v>
                </c:pt>
                <c:pt idx="10">
                  <c:v>92.593775718077552</c:v>
                </c:pt>
                <c:pt idx="11">
                  <c:v>92.583089119748848</c:v>
                </c:pt>
                <c:pt idx="12">
                  <c:v>92.573702574857251</c:v>
                </c:pt>
                <c:pt idx="13">
                  <c:v>92.56561140885951</c:v>
                </c:pt>
                <c:pt idx="14">
                  <c:v>92.558811591607011</c:v>
                </c:pt>
                <c:pt idx="15">
                  <c:v>92.553299735532107</c:v>
                </c:pt>
                <c:pt idx="16">
                  <c:v>92.549073094120459</c:v>
                </c:pt>
                <c:pt idx="17">
                  <c:v>92.546129560670025</c:v>
                </c:pt>
                <c:pt idx="18">
                  <c:v>92.544467667336363</c:v>
                </c:pt>
                <c:pt idx="19">
                  <c:v>92.544086584464154</c:v>
                </c:pt>
                <c:pt idx="20">
                  <c:v>92.544986120205351</c:v>
                </c:pt>
                <c:pt idx="21">
                  <c:v>92.547166720423533</c:v>
                </c:pt>
                <c:pt idx="22">
                  <c:v>92.55062946888448</c:v>
                </c:pt>
                <c:pt idx="23">
                  <c:v>92.555376087733109</c:v>
                </c:pt>
                <c:pt idx="24">
                  <c:v>92.561408938256591</c:v>
                </c:pt>
                <c:pt idx="25">
                  <c:v>92.568731021933374</c:v>
                </c:pt>
                <c:pt idx="26">
                  <c:v>92.577345981768417</c:v>
                </c:pt>
                <c:pt idx="27">
                  <c:v>92.587258103914124</c:v>
                </c:pt>
                <c:pt idx="28">
                  <c:v>92.598472319577013</c:v>
                </c:pt>
                <c:pt idx="29">
                  <c:v>92.61099420720987</c:v>
                </c:pt>
                <c:pt idx="30">
                  <c:v>92.624829994989483</c:v>
                </c:pt>
                <c:pt idx="31">
                  <c:v>92.639986563579058</c:v>
                </c:pt>
                <c:pt idx="32">
                  <c:v>92.656471449175726</c:v>
                </c:pt>
                <c:pt idx="33">
                  <c:v>92.674292846842278</c:v>
                </c:pt>
                <c:pt idx="34">
                  <c:v>92.693459614123199</c:v>
                </c:pt>
                <c:pt idx="35">
                  <c:v>92.713981274943947</c:v>
                </c:pt>
                <c:pt idx="36">
                  <c:v>92.735868023793444</c:v>
                </c:pt>
                <c:pt idx="37">
                  <c:v>92.75913073018873</c:v>
                </c:pt>
                <c:pt idx="38">
                  <c:v>92.783780943421448</c:v>
                </c:pt>
                <c:pt idx="39">
                  <c:v>92.809830897584817</c:v>
                </c:pt>
                <c:pt idx="40">
                  <c:v>92.837293516880393</c:v>
                </c:pt>
                <c:pt idx="41">
                  <c:v>92.866182421203334</c:v>
                </c:pt>
                <c:pt idx="42">
                  <c:v>92.896511932005126</c:v>
                </c:pt>
                <c:pt idx="43">
                  <c:v>92.928297078431612</c:v>
                </c:pt>
                <c:pt idx="44">
                  <c:v>92.961553603735453</c:v>
                </c:pt>
                <c:pt idx="45">
                  <c:v>92.996297971960473</c:v>
                </c:pt>
                <c:pt idx="46">
                  <c:v>93.032547374895941</c:v>
                </c:pt>
                <c:pt idx="47">
                  <c:v>93.070319739298299</c:v>
                </c:pt>
                <c:pt idx="48">
                  <c:v>93.109633734377667</c:v>
                </c:pt>
                <c:pt idx="49">
                  <c:v>93.150508779545959</c:v>
                </c:pt>
                <c:pt idx="50">
                  <c:v>93.192965052423006</c:v>
                </c:pt>
                <c:pt idx="51">
                  <c:v>93.237023497097411</c:v>
                </c:pt>
                <c:pt idx="52">
                  <c:v>93.282705832637163</c:v>
                </c:pt>
                <c:pt idx="53">
                  <c:v>93.330034561845807</c:v>
                </c:pt>
                <c:pt idx="54">
                  <c:v>93.379032980258756</c:v>
                </c:pt>
                <c:pt idx="55">
                  <c:v>93.429725185374181</c:v>
                </c:pt>
                <c:pt idx="56">
                  <c:v>93.482136086111566</c:v>
                </c:pt>
                <c:pt idx="57">
                  <c:v>93.536291412491792</c:v>
                </c:pt>
                <c:pt idx="58">
                  <c:v>93.592217725530375</c:v>
                </c:pt>
                <c:pt idx="59">
                  <c:v>93.649942427335631</c:v>
                </c:pt>
                <c:pt idx="60">
                  <c:v>93.709493771402705</c:v>
                </c:pt>
                <c:pt idx="61">
                  <c:v>93.770900873093211</c:v>
                </c:pt>
                <c:pt idx="62">
                  <c:v>93.834193720289448</c:v>
                </c:pt>
                <c:pt idx="63">
                  <c:v>93.899403184211238</c:v>
                </c:pt>
                <c:pt idx="64">
                  <c:v>93.966561030382252</c:v>
                </c:pt>
                <c:pt idx="65">
                  <c:v>94.035699929731578</c:v>
                </c:pt>
                <c:pt idx="66">
                  <c:v>94.106853469814965</c:v>
                </c:pt>
                <c:pt idx="67">
                  <c:v>94.180056166139082</c:v>
                </c:pt>
                <c:pt idx="68">
                  <c:v>94.255343473570306</c:v>
                </c:pt>
                <c:pt idx="69">
                  <c:v>94.332751797808442</c:v>
                </c:pt>
                <c:pt idx="70">
                  <c:v>94.412318506903986</c:v>
                </c:pt>
                <c:pt idx="71">
                  <c:v>94.494081942795717</c:v>
                </c:pt>
                <c:pt idx="72">
                  <c:v>94.57808143284349</c:v>
                </c:pt>
                <c:pt idx="73">
                  <c:v>94.664357301329559</c:v>
                </c:pt>
                <c:pt idx="74">
                  <c:v>94.752950880899093</c:v>
                </c:pt>
                <c:pt idx="75">
                  <c:v>94.843904523908634</c:v>
                </c:pt>
                <c:pt idx="76">
                  <c:v>94.937261613648701</c:v>
                </c:pt>
                <c:pt idx="77">
                  <c:v>95.033066575404106</c:v>
                </c:pt>
                <c:pt idx="78">
                  <c:v>95.131364887313552</c:v>
                </c:pt>
                <c:pt idx="79">
                  <c:v>95.232203090985578</c:v>
                </c:pt>
                <c:pt idx="80">
                  <c:v>95.335628801826914</c:v>
                </c:pt>
                <c:pt idx="81">
                  <c:v>95.441690719034597</c:v>
                </c:pt>
                <c:pt idx="82">
                  <c:v>95.550438635199995</c:v>
                </c:pt>
                <c:pt idx="83">
                  <c:v>95.66192344546981</c:v>
                </c:pt>
                <c:pt idx="84">
                  <c:v>95.776197156204873</c:v>
                </c:pt>
                <c:pt idx="85">
                  <c:v>95.893312893073343</c:v>
                </c:pt>
                <c:pt idx="86">
                  <c:v>96.013324908510867</c:v>
                </c:pt>
                <c:pt idx="87">
                  <c:v>96.136288588475793</c:v>
                </c:pt>
                <c:pt idx="88">
                  <c:v>96.262260458422432</c:v>
                </c:pt>
                <c:pt idx="89">
                  <c:v>96.391298188410403</c:v>
                </c:pt>
                <c:pt idx="90">
                  <c:v>96.523460597263906</c:v>
                </c:pt>
                <c:pt idx="91">
                  <c:v>96.658807655685948</c:v>
                </c:pt>
                <c:pt idx="92">
                  <c:v>96.797400488232114</c:v>
                </c:pt>
                <c:pt idx="93">
                  <c:v>96.939301374036276</c:v>
                </c:pt>
                <c:pt idx="94">
                  <c:v>97.084573746179743</c:v>
                </c:pt>
                <c:pt idx="95">
                  <c:v>97.233282189584102</c:v>
                </c:pt>
                <c:pt idx="96">
                  <c:v>97.38549243730462</c:v>
                </c:pt>
                <c:pt idx="97">
                  <c:v>97.541271365091959</c:v>
                </c:pt>
                <c:pt idx="98">
                  <c:v>97.700686984082509</c:v>
                </c:pt>
                <c:pt idx="99">
                  <c:v>97.863808431470716</c:v>
                </c:pt>
                <c:pt idx="100">
                  <c:v>98.030705959008515</c:v>
                </c:pt>
                <c:pt idx="101">
                  <c:v>98.201450919167314</c:v>
                </c:pt>
                <c:pt idx="102">
                  <c:v>98.37611574879206</c:v>
                </c:pt>
                <c:pt idx="103">
                  <c:v>98.554773950065908</c:v>
                </c:pt>
                <c:pt idx="104">
                  <c:v>98.737500068595907</c:v>
                </c:pt>
                <c:pt idx="105">
                  <c:v>98.924369668421065</c:v>
                </c:pt>
                <c:pt idx="106">
                  <c:v>99.115459303734809</c:v>
                </c:pt>
                <c:pt idx="107">
                  <c:v>99.310846487104911</c:v>
                </c:pt>
                <c:pt idx="108">
                  <c:v>99.510609653963527</c:v>
                </c:pt>
                <c:pt idx="109">
                  <c:v>99.714828123131383</c:v>
                </c:pt>
                <c:pt idx="110">
                  <c:v>99.923582053131781</c:v>
                </c:pt>
                <c:pt idx="111">
                  <c:v>100.13695239403822</c:v>
                </c:pt>
                <c:pt idx="112">
                  <c:v>100.35502083459298</c:v>
                </c:pt>
                <c:pt idx="113">
                  <c:v>100.57786974432491</c:v>
                </c:pt>
                <c:pt idx="114">
                  <c:v>100.805582110385</c:v>
                </c:pt>
                <c:pt idx="115">
                  <c:v>101.03824146881331</c:v>
                </c:pt>
                <c:pt idx="116">
                  <c:v>101.27593182993874</c:v>
                </c:pt>
                <c:pt idx="117">
                  <c:v>101.51873759761507</c:v>
                </c:pt>
                <c:pt idx="118">
                  <c:v>101.76674348198189</c:v>
                </c:pt>
                <c:pt idx="119">
                  <c:v>102.02003440544227</c:v>
                </c:pt>
                <c:pt idx="120">
                  <c:v>102.27869540154254</c:v>
                </c:pt>
                <c:pt idx="121">
                  <c:v>102.54281150643787</c:v>
                </c:pt>
                <c:pt idx="122">
                  <c:v>102.81246764263099</c:v>
                </c:pt>
                <c:pt idx="123">
                  <c:v>103.0877484946689</c:v>
                </c:pt>
                <c:pt idx="124">
                  <c:v>103.36873837649031</c:v>
                </c:pt>
                <c:pt idx="125">
                  <c:v>103.65552109012266</c:v>
                </c:pt>
                <c:pt idx="126">
                  <c:v>103.94817977543741</c:v>
                </c:pt>
                <c:pt idx="127">
                  <c:v>104.24679675068212</c:v>
                </c:pt>
                <c:pt idx="128">
                  <c:v>104.55145334353011</c:v>
                </c:pt>
                <c:pt idx="129">
                  <c:v>104.86222971240153</c:v>
                </c:pt>
                <c:pt idx="130">
                  <c:v>105.17920465783756</c:v>
                </c:pt>
                <c:pt idx="131">
                  <c:v>105.50245542373479</c:v>
                </c:pt>
                <c:pt idx="132">
                  <c:v>105.83205748828441</c:v>
                </c:pt>
                <c:pt idx="133">
                  <c:v>106.16808434448983</c:v>
                </c:pt>
                <c:pt idx="134">
                  <c:v>106.51060727019008</c:v>
                </c:pt>
                <c:pt idx="135">
                  <c:v>106.85969508755649</c:v>
                </c:pt>
                <c:pt idx="136">
                  <c:v>107.21541391208741</c:v>
                </c:pt>
                <c:pt idx="137">
                  <c:v>107.5778268911902</c:v>
                </c:pt>
                <c:pt idx="138">
                  <c:v>107.9469939325014</c:v>
                </c:pt>
                <c:pt idx="139">
                  <c:v>108.32297142217291</c:v>
                </c:pt>
                <c:pt idx="140">
                  <c:v>108.7058119334343</c:v>
                </c:pt>
                <c:pt idx="141">
                  <c:v>109.09556392582438</c:v>
                </c:pt>
                <c:pt idx="142">
                  <c:v>109.49227143558498</c:v>
                </c:pt>
                <c:pt idx="143">
                  <c:v>109.89597375780768</c:v>
                </c:pt>
                <c:pt idx="144">
                  <c:v>110.30670512103251</c:v>
                </c:pt>
                <c:pt idx="145">
                  <c:v>110.72449435511309</c:v>
                </c:pt>
                <c:pt idx="146">
                  <c:v>111.14936455328231</c:v>
                </c:pt>
                <c:pt idx="147">
                  <c:v>111.58133272947612</c:v>
                </c:pt>
                <c:pt idx="148">
                  <c:v>112.02040947210509</c:v>
                </c:pt>
                <c:pt idx="149">
                  <c:v>112.46659859559493</c:v>
                </c:pt>
                <c:pt idx="150">
                  <c:v>112.91989679115535</c:v>
                </c:pt>
                <c:pt idx="151">
                  <c:v>113.38029327836887</c:v>
                </c:pt>
                <c:pt idx="152">
                  <c:v>113.84776945933666</c:v>
                </c:pt>
                <c:pt idx="153">
                  <c:v>114.32229857724347</c:v>
                </c:pt>
                <c:pt idx="154">
                  <c:v>114.80384538134481</c:v>
                </c:pt>
                <c:pt idx="155">
                  <c:v>115.29236580049984</c:v>
                </c:pt>
                <c:pt idx="156">
                  <c:v>115.78780662749449</c:v>
                </c:pt>
                <c:pt idx="157">
                  <c:v>116.29010521650663</c:v>
                </c:pt>
                <c:pt idx="158">
                  <c:v>116.79918919616273</c:v>
                </c:pt>
                <c:pt idx="159">
                  <c:v>117.31497620071598</c:v>
                </c:pt>
                <c:pt idx="160">
                  <c:v>117.83737362193783</c:v>
                </c:pt>
                <c:pt idx="161">
                  <c:v>118.36627838436326</c:v>
                </c:pt>
                <c:pt idx="162">
                  <c:v>118.90157674654571</c:v>
                </c:pt>
                <c:pt idx="163">
                  <c:v>119.44314413097689</c:v>
                </c:pt>
                <c:pt idx="164">
                  <c:v>119.99084498529481</c:v>
                </c:pt>
                <c:pt idx="165">
                  <c:v>120.54453267734267</c:v>
                </c:pt>
                <c:pt idx="166">
                  <c:v>121.10404942654654</c:v>
                </c:pt>
                <c:pt idx="167">
                  <c:v>121.66922627395854</c:v>
                </c:pt>
                <c:pt idx="168">
                  <c:v>122.23988309314964</c:v>
                </c:pt>
                <c:pt idx="169">
                  <c:v>122.81582864394503</c:v>
                </c:pt>
                <c:pt idx="170">
                  <c:v>123.39686067076525</c:v>
                </c:pt>
                <c:pt idx="171">
                  <c:v>123.9827660470762</c:v>
                </c:pt>
                <c:pt idx="172">
                  <c:v>124.57332096715339</c:v>
                </c:pt>
                <c:pt idx="173">
                  <c:v>125.16829118604352</c:v>
                </c:pt>
                <c:pt idx="174">
                  <c:v>125.76743230824781</c:v>
                </c:pt>
                <c:pt idx="175">
                  <c:v>126.37049012527754</c:v>
                </c:pt>
                <c:pt idx="176">
                  <c:v>126.97720100182556</c:v>
                </c:pt>
                <c:pt idx="177">
                  <c:v>127.58729230988411</c:v>
                </c:pt>
                <c:pt idx="178">
                  <c:v>128.20048290970985</c:v>
                </c:pt>
                <c:pt idx="179">
                  <c:v>128.81648367609898</c:v>
                </c:pt>
                <c:pt idx="180">
                  <c:v>129.43499806800236</c:v>
                </c:pt>
                <c:pt idx="181">
                  <c:v>130.05572273908206</c:v>
                </c:pt>
                <c:pt idx="182">
                  <c:v>130.67834818639363</c:v>
                </c:pt>
                <c:pt idx="183">
                  <c:v>131.30255943398049</c:v>
                </c:pt>
                <c:pt idx="184">
                  <c:v>131.92803674779827</c:v>
                </c:pt>
                <c:pt idx="185">
                  <c:v>132.5544563780474</c:v>
                </c:pt>
                <c:pt idx="186">
                  <c:v>133.18149132469028</c:v>
                </c:pt>
                <c:pt idx="187">
                  <c:v>133.8088121216704</c:v>
                </c:pt>
                <c:pt idx="188">
                  <c:v>134.4360876351451</c:v>
                </c:pt>
                <c:pt idx="189">
                  <c:v>135.06298587087502</c:v>
                </c:pt>
                <c:pt idx="190">
                  <c:v>135.68917478582131</c:v>
                </c:pt>
                <c:pt idx="191">
                  <c:v>136.31432309893913</c:v>
                </c:pt>
                <c:pt idx="192">
                  <c:v>136.93810109617436</c:v>
                </c:pt>
                <c:pt idx="193">
                  <c:v>137.56018142473232</c:v>
                </c:pt>
                <c:pt idx="194">
                  <c:v>138.18023987180283</c:v>
                </c:pt>
                <c:pt idx="195">
                  <c:v>138.79795612311312</c:v>
                </c:pt>
                <c:pt idx="196">
                  <c:v>139.41301449688626</c:v>
                </c:pt>
                <c:pt idx="197">
                  <c:v>140.02510464907391</c:v>
                </c:pt>
                <c:pt idx="198">
                  <c:v>140.63392224602666</c:v>
                </c:pt>
                <c:pt idx="199">
                  <c:v>141.23916960112763</c:v>
                </c:pt>
                <c:pt idx="200">
                  <c:v>141.8405562722852</c:v>
                </c:pt>
                <c:pt idx="201">
                  <c:v>142.43779961758673</c:v>
                </c:pt>
                <c:pt idx="202">
                  <c:v>143.03062530683789</c:v>
                </c:pt>
                <c:pt idx="203">
                  <c:v>143.6187677871377</c:v>
                </c:pt>
                <c:pt idx="204">
                  <c:v>144.20197070108108</c:v>
                </c:pt>
                <c:pt idx="205">
                  <c:v>144.77998725661342</c:v>
                </c:pt>
                <c:pt idx="206">
                  <c:v>145.35258054798101</c:v>
                </c:pt>
                <c:pt idx="207">
                  <c:v>145.91952382764933</c:v>
                </c:pt>
                <c:pt idx="208">
                  <c:v>146.4806007294373</c:v>
                </c:pt>
                <c:pt idx="209">
                  <c:v>147.0356054435083</c:v>
                </c:pt>
                <c:pt idx="210">
                  <c:v>147.58434284418402</c:v>
                </c:pt>
                <c:pt idx="211">
                  <c:v>148.1266285718838</c:v>
                </c:pt>
                <c:pt idx="212">
                  <c:v>148.66228907076658</c:v>
                </c:pt>
                <c:pt idx="213">
                  <c:v>149.19116158390383</c:v>
                </c:pt>
                <c:pt idx="214">
                  <c:v>149.71309410803795</c:v>
                </c:pt>
                <c:pt idx="215">
                  <c:v>150.22794531016044</c:v>
                </c:pt>
                <c:pt idx="216">
                  <c:v>150.73558440828685</c:v>
                </c:pt>
                <c:pt idx="217">
                  <c:v>151.23589101893276</c:v>
                </c:pt>
                <c:pt idx="218">
                  <c:v>151.72875497387128</c:v>
                </c:pt>
                <c:pt idx="219">
                  <c:v>152.21407610880291</c:v>
                </c:pt>
                <c:pt idx="220">
                  <c:v>152.69176402659821</c:v>
                </c:pt>
                <c:pt idx="221">
                  <c:v>153.16173783776449</c:v>
                </c:pt>
                <c:pt idx="222">
                  <c:v>153.62392588076409</c:v>
                </c:pt>
                <c:pt idx="223">
                  <c:v>154.07826542475965</c:v>
                </c:pt>
                <c:pt idx="224">
                  <c:v>154.52470235729237</c:v>
                </c:pt>
                <c:pt idx="225">
                  <c:v>154.96319085931646</c:v>
                </c:pt>
                <c:pt idx="226">
                  <c:v>155.39369306990858</c:v>
                </c:pt>
                <c:pt idx="227">
                  <c:v>155.81617874286476</c:v>
                </c:pt>
                <c:pt idx="228">
                  <c:v>156.23062489727099</c:v>
                </c:pt>
                <c:pt idx="229">
                  <c:v>156.63701546400867</c:v>
                </c:pt>
                <c:pt idx="230">
                  <c:v>157.0353409300244</c:v>
                </c:pt>
                <c:pt idx="231">
                  <c:v>157.42559798205295</c:v>
                </c:pt>
                <c:pt idx="232">
                  <c:v>157.80778915135241</c:v>
                </c:pt>
                <c:pt idx="233">
                  <c:v>158.1819224608623</c:v>
                </c:pt>
                <c:pt idx="234">
                  <c:v>158.54801107607773</c:v>
                </c:pt>
                <c:pt idx="235">
                  <c:v>158.90607296077721</c:v>
                </c:pt>
                <c:pt idx="236">
                  <c:v>159.25613053863825</c:v>
                </c:pt>
                <c:pt idx="237">
                  <c:v>159.59821036162998</c:v>
                </c:pt>
                <c:pt idx="238">
                  <c:v>159.93234278596844</c:v>
                </c:pt>
                <c:pt idx="239">
                  <c:v>160.25856165630046</c:v>
                </c:pt>
                <c:pt idx="240">
                  <c:v>160.57690399867695</c:v>
                </c:pt>
                <c:pt idx="241">
                  <c:v>160.88740972278251</c:v>
                </c:pt>
                <c:pt idx="242">
                  <c:v>161.19012133378845</c:v>
                </c:pt>
                <c:pt idx="243">
                  <c:v>161.48508365411632</c:v>
                </c:pt>
                <c:pt idx="244">
                  <c:v>161.77234355531849</c:v>
                </c:pt>
                <c:pt idx="245">
                  <c:v>162.05194970021097</c:v>
                </c:pt>
                <c:pt idx="246">
                  <c:v>162.32395229532747</c:v>
                </c:pt>
                <c:pt idx="247">
                  <c:v>162.58840285370786</c:v>
                </c:pt>
                <c:pt idx="248">
                  <c:v>162.84535396797776</c:v>
                </c:pt>
                <c:pt idx="249">
                  <c:v>163.09485909363252</c:v>
                </c:pt>
                <c:pt idx="250">
                  <c:v>163.33697234239685</c:v>
                </c:pt>
                <c:pt idx="251">
                  <c:v>163.57174828549452</c:v>
                </c:pt>
                <c:pt idx="252">
                  <c:v>163.79924176663388</c:v>
                </c:pt>
                <c:pt idx="253">
                  <c:v>164.01950772448706</c:v>
                </c:pt>
                <c:pt idx="254">
                  <c:v>164.2326010244191</c:v>
                </c:pt>
                <c:pt idx="255">
                  <c:v>164.43857629920706</c:v>
                </c:pt>
                <c:pt idx="256">
                  <c:v>164.63748779847168</c:v>
                </c:pt>
                <c:pt idx="257">
                  <c:v>164.8293892465359</c:v>
                </c:pt>
                <c:pt idx="258">
                  <c:v>165.0143337084163</c:v>
                </c:pt>
                <c:pt idx="259">
                  <c:v>165.19237346364611</c:v>
                </c:pt>
                <c:pt idx="260">
                  <c:v>165.36355988762847</c:v>
                </c:pt>
                <c:pt idx="261">
                  <c:v>165.52794334021601</c:v>
                </c:pt>
                <c:pt idx="262">
                  <c:v>165.68557306121528</c:v>
                </c:pt>
                <c:pt idx="263">
                  <c:v>165.83649707251706</c:v>
                </c:pt>
                <c:pt idx="264">
                  <c:v>165.98076208655857</c:v>
                </c:pt>
                <c:pt idx="265">
                  <c:v>166.11841342082948</c:v>
                </c:pt>
                <c:pt idx="266">
                  <c:v>166.24949491814041</c:v>
                </c:pt>
                <c:pt idx="267">
                  <c:v>166.37404887238117</c:v>
                </c:pt>
                <c:pt idx="268">
                  <c:v>166.49211595950533</c:v>
                </c:pt>
                <c:pt idx="269">
                  <c:v>166.60373517348583</c:v>
                </c:pt>
                <c:pt idx="270">
                  <c:v>166.70894376699906</c:v>
                </c:pt>
                <c:pt idx="271">
                  <c:v>166.80777719660293</c:v>
                </c:pt>
                <c:pt idx="272">
                  <c:v>166.9002690721891</c:v>
                </c:pt>
                <c:pt idx="273">
                  <c:v>166.98645111049694</c:v>
                </c:pt>
                <c:pt idx="274">
                  <c:v>167.06635309249296</c:v>
                </c:pt>
                <c:pt idx="275">
                  <c:v>167.14000282442802</c:v>
                </c:pt>
                <c:pt idx="276">
                  <c:v>167.20742610239935</c:v>
                </c:pt>
                <c:pt idx="277">
                  <c:v>167.26864668025499</c:v>
                </c:pt>
                <c:pt idx="278">
                  <c:v>167.3236862406919</c:v>
                </c:pt>
                <c:pt idx="279">
                  <c:v>167.37256436941058</c:v>
                </c:pt>
                <c:pt idx="280">
                  <c:v>167.41529853220246</c:v>
                </c:pt>
                <c:pt idx="281">
                  <c:v>167.45190405485744</c:v>
                </c:pt>
                <c:pt idx="282">
                  <c:v>167.48239410579325</c:v>
                </c:pt>
                <c:pt idx="283">
                  <c:v>167.50677968131896</c:v>
                </c:pt>
                <c:pt idx="284">
                  <c:v>167.52506959345891</c:v>
                </c:pt>
                <c:pt idx="285">
                  <c:v>167.53727046027387</c:v>
                </c:pt>
                <c:pt idx="286">
                  <c:v>167.54338669863196</c:v>
                </c:pt>
                <c:pt idx="287">
                  <c:v>167.54342051938977</c:v>
                </c:pt>
                <c:pt idx="288">
                  <c:v>167.53737192496038</c:v>
                </c:pt>
                <c:pt idx="289">
                  <c:v>167.52523870925512</c:v>
                </c:pt>
                <c:pt idx="290">
                  <c:v>167.5070164599984</c:v>
                </c:pt>
                <c:pt idx="291">
                  <c:v>167.48269856342932</c:v>
                </c:pt>
                <c:pt idx="292">
                  <c:v>167.45227621141254</c:v>
                </c:pt>
                <c:pt idx="293">
                  <c:v>167.41573841099634</c:v>
                </c:pt>
                <c:pt idx="294">
                  <c:v>167.37307199646679</c:v>
                </c:pt>
                <c:pt idx="295">
                  <c:v>167.32426164395989</c:v>
                </c:pt>
                <c:pt idx="296">
                  <c:v>167.26928988870458</c:v>
                </c:pt>
                <c:pt idx="297">
                  <c:v>167.20813714498476</c:v>
                </c:pt>
                <c:pt idx="298">
                  <c:v>167.14078172891686</c:v>
                </c:pt>
                <c:pt idx="299">
                  <c:v>167.06719988415747</c:v>
                </c:pt>
                <c:pt idx="300">
                  <c:v>166.98736581066115</c:v>
                </c:pt>
                <c:pt idx="301">
                  <c:v>166.90125169662801</c:v>
                </c:pt>
                <c:pt idx="302">
                  <c:v>166.80882775378748</c:v>
                </c:pt>
                <c:pt idx="303">
                  <c:v>166.71006225618157</c:v>
                </c:pt>
                <c:pt idx="304">
                  <c:v>166.604921582619</c:v>
                </c:pt>
                <c:pt idx="305">
                  <c:v>166.49337026298775</c:v>
                </c:pt>
                <c:pt idx="306">
                  <c:v>166.37537102862316</c:v>
                </c:pt>
                <c:pt idx="307">
                  <c:v>166.25088486694102</c:v>
                </c:pt>
                <c:pt idx="308">
                  <c:v>166.11987108055769</c:v>
                </c:pt>
                <c:pt idx="309">
                  <c:v>165.98228735112954</c:v>
                </c:pt>
                <c:pt idx="310">
                  <c:v>165.83808980815499</c:v>
                </c:pt>
                <c:pt idx="311">
                  <c:v>165.6872331029935</c:v>
                </c:pt>
                <c:pt idx="312">
                  <c:v>165.52967048836405</c:v>
                </c:pt>
                <c:pt idx="313">
                  <c:v>165.36535390359751</c:v>
                </c:pt>
                <c:pt idx="314">
                  <c:v>165.19423406592134</c:v>
                </c:pt>
                <c:pt idx="315">
                  <c:v>165.01626056806677</c:v>
                </c:pt>
                <c:pt idx="316">
                  <c:v>164.83138198249063</c:v>
                </c:pt>
                <c:pt idx="317">
                  <c:v>164.63954597251077</c:v>
                </c:pt>
                <c:pt idx="318">
                  <c:v>164.44069941065894</c:v>
                </c:pt>
                <c:pt idx="319">
                  <c:v>164.23478850454995</c:v>
                </c:pt>
                <c:pt idx="320">
                  <c:v>164.02175893057412</c:v>
                </c:pt>
                <c:pt idx="321">
                  <c:v>163.80155597571093</c:v>
                </c:pt>
                <c:pt idx="322">
                  <c:v>163.57412468775817</c:v>
                </c:pt>
                <c:pt idx="323">
                  <c:v>163.33941003426474</c:v>
                </c:pt>
                <c:pt idx="324">
                  <c:v>163.09735707044237</c:v>
                </c:pt>
                <c:pt idx="325">
                  <c:v>162.84791111631904</c:v>
                </c:pt>
                <c:pt idx="326">
                  <c:v>162.5910179433763</c:v>
                </c:pt>
                <c:pt idx="327">
                  <c:v>162.32662397089481</c:v>
                </c:pt>
                <c:pt idx="328">
                  <c:v>162.05467647220354</c:v>
                </c:pt>
                <c:pt idx="329">
                  <c:v>161.77512379099824</c:v>
                </c:pt>
                <c:pt idx="330">
                  <c:v>161.48791556785937</c:v>
                </c:pt>
                <c:pt idx="331">
                  <c:v>161.19300297705917</c:v>
                </c:pt>
                <c:pt idx="332">
                  <c:v>160.89033897370015</c:v>
                </c:pt>
                <c:pt idx="333">
                  <c:v>160.57987855117685</c:v>
                </c:pt>
                <c:pt idx="334">
                  <c:v>160.26157900889098</c:v>
                </c:pt>
                <c:pt idx="335">
                  <c:v>159.9354002300891</c:v>
                </c:pt>
                <c:pt idx="336">
                  <c:v>159.60130496961764</c:v>
                </c:pt>
                <c:pt idx="337">
                  <c:v>159.25925915131302</c:v>
                </c:pt>
                <c:pt idx="338">
                  <c:v>158.9092321746584</c:v>
                </c:pt>
                <c:pt idx="339">
                  <c:v>158.55119723024814</c:v>
                </c:pt>
                <c:pt idx="340">
                  <c:v>158.18513162350104</c:v>
                </c:pt>
                <c:pt idx="341">
                  <c:v>157.81101710595738</c:v>
                </c:pt>
                <c:pt idx="342">
                  <c:v>157.42884021338426</c:v>
                </c:pt>
                <c:pt idx="343">
                  <c:v>157.03859260979482</c:v>
                </c:pt>
                <c:pt idx="344">
                  <c:v>156.64027143636304</c:v>
                </c:pt>
                <c:pt idx="345">
                  <c:v>156.2338796640887</c:v>
                </c:pt>
                <c:pt idx="346">
                  <c:v>155.81942644893593</c:v>
                </c:pt>
                <c:pt idx="347">
                  <c:v>155.39692748802793</c:v>
                </c:pt>
                <c:pt idx="348">
                  <c:v>154.96640537535259</c:v>
                </c:pt>
                <c:pt idx="349">
                  <c:v>154.52788995528974</c:v>
                </c:pt>
                <c:pt idx="350">
                  <c:v>154.08141867213536</c:v>
                </c:pt>
                <c:pt idx="351">
                  <c:v>153.62703691367</c:v>
                </c:pt>
                <c:pt idx="352">
                  <c:v>153.16479834668331</c:v>
                </c:pt>
                <c:pt idx="353">
                  <c:v>152.69476524225158</c:v>
                </c:pt>
                <c:pt idx="354">
                  <c:v>152.21700878844982</c:v>
                </c:pt>
                <c:pt idx="355">
                  <c:v>151.73160938807996</c:v>
                </c:pt>
                <c:pt idx="356">
                  <c:v>151.23865693891142</c:v>
                </c:pt>
                <c:pt idx="357">
                  <c:v>150.73825109385893</c:v>
                </c:pt>
                <c:pt idx="358">
                  <c:v>150.23050149847532</c:v>
                </c:pt>
                <c:pt idx="359">
                  <c:v>149.71552800310351</c:v>
                </c:pt>
                <c:pt idx="360">
                  <c:v>149.19346084703213</c:v>
                </c:pt>
                <c:pt idx="361">
                  <c:v>148.66444081201848</c:v>
                </c:pt>
                <c:pt idx="362">
                  <c:v>148.1286193425976</c:v>
                </c:pt>
                <c:pt idx="363">
                  <c:v>147.58615863066905</c:v>
                </c:pt>
                <c:pt idx="364">
                  <c:v>147.03723166198523</c:v>
                </c:pt>
                <c:pt idx="365">
                  <c:v>146.48202222228718</c:v>
                </c:pt>
                <c:pt idx="366">
                  <c:v>145.9207248610463</c:v>
                </c:pt>
                <c:pt idx="367">
                  <c:v>145.35354481095871</c:v>
                </c:pt>
                <c:pt idx="368">
                  <c:v>144.78069786161291</c:v>
                </c:pt>
                <c:pt idx="369">
                  <c:v>144.20241018601928</c:v>
                </c:pt>
                <c:pt idx="370">
                  <c:v>143.61891811901927</c:v>
                </c:pt>
                <c:pt idx="371">
                  <c:v>143.03046788692728</c:v>
                </c:pt>
                <c:pt idx="372">
                  <c:v>142.43731528813541</c:v>
                </c:pt>
                <c:pt idx="373">
                  <c:v>141.83972532480374</c:v>
                </c:pt>
                <c:pt idx="374">
                  <c:v>141.23797178617383</c:v>
                </c:pt>
                <c:pt idx="375">
                  <c:v>140.63233678446471</c:v>
                </c:pt>
                <c:pt idx="376">
                  <c:v>140.02311024474966</c:v>
                </c:pt>
                <c:pt idx="377">
                  <c:v>139.41058935064137</c:v>
                </c:pt>
                <c:pt idx="378">
                  <c:v>138.79507794805346</c:v>
                </c:pt>
                <c:pt idx="379">
                  <c:v>138.17688590971983</c:v>
                </c:pt>
                <c:pt idx="380">
                  <c:v>137.55632846355797</c:v>
                </c:pt>
                <c:pt idx="381">
                  <c:v>136.9337254883481</c:v>
                </c:pt>
                <c:pt idx="382">
                  <c:v>136.30940078053919</c:v>
                </c:pt>
                <c:pt idx="383">
                  <c:v>135.68368129632012</c:v>
                </c:pt>
                <c:pt idx="384">
                  <c:v>135.05689637335399</c:v>
                </c:pt>
                <c:pt idx="385">
                  <c:v>134.42937693680568</c:v>
                </c:pt>
                <c:pt idx="386">
                  <c:v>133.8014546944743</c:v>
                </c:pt>
                <c:pt idx="387">
                  <c:v>133.17346132594957</c:v>
                </c:pt>
                <c:pt idx="388">
                  <c:v>132.54572767079611</c:v>
                </c:pt>
                <c:pt idx="389">
                  <c:v>131.91858292076626</c:v>
                </c:pt>
                <c:pt idx="390">
                  <c:v>131.29235382100094</c:v>
                </c:pt>
                <c:pt idx="391">
                  <c:v>130.66736388507596</c:v>
                </c:pt>
                <c:pt idx="392">
                  <c:v>130.04393262858792</c:v>
                </c:pt>
                <c:pt idx="393">
                  <c:v>129.42237482577556</c:v>
                </c:pt>
                <c:pt idx="394">
                  <c:v>128.80299979340029</c:v>
                </c:pt>
                <c:pt idx="395">
                  <c:v>128.18611070582733</c:v>
                </c:pt>
                <c:pt idx="396">
                  <c:v>127.5720039448974</c:v>
                </c:pt>
                <c:pt idx="397">
                  <c:v>126.96096848781758</c:v>
                </c:pt>
                <c:pt idx="398">
                  <c:v>126.35328533589663</c:v>
                </c:pt>
                <c:pt idx="399">
                  <c:v>125.74922698654379</c:v>
                </c:pt>
                <c:pt idx="400">
                  <c:v>125.14905695051036</c:v>
                </c:pt>
                <c:pt idx="401">
                  <c:v>124.55302931593086</c:v>
                </c:pt>
                <c:pt idx="402">
                  <c:v>123.96138836027333</c:v>
                </c:pt>
                <c:pt idx="403">
                  <c:v>123.37436821088444</c:v>
                </c:pt>
                <c:pt idx="404">
                  <c:v>122.792192554401</c:v>
                </c:pt>
                <c:pt idx="405">
                  <c:v>122.21507439488828</c:v>
                </c:pt>
                <c:pt idx="406">
                  <c:v>121.64321586019474</c:v>
                </c:pt>
                <c:pt idx="407">
                  <c:v>121.07680805565127</c:v>
                </c:pt>
                <c:pt idx="408">
                  <c:v>120.51603096391798</c:v>
                </c:pt>
                <c:pt idx="409">
                  <c:v>119.96105338949073</c:v>
                </c:pt>
                <c:pt idx="410">
                  <c:v>119.41203294610415</c:v>
                </c:pt>
                <c:pt idx="411">
                  <c:v>118.86911608505233</c:v>
                </c:pt>
                <c:pt idx="412">
                  <c:v>118.33243816224513</c:v>
                </c:pt>
                <c:pt idx="413">
                  <c:v>117.80212354166031</c:v>
                </c:pt>
                <c:pt idx="414">
                  <c:v>117.27828573272551</c:v>
                </c:pt>
                <c:pt idx="415">
                  <c:v>116.76102755906919</c:v>
                </c:pt>
                <c:pt idx="416">
                  <c:v>116.25044135602241</c:v>
                </c:pt>
                <c:pt idx="417">
                  <c:v>115.74660919421248</c:v>
                </c:pt>
                <c:pt idx="418">
                  <c:v>115.24960312659408</c:v>
                </c:pt>
                <c:pt idx="419">
                  <c:v>114.75948545627649</c:v>
                </c:pt>
                <c:pt idx="420">
                  <c:v>114.27630902255213</c:v>
                </c:pt>
                <c:pt idx="421">
                  <c:v>113.80011750259428</c:v>
                </c:pt>
                <c:pt idx="422">
                  <c:v>113.33094572637067</c:v>
                </c:pt>
                <c:pt idx="423">
                  <c:v>112.86882000241896</c:v>
                </c:pt>
                <c:pt idx="424">
                  <c:v>112.41375845223401</c:v>
                </c:pt>
                <c:pt idx="425">
                  <c:v>111.96577135113867</c:v>
                </c:pt>
                <c:pt idx="426">
                  <c:v>111.52486147363366</c:v>
                </c:pt>
                <c:pt idx="427">
                  <c:v>111.09102444135409</c:v>
                </c:pt>
                <c:pt idx="428">
                  <c:v>110.66424907189696</c:v>
                </c:pt>
                <c:pt idx="429">
                  <c:v>110.24451772691829</c:v>
                </c:pt>
                <c:pt idx="430">
                  <c:v>109.8318066580381</c:v>
                </c:pt>
                <c:pt idx="431">
                  <c:v>109.42608634922577</c:v>
                </c:pt>
                <c:pt idx="432">
                  <c:v>109.02732185447348</c:v>
                </c:pt>
                <c:pt idx="433">
                  <c:v>108.63547312969364</c:v>
                </c:pt>
                <c:pt idx="434">
                  <c:v>108.25049535790122</c:v>
                </c:pt>
                <c:pt idx="435">
                  <c:v>107.87233926686572</c:v>
                </c:pt>
                <c:pt idx="436">
                  <c:v>107.5009514385263</c:v>
                </c:pt>
                <c:pt idx="437">
                  <c:v>107.13627460957565</c:v>
                </c:pt>
                <c:pt idx="438">
                  <c:v>106.77824796271989</c:v>
                </c:pt>
                <c:pt idx="439">
                  <c:v>106.4268074082119</c:v>
                </c:pt>
                <c:pt idx="440">
                  <c:v>106.08188585535031</c:v>
                </c:pt>
                <c:pt idx="441">
                  <c:v>105.74341347371167</c:v>
                </c:pt>
                <c:pt idx="442">
                  <c:v>105.41131794395884</c:v>
                </c:pt>
                <c:pt idx="443">
                  <c:v>105.08552469813955</c:v>
                </c:pt>
                <c:pt idx="444">
                  <c:v>104.76595714944531</c:v>
                </c:pt>
                <c:pt idx="445">
                  <c:v>104.45253691145898</c:v>
                </c:pt>
                <c:pt idx="446">
                  <c:v>104.14518400696625</c:v>
                </c:pt>
                <c:pt idx="447">
                  <c:v>103.8438170664525</c:v>
                </c:pt>
                <c:pt idx="448">
                  <c:v>103.54835351643924</c:v>
                </c:pt>
                <c:pt idx="449">
                  <c:v>103.25870975785337</c:v>
                </c:pt>
                <c:pt idx="450">
                  <c:v>102.9748013346459</c:v>
                </c:pt>
                <c:pt idx="451">
                  <c:v>102.69654309290178</c:v>
                </c:pt>
                <c:pt idx="452">
                  <c:v>102.42384933070518</c:v>
                </c:pt>
                <c:pt idx="453">
                  <c:v>102.15663393903603</c:v>
                </c:pt>
                <c:pt idx="454">
                  <c:v>101.89481053398946</c:v>
                </c:pt>
                <c:pt idx="455">
                  <c:v>101.63829258062046</c:v>
                </c:pt>
                <c:pt idx="456">
                  <c:v>101.38699350871887</c:v>
                </c:pt>
                <c:pt idx="457">
                  <c:v>101.14082682082847</c:v>
                </c:pt>
                <c:pt idx="458">
                  <c:v>100.89970619282538</c:v>
                </c:pt>
                <c:pt idx="459">
                  <c:v>100.66354556736837</c:v>
                </c:pt>
                <c:pt idx="460">
                  <c:v>100.43225924053741</c:v>
                </c:pt>
                <c:pt idx="461">
                  <c:v>100.20576194196873</c:v>
                </c:pt>
                <c:pt idx="462">
                  <c:v>99.983968908794779</c:v>
                </c:pt>
                <c:pt idx="463">
                  <c:v>99.766795953688643</c:v>
                </c:pt>
                <c:pt idx="464">
                  <c:v>99.554159527309452</c:v>
                </c:pt>
                <c:pt idx="465">
                  <c:v>99.345976775435247</c:v>
                </c:pt>
                <c:pt idx="466">
                  <c:v>99.142165591064511</c:v>
                </c:pt>
                <c:pt idx="467">
                  <c:v>98.942644661758379</c:v>
                </c:pt>
                <c:pt idx="468">
                  <c:v>98.74733351248544</c:v>
                </c:pt>
                <c:pt idx="469">
                  <c:v>98.556152544225739</c:v>
                </c:pt>
                <c:pt idx="470">
                  <c:v>98.369023068577036</c:v>
                </c:pt>
                <c:pt idx="471">
                  <c:v>98.185867338600985</c:v>
                </c:pt>
                <c:pt idx="472">
                  <c:v>98.00660857613417</c:v>
                </c:pt>
                <c:pt idx="473">
                  <c:v>97.831170995782188</c:v>
                </c:pt>
                <c:pt idx="474">
                  <c:v>97.659479825804198</c:v>
                </c:pt>
                <c:pt idx="475">
                  <c:v>97.491461326085798</c:v>
                </c:pt>
                <c:pt idx="476">
                  <c:v>97.327042803390697</c:v>
                </c:pt>
                <c:pt idx="477">
                  <c:v>97.166152624070776</c:v>
                </c:pt>
                <c:pt idx="478">
                  <c:v>97.008720224406403</c:v>
                </c:pt>
                <c:pt idx="479">
                  <c:v>96.854676118739462</c:v>
                </c:pt>
                <c:pt idx="480">
                  <c:v>96.703951905555385</c:v>
                </c:pt>
                <c:pt idx="481">
                  <c:v>96.556480271659268</c:v>
                </c:pt>
                <c:pt idx="482">
                  <c:v>96.412194994585903</c:v>
                </c:pt>
                <c:pt idx="483">
                  <c:v>96.271030943374555</c:v>
                </c:pt>
                <c:pt idx="484">
                  <c:v>96.132924077833337</c:v>
                </c:pt>
                <c:pt idx="485">
                  <c:v>95.997811446409557</c:v>
                </c:pt>
                <c:pt idx="486">
                  <c:v>95.865631182777491</c:v>
                </c:pt>
                <c:pt idx="487">
                  <c:v>95.736322501246192</c:v>
                </c:pt>
                <c:pt idx="488">
                  <c:v>95.609825691087039</c:v>
                </c:pt>
                <c:pt idx="489">
                  <c:v>95.486082109872157</c:v>
                </c:pt>
                <c:pt idx="490">
                  <c:v>95.365034175910083</c:v>
                </c:pt>
                <c:pt idx="491">
                  <c:v>95.246625359860687</c:v>
                </c:pt>
                <c:pt idx="492">
                  <c:v>95.130800175604648</c:v>
                </c:pt>
                <c:pt idx="493">
                  <c:v>95.017504170439523</c:v>
                </c:pt>
                <c:pt idx="494">
                  <c:v>94.90668391466923</c:v>
                </c:pt>
                <c:pt idx="495">
                  <c:v>94.798286990648535</c:v>
                </c:pt>
                <c:pt idx="496">
                  <c:v>94.692261981341986</c:v>
                </c:pt>
                <c:pt idx="497">
                  <c:v>94.588558458451459</c:v>
                </c:pt>
                <c:pt idx="498">
                  <c:v>94.487126970162521</c:v>
                </c:pt>
                <c:pt idx="499">
                  <c:v>94.387919028558187</c:v>
                </c:pt>
                <c:pt idx="500">
                  <c:v>94.290887096743006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41-4D19-9DBC-690DDB1D00CA}"/>
            </c:ext>
          </c:extLst>
        </c:ser>
        <c:ser>
          <c:idx val="1"/>
          <c:order val="7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Signal'!$K$511:$K$612</c:f>
              <c:numCache>
                <c:formatCode>General</c:formatCode>
                <c:ptCount val="102"/>
                <c:pt idx="0">
                  <c:v>174.03</c:v>
                </c:pt>
                <c:pt idx="1">
                  <c:v>10.471</c:v>
                </c:pt>
                <c:pt idx="2">
                  <c:v>156.11000000000001</c:v>
                </c:pt>
                <c:pt idx="3">
                  <c:v>-168.2</c:v>
                </c:pt>
                <c:pt idx="4">
                  <c:v>173.51</c:v>
                </c:pt>
                <c:pt idx="5">
                  <c:v>139.72999999999999</c:v>
                </c:pt>
                <c:pt idx="6">
                  <c:v>136.25</c:v>
                </c:pt>
                <c:pt idx="7">
                  <c:v>127.18</c:v>
                </c:pt>
                <c:pt idx="8">
                  <c:v>123.47</c:v>
                </c:pt>
                <c:pt idx="9">
                  <c:v>118.43</c:v>
                </c:pt>
                <c:pt idx="10">
                  <c:v>113.19</c:v>
                </c:pt>
                <c:pt idx="11">
                  <c:v>107.02</c:v>
                </c:pt>
                <c:pt idx="12">
                  <c:v>106.26</c:v>
                </c:pt>
                <c:pt idx="13">
                  <c:v>104.03</c:v>
                </c:pt>
                <c:pt idx="14">
                  <c:v>103.26</c:v>
                </c:pt>
                <c:pt idx="15">
                  <c:v>103.39</c:v>
                </c:pt>
                <c:pt idx="16">
                  <c:v>103.34</c:v>
                </c:pt>
                <c:pt idx="17">
                  <c:v>104.35</c:v>
                </c:pt>
                <c:pt idx="18">
                  <c:v>105.57</c:v>
                </c:pt>
                <c:pt idx="19">
                  <c:v>106.78</c:v>
                </c:pt>
                <c:pt idx="20">
                  <c:v>106.81</c:v>
                </c:pt>
                <c:pt idx="21">
                  <c:v>105.07</c:v>
                </c:pt>
                <c:pt idx="22">
                  <c:v>101.35</c:v>
                </c:pt>
                <c:pt idx="23">
                  <c:v>96.534999999999997</c:v>
                </c:pt>
                <c:pt idx="24">
                  <c:v>92.039000000000001</c:v>
                </c:pt>
                <c:pt idx="25">
                  <c:v>88.516999999999996</c:v>
                </c:pt>
                <c:pt idx="26">
                  <c:v>85.623999999999995</c:v>
                </c:pt>
                <c:pt idx="27">
                  <c:v>83.033000000000001</c:v>
                </c:pt>
                <c:pt idx="28">
                  <c:v>80.275000000000006</c:v>
                </c:pt>
                <c:pt idx="29">
                  <c:v>77.093000000000004</c:v>
                </c:pt>
                <c:pt idx="30">
                  <c:v>73.228999999999999</c:v>
                </c:pt>
                <c:pt idx="31">
                  <c:v>68.453999999999994</c:v>
                </c:pt>
                <c:pt idx="32">
                  <c:v>63.189</c:v>
                </c:pt>
                <c:pt idx="33">
                  <c:v>56.701000000000001</c:v>
                </c:pt>
                <c:pt idx="34">
                  <c:v>48.667000000000002</c:v>
                </c:pt>
                <c:pt idx="35">
                  <c:v>39.034999999999997</c:v>
                </c:pt>
                <c:pt idx="36">
                  <c:v>27.765000000000001</c:v>
                </c:pt>
                <c:pt idx="37">
                  <c:v>15.042999999999999</c:v>
                </c:pt>
                <c:pt idx="38">
                  <c:v>-1.2692000000000001</c:v>
                </c:pt>
                <c:pt idx="39">
                  <c:v>-16.631</c:v>
                </c:pt>
                <c:pt idx="40">
                  <c:v>-32.988999999999997</c:v>
                </c:pt>
                <c:pt idx="41">
                  <c:v>-50.472999999999999</c:v>
                </c:pt>
                <c:pt idx="42">
                  <c:v>-69.144000000000005</c:v>
                </c:pt>
                <c:pt idx="43">
                  <c:v>-89.822000000000003</c:v>
                </c:pt>
                <c:pt idx="44">
                  <c:v>-113.72</c:v>
                </c:pt>
                <c:pt idx="45">
                  <c:v>-145.29</c:v>
                </c:pt>
                <c:pt idx="46">
                  <c:v>176.66</c:v>
                </c:pt>
                <c:pt idx="47">
                  <c:v>-165.65</c:v>
                </c:pt>
                <c:pt idx="48">
                  <c:v>-88.369</c:v>
                </c:pt>
                <c:pt idx="49">
                  <c:v>-95.198999999999998</c:v>
                </c:pt>
                <c:pt idx="50">
                  <c:v>-97.18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41-4D19-9DBC-690DDB1D00CA}"/>
            </c:ext>
          </c:extLst>
        </c:ser>
        <c:ser>
          <c:idx val="9"/>
          <c:order val="9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Signal'!$O$511:$O$612</c:f>
              <c:numCache>
                <c:formatCode>General</c:formatCode>
                <c:ptCount val="102"/>
                <c:pt idx="0">
                  <c:v>0.85629999999999995</c:v>
                </c:pt>
                <c:pt idx="1">
                  <c:v>0.83806000000000003</c:v>
                </c:pt>
                <c:pt idx="2">
                  <c:v>-1.2109000000000001</c:v>
                </c:pt>
                <c:pt idx="3">
                  <c:v>-0.48448999999999998</c:v>
                </c:pt>
                <c:pt idx="4">
                  <c:v>-0.98385999999999996</c:v>
                </c:pt>
                <c:pt idx="5">
                  <c:v>0.32150000000000001</c:v>
                </c:pt>
                <c:pt idx="6">
                  <c:v>-0.60572000000000004</c:v>
                </c:pt>
                <c:pt idx="7">
                  <c:v>-1.2511000000000001</c:v>
                </c:pt>
                <c:pt idx="8">
                  <c:v>-0.94950999999999997</c:v>
                </c:pt>
                <c:pt idx="9">
                  <c:v>-1.4977</c:v>
                </c:pt>
                <c:pt idx="10">
                  <c:v>-2.1703000000000001</c:v>
                </c:pt>
                <c:pt idx="11">
                  <c:v>-2.3035999999999999</c:v>
                </c:pt>
                <c:pt idx="12">
                  <c:v>-3.1655000000000002</c:v>
                </c:pt>
                <c:pt idx="13">
                  <c:v>-3.6356999999999999</c:v>
                </c:pt>
                <c:pt idx="14">
                  <c:v>-4.6921999999999997</c:v>
                </c:pt>
                <c:pt idx="15">
                  <c:v>-5.5035999999999996</c:v>
                </c:pt>
                <c:pt idx="16">
                  <c:v>-6.8949999999999996</c:v>
                </c:pt>
                <c:pt idx="17">
                  <c:v>-8.4138999999999999</c:v>
                </c:pt>
                <c:pt idx="18">
                  <c:v>-10.231999999999999</c:v>
                </c:pt>
                <c:pt idx="19">
                  <c:v>-13.294</c:v>
                </c:pt>
                <c:pt idx="20">
                  <c:v>-18.077000000000002</c:v>
                </c:pt>
                <c:pt idx="21">
                  <c:v>-25.614000000000001</c:v>
                </c:pt>
                <c:pt idx="22">
                  <c:v>-35.216999999999999</c:v>
                </c:pt>
                <c:pt idx="23">
                  <c:v>-46.118000000000002</c:v>
                </c:pt>
                <c:pt idx="24">
                  <c:v>-56.924999999999997</c:v>
                </c:pt>
                <c:pt idx="25">
                  <c:v>-65.897000000000006</c:v>
                </c:pt>
                <c:pt idx="26">
                  <c:v>-73.241</c:v>
                </c:pt>
                <c:pt idx="27">
                  <c:v>-79.396000000000001</c:v>
                </c:pt>
                <c:pt idx="28">
                  <c:v>-84.641000000000005</c:v>
                </c:pt>
                <c:pt idx="29">
                  <c:v>-89.700999999999993</c:v>
                </c:pt>
                <c:pt idx="30">
                  <c:v>-94.709000000000003</c:v>
                </c:pt>
                <c:pt idx="31">
                  <c:v>-99.733000000000004</c:v>
                </c:pt>
                <c:pt idx="32">
                  <c:v>-105.45</c:v>
                </c:pt>
                <c:pt idx="33">
                  <c:v>-111.88</c:v>
                </c:pt>
                <c:pt idx="34">
                  <c:v>-118.42</c:v>
                </c:pt>
                <c:pt idx="35">
                  <c:v>-126.06</c:v>
                </c:pt>
                <c:pt idx="36">
                  <c:v>-133.94999999999999</c:v>
                </c:pt>
                <c:pt idx="37">
                  <c:v>-142.86000000000001</c:v>
                </c:pt>
                <c:pt idx="38">
                  <c:v>-151.83000000000001</c:v>
                </c:pt>
                <c:pt idx="39">
                  <c:v>-161.02000000000001</c:v>
                </c:pt>
                <c:pt idx="40">
                  <c:v>-169.62</c:v>
                </c:pt>
                <c:pt idx="41">
                  <c:v>-179.77</c:v>
                </c:pt>
                <c:pt idx="42">
                  <c:v>169.67</c:v>
                </c:pt>
                <c:pt idx="43">
                  <c:v>156.46</c:v>
                </c:pt>
                <c:pt idx="44">
                  <c:v>139.71</c:v>
                </c:pt>
                <c:pt idx="45">
                  <c:v>112.86</c:v>
                </c:pt>
                <c:pt idx="46">
                  <c:v>73.507000000000005</c:v>
                </c:pt>
                <c:pt idx="47">
                  <c:v>30.117999999999999</c:v>
                </c:pt>
                <c:pt idx="48">
                  <c:v>-3.9874999999999998</c:v>
                </c:pt>
                <c:pt idx="49">
                  <c:v>159.97</c:v>
                </c:pt>
                <c:pt idx="50">
                  <c:v>91.450999999999993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41-4D19-9DBC-690DDB1D00CA}"/>
            </c:ext>
          </c:extLst>
        </c:ser>
        <c:ser>
          <c:idx val="11"/>
          <c:order val="11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Signal'!$S$511:$S$612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696288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96288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40847-69AC-4C07-967A-A58690C9A8F4}">
  <sheetPr/>
  <sheetViews>
    <sheetView zoomScale="12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19</xdr:row>
          <xdr:rowOff>9525</xdr:rowOff>
        </xdr:from>
        <xdr:to>
          <xdr:col>7</xdr:col>
          <xdr:colOff>6477000</xdr:colOff>
          <xdr:row>38</xdr:row>
          <xdr:rowOff>209550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1000125</xdr:colOff>
      <xdr:row>38</xdr:row>
      <xdr:rowOff>133350</xdr:rowOff>
    </xdr:to>
    <xdr:graphicFrame macro="">
      <xdr:nvGraphicFramePr>
        <xdr:cNvPr id="31356" name="Chart 11">
          <a:extLst>
            <a:ext uri="{FF2B5EF4-FFF2-40B4-BE49-F238E27FC236}">
              <a16:creationId xmlns:a16="http://schemas.microsoft.com/office/drawing/2014/main" id="{AC4938EE-623D-BA64-DB2C-1C50470B4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B8609-A039-5974-DD8E-A58019510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.com/lit/ds/symlink/tps43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4C51-4686-43AC-B058-DE16A4B499B6}">
  <dimension ref="B1:R32"/>
  <sheetViews>
    <sheetView workbookViewId="0">
      <selection activeCell="C5" sqref="C5"/>
    </sheetView>
  </sheetViews>
  <sheetFormatPr defaultRowHeight="12.75" x14ac:dyDescent="0.2"/>
  <cols>
    <col min="1" max="16384" width="9.140625" style="1"/>
  </cols>
  <sheetData>
    <row r="1" spans="2:18" ht="13.5" thickBot="1" x14ac:dyDescent="0.25"/>
    <row r="2" spans="2:18" ht="13.5" thickTop="1" x14ac:dyDescent="0.2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2:18" x14ac:dyDescent="0.2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x14ac:dyDescent="0.2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60" t="s">
        <v>103</v>
      </c>
      <c r="Q4" s="52"/>
      <c r="R4" s="53"/>
    </row>
    <row r="5" spans="2:18" ht="30" x14ac:dyDescent="0.4">
      <c r="B5" s="54"/>
      <c r="C5" s="55" t="s">
        <v>314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2:18" ht="20.25" x14ac:dyDescent="0.3">
      <c r="B6" s="57"/>
      <c r="C6" s="58" t="s">
        <v>459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</row>
    <row r="7" spans="2:18" x14ac:dyDescent="0.2">
      <c r="B7" s="51"/>
      <c r="C7" s="117" t="s">
        <v>348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spans="2:18" x14ac:dyDescent="0.2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18" x14ac:dyDescent="0.2">
      <c r="B9" s="51"/>
      <c r="C9" s="52" t="s">
        <v>93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</row>
    <row r="10" spans="2:18" x14ac:dyDescent="0.2">
      <c r="B10" s="51"/>
      <c r="C10" s="52" t="s">
        <v>94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</row>
    <row r="11" spans="2:18" x14ac:dyDescent="0.2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2:18" x14ac:dyDescent="0.2">
      <c r="B12" s="51"/>
      <c r="C12" s="60" t="s">
        <v>457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</row>
    <row r="13" spans="2:18" x14ac:dyDescent="0.2">
      <c r="B13" s="51"/>
      <c r="C13" s="60" t="s">
        <v>340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</row>
    <row r="14" spans="2:18" x14ac:dyDescent="0.2">
      <c r="B14" s="51"/>
      <c r="C14" s="61" t="s">
        <v>95</v>
      </c>
      <c r="D14" s="61"/>
      <c r="E14" s="61"/>
      <c r="F14" s="6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</row>
    <row r="15" spans="2:18" x14ac:dyDescent="0.2">
      <c r="B15" s="51"/>
      <c r="C15" s="61"/>
      <c r="D15" s="61"/>
      <c r="E15" s="61"/>
      <c r="F15" s="61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</row>
    <row r="16" spans="2:18" x14ac:dyDescent="0.2">
      <c r="B16" s="51"/>
      <c r="C16" s="52" t="s">
        <v>101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</row>
    <row r="17" spans="2:18" ht="13.5" thickBot="1" x14ac:dyDescent="0.25">
      <c r="B17" s="51"/>
      <c r="C17" s="60" t="s">
        <v>458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</row>
    <row r="18" spans="2:18" x14ac:dyDescent="0.2">
      <c r="B18" s="51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4"/>
      <c r="N18" s="52"/>
      <c r="O18" s="52"/>
      <c r="P18" s="52"/>
      <c r="Q18" s="52"/>
      <c r="R18" s="53"/>
    </row>
    <row r="19" spans="2:18" ht="15.75" x14ac:dyDescent="0.25">
      <c r="B19" s="51"/>
      <c r="C19" s="65"/>
      <c r="D19" s="66" t="s">
        <v>96</v>
      </c>
      <c r="E19" s="52"/>
      <c r="F19" s="52"/>
      <c r="G19" s="52"/>
      <c r="H19" s="52"/>
      <c r="I19" s="52"/>
      <c r="J19" s="52"/>
      <c r="K19" s="52"/>
      <c r="L19" s="52"/>
      <c r="M19" s="67"/>
      <c r="N19" s="52"/>
      <c r="O19" s="52"/>
      <c r="P19" s="52"/>
      <c r="Q19" s="52"/>
      <c r="R19" s="53"/>
    </row>
    <row r="20" spans="2:18" x14ac:dyDescent="0.2">
      <c r="B20" s="51"/>
      <c r="C20" s="65"/>
      <c r="D20" s="52" t="s">
        <v>97</v>
      </c>
      <c r="E20" s="52"/>
      <c r="F20" s="52"/>
      <c r="G20" s="52"/>
      <c r="H20" s="52"/>
      <c r="I20" s="52"/>
      <c r="J20" s="52"/>
      <c r="K20" s="52"/>
      <c r="L20" s="52"/>
      <c r="M20" s="67"/>
      <c r="N20" s="52"/>
      <c r="O20" s="52"/>
      <c r="P20" s="52"/>
      <c r="Q20" s="52"/>
      <c r="R20" s="53"/>
    </row>
    <row r="21" spans="2:18" x14ac:dyDescent="0.2">
      <c r="B21" s="51"/>
      <c r="C21" s="65"/>
      <c r="D21" s="52" t="s">
        <v>98</v>
      </c>
      <c r="E21" s="52"/>
      <c r="F21" s="52"/>
      <c r="G21" s="52"/>
      <c r="H21" s="52"/>
      <c r="I21" s="52"/>
      <c r="J21" s="52"/>
      <c r="K21" s="52"/>
      <c r="L21" s="52"/>
      <c r="M21" s="67"/>
      <c r="N21" s="52"/>
      <c r="O21" s="52"/>
      <c r="P21" s="52"/>
      <c r="Q21" s="52"/>
      <c r="R21" s="53"/>
    </row>
    <row r="22" spans="2:18" x14ac:dyDescent="0.2">
      <c r="B22" s="51"/>
      <c r="C22" s="65"/>
      <c r="D22" s="52" t="s">
        <v>99</v>
      </c>
      <c r="E22" s="52"/>
      <c r="F22" s="52"/>
      <c r="G22" s="52"/>
      <c r="H22" s="52"/>
      <c r="I22" s="52"/>
      <c r="J22" s="52"/>
      <c r="K22" s="52"/>
      <c r="L22" s="52"/>
      <c r="M22" s="67"/>
      <c r="N22" s="52"/>
      <c r="O22" s="52"/>
      <c r="P22" s="52"/>
      <c r="Q22" s="52"/>
      <c r="R22" s="53"/>
    </row>
    <row r="23" spans="2:18" x14ac:dyDescent="0.2">
      <c r="B23" s="51"/>
      <c r="C23" s="65"/>
      <c r="D23" s="52" t="s">
        <v>100</v>
      </c>
      <c r="E23" s="52"/>
      <c r="F23" s="52"/>
      <c r="G23" s="52"/>
      <c r="H23" s="52"/>
      <c r="I23" s="52"/>
      <c r="J23" s="52"/>
      <c r="K23" s="52"/>
      <c r="L23" s="52"/>
      <c r="M23" s="67"/>
      <c r="N23" s="52"/>
      <c r="O23" s="52"/>
      <c r="P23" s="52"/>
      <c r="Q23" s="52"/>
      <c r="R23" s="53"/>
    </row>
    <row r="24" spans="2:18" ht="13.5" thickBot="1" x14ac:dyDescent="0.25">
      <c r="B24" s="51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70"/>
      <c r="N24" s="52"/>
      <c r="O24" s="52"/>
      <c r="P24" s="52"/>
      <c r="Q24" s="52"/>
      <c r="R24" s="53"/>
    </row>
    <row r="25" spans="2:18" x14ac:dyDescent="0.2"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</row>
    <row r="26" spans="2:18" ht="13.5" thickBot="1" x14ac:dyDescent="0.25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3"/>
    </row>
    <row r="27" spans="2:18" ht="13.5" thickTop="1" x14ac:dyDescent="0.2"/>
    <row r="30" spans="2:18" x14ac:dyDescent="0.2">
      <c r="C30" s="245" t="s">
        <v>461</v>
      </c>
    </row>
    <row r="31" spans="2:18" x14ac:dyDescent="0.2">
      <c r="C31" s="243" t="s">
        <v>460</v>
      </c>
    </row>
    <row r="32" spans="2:18" x14ac:dyDescent="0.2">
      <c r="C32" s="244" t="s">
        <v>462</v>
      </c>
    </row>
  </sheetData>
  <sheetProtection sheet="1"/>
  <phoneticPr fontId="0" type="noConversion"/>
  <hyperlinks>
    <hyperlink ref="C7" r:id="rId1" display="This tool supports the TPS4306x datasheet (SLVSBP4A)" xr:uid="{A5AB3175-61D3-4EE9-975E-66D685F7CB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2DED-9DC9-45EF-A126-FA20C4BBB7EB}">
  <sheetPr>
    <pageSetUpPr fitToPage="1"/>
  </sheetPr>
  <dimension ref="A1:IV327"/>
  <sheetViews>
    <sheetView topLeftCell="A62" zoomScale="85" zoomScaleNormal="85" workbookViewId="0">
      <selection activeCell="D112" sqref="D112"/>
    </sheetView>
  </sheetViews>
  <sheetFormatPr defaultRowHeight="12.75" x14ac:dyDescent="0.2"/>
  <cols>
    <col min="1" max="1" width="2.7109375" style="74" customWidth="1"/>
    <col min="2" max="2" width="14.7109375" style="75" customWidth="1"/>
    <col min="3" max="3" width="25.140625" style="74" bestFit="1" customWidth="1"/>
    <col min="4" max="4" width="15.28515625" style="74" bestFit="1" customWidth="1"/>
    <col min="5" max="5" width="12.140625" style="74" bestFit="1" customWidth="1"/>
    <col min="6" max="6" width="15.7109375" style="74" bestFit="1" customWidth="1"/>
    <col min="7" max="7" width="6.28515625" style="76" bestFit="1" customWidth="1"/>
    <col min="8" max="8" width="97.42578125" style="74" bestFit="1" customWidth="1"/>
    <col min="9" max="9" width="2.7109375" style="74" customWidth="1"/>
    <col min="10" max="10" width="9.140625" style="77" customWidth="1"/>
    <col min="11" max="11" width="9.7109375" style="141" bestFit="1" customWidth="1"/>
    <col min="12" max="12" width="9.140625" style="146" customWidth="1"/>
    <col min="13" max="13" width="11.42578125" style="141" customWidth="1"/>
    <col min="14" max="16384" width="9.140625" style="141"/>
  </cols>
  <sheetData>
    <row r="1" spans="1:13" x14ac:dyDescent="0.2">
      <c r="A1" s="189"/>
      <c r="B1" s="190"/>
      <c r="C1" s="191"/>
      <c r="D1" s="191"/>
      <c r="E1" s="191"/>
      <c r="F1" s="191"/>
      <c r="G1" s="192"/>
      <c r="H1" s="191"/>
      <c r="I1" s="193"/>
      <c r="J1" s="194"/>
    </row>
    <row r="2" spans="1:13" ht="15.75" x14ac:dyDescent="0.25">
      <c r="A2" s="195"/>
      <c r="B2" s="140" t="s">
        <v>285</v>
      </c>
      <c r="C2" s="141"/>
      <c r="D2" s="141"/>
      <c r="E2" s="141"/>
      <c r="F2" s="144" t="s">
        <v>49</v>
      </c>
      <c r="G2" s="145"/>
      <c r="H2" s="141"/>
      <c r="I2" s="198"/>
      <c r="J2" s="202"/>
    </row>
    <row r="3" spans="1:13" ht="15" x14ac:dyDescent="0.25">
      <c r="A3" s="195"/>
      <c r="B3" s="142" t="s">
        <v>419</v>
      </c>
      <c r="C3" s="141"/>
      <c r="D3" s="144" t="s">
        <v>321</v>
      </c>
      <c r="E3" s="141"/>
      <c r="F3" s="127" t="s">
        <v>51</v>
      </c>
      <c r="G3" s="145"/>
      <c r="H3" s="141"/>
      <c r="I3" s="198"/>
      <c r="J3" s="202"/>
    </row>
    <row r="4" spans="1:13" ht="14.25" x14ac:dyDescent="0.2">
      <c r="A4" s="195"/>
      <c r="B4" s="143" t="s">
        <v>299</v>
      </c>
      <c r="C4" s="141"/>
      <c r="D4" s="246" t="s">
        <v>300</v>
      </c>
      <c r="E4" s="141"/>
      <c r="F4" s="129" t="s">
        <v>50</v>
      </c>
      <c r="G4" s="145"/>
      <c r="H4" s="141"/>
      <c r="I4" s="198"/>
      <c r="J4" s="202"/>
    </row>
    <row r="5" spans="1:13" ht="14.25" x14ac:dyDescent="0.2">
      <c r="A5" s="195"/>
      <c r="B5" s="143" t="s">
        <v>300</v>
      </c>
      <c r="C5" s="141"/>
      <c r="D5" s="141"/>
      <c r="E5" s="141"/>
      <c r="F5" s="128" t="s">
        <v>420</v>
      </c>
      <c r="G5" s="145"/>
      <c r="H5" s="141"/>
      <c r="I5" s="198"/>
      <c r="J5" s="202"/>
    </row>
    <row r="6" spans="1:13" ht="15" x14ac:dyDescent="0.25">
      <c r="A6" s="196"/>
      <c r="B6" s="119" t="s">
        <v>120</v>
      </c>
      <c r="C6" s="118" t="s">
        <v>52</v>
      </c>
      <c r="D6" s="125" t="s">
        <v>418</v>
      </c>
      <c r="E6" s="118" t="s">
        <v>8</v>
      </c>
      <c r="F6" s="262" t="s">
        <v>422</v>
      </c>
      <c r="G6" s="263"/>
      <c r="H6" s="263"/>
      <c r="I6" s="201"/>
      <c r="J6" s="202"/>
      <c r="M6" s="147"/>
    </row>
    <row r="7" spans="1:13" ht="14.25" x14ac:dyDescent="0.2">
      <c r="A7" s="197"/>
      <c r="B7" s="148"/>
      <c r="C7" s="153" t="s">
        <v>190</v>
      </c>
      <c r="D7" s="84">
        <v>5.5</v>
      </c>
      <c r="E7" s="174" t="s">
        <v>3</v>
      </c>
      <c r="F7" s="264" t="s">
        <v>289</v>
      </c>
      <c r="G7" s="265"/>
      <c r="H7" s="266"/>
      <c r="I7" s="198"/>
      <c r="J7" s="202"/>
      <c r="M7" s="147"/>
    </row>
    <row r="8" spans="1:13" ht="14.25" x14ac:dyDescent="0.2">
      <c r="A8" s="197"/>
      <c r="B8" s="148"/>
      <c r="C8" s="153" t="s">
        <v>191</v>
      </c>
      <c r="D8" s="84">
        <v>5.5</v>
      </c>
      <c r="E8" s="174" t="s">
        <v>3</v>
      </c>
      <c r="F8" s="264" t="s">
        <v>290</v>
      </c>
      <c r="G8" s="265"/>
      <c r="H8" s="266"/>
      <c r="I8" s="198"/>
      <c r="J8" s="202"/>
      <c r="M8" s="147"/>
    </row>
    <row r="9" spans="1:13" ht="14.25" x14ac:dyDescent="0.2">
      <c r="A9" s="197"/>
      <c r="B9" s="148"/>
      <c r="C9" s="153" t="s">
        <v>192</v>
      </c>
      <c r="D9" s="84">
        <v>5.5</v>
      </c>
      <c r="E9" s="174" t="s">
        <v>3</v>
      </c>
      <c r="F9" s="264" t="s">
        <v>291</v>
      </c>
      <c r="G9" s="265"/>
      <c r="H9" s="266"/>
      <c r="I9" s="198"/>
      <c r="J9" s="202"/>
      <c r="M9" s="147"/>
    </row>
    <row r="10" spans="1:13" ht="14.25" x14ac:dyDescent="0.2">
      <c r="A10" s="197"/>
      <c r="B10" s="148"/>
      <c r="C10" s="153" t="s">
        <v>212</v>
      </c>
      <c r="D10" s="84">
        <f>Vin_Nom*0.01</f>
        <v>5.5E-2</v>
      </c>
      <c r="E10" s="174" t="s">
        <v>421</v>
      </c>
      <c r="F10" s="264" t="s">
        <v>429</v>
      </c>
      <c r="G10" s="265"/>
      <c r="H10" s="266"/>
      <c r="I10" s="198"/>
      <c r="J10" s="202"/>
      <c r="M10" s="147"/>
    </row>
    <row r="11" spans="1:13" ht="14.25" x14ac:dyDescent="0.2">
      <c r="A11" s="197"/>
      <c r="B11" s="148"/>
      <c r="C11" s="153" t="s">
        <v>23</v>
      </c>
      <c r="D11" s="85">
        <v>24</v>
      </c>
      <c r="E11" s="174" t="s">
        <v>3</v>
      </c>
      <c r="F11" s="264" t="s">
        <v>41</v>
      </c>
      <c r="G11" s="265"/>
      <c r="H11" s="266"/>
      <c r="I11" s="198"/>
      <c r="J11" s="202"/>
      <c r="M11" s="147"/>
    </row>
    <row r="12" spans="1:13" ht="14.25" x14ac:dyDescent="0.2">
      <c r="A12" s="197"/>
      <c r="B12" s="148"/>
      <c r="C12" s="153" t="s">
        <v>60</v>
      </c>
      <c r="D12" s="84">
        <f>0.01*Vout</f>
        <v>0.24</v>
      </c>
      <c r="E12" s="174" t="s">
        <v>421</v>
      </c>
      <c r="F12" s="264" t="s">
        <v>423</v>
      </c>
      <c r="G12" s="265"/>
      <c r="H12" s="266"/>
      <c r="I12" s="198"/>
      <c r="J12" s="202"/>
      <c r="M12" s="147"/>
    </row>
    <row r="13" spans="1:13" ht="14.25" x14ac:dyDescent="0.2">
      <c r="A13" s="197"/>
      <c r="B13" s="148"/>
      <c r="C13" s="153" t="s">
        <v>34</v>
      </c>
      <c r="D13" s="87">
        <f>11/6</f>
        <v>1.8333333333333333</v>
      </c>
      <c r="E13" s="174" t="s">
        <v>2</v>
      </c>
      <c r="F13" s="264" t="s">
        <v>426</v>
      </c>
      <c r="G13" s="265"/>
      <c r="H13" s="266"/>
      <c r="I13" s="198"/>
      <c r="J13" s="202"/>
      <c r="M13" s="147"/>
    </row>
    <row r="14" spans="1:13" ht="14.25" x14ac:dyDescent="0.2">
      <c r="A14" s="197"/>
      <c r="B14" s="148"/>
      <c r="C14" s="153" t="s">
        <v>35</v>
      </c>
      <c r="D14" s="86">
        <v>750</v>
      </c>
      <c r="E14" s="174" t="s">
        <v>138</v>
      </c>
      <c r="F14" s="264" t="s">
        <v>47</v>
      </c>
      <c r="G14" s="265"/>
      <c r="H14" s="266"/>
      <c r="I14" s="198"/>
      <c r="J14" s="202"/>
      <c r="M14" s="147"/>
    </row>
    <row r="15" spans="1:13" ht="14.25" x14ac:dyDescent="0.2">
      <c r="A15" s="197"/>
      <c r="B15" s="148"/>
      <c r="C15" s="153" t="s">
        <v>61</v>
      </c>
      <c r="D15" s="87">
        <f>Iout/2</f>
        <v>0.91666666666666663</v>
      </c>
      <c r="E15" s="174" t="s">
        <v>2</v>
      </c>
      <c r="F15" s="264" t="s">
        <v>108</v>
      </c>
      <c r="G15" s="265"/>
      <c r="H15" s="266"/>
      <c r="I15" s="198"/>
      <c r="J15" s="202"/>
      <c r="M15" s="147"/>
    </row>
    <row r="16" spans="1:13" ht="14.25" x14ac:dyDescent="0.2">
      <c r="A16" s="197"/>
      <c r="B16" s="148"/>
      <c r="C16" s="153" t="s">
        <v>62</v>
      </c>
      <c r="D16" s="84">
        <f>Vout*0.04</f>
        <v>0.96</v>
      </c>
      <c r="E16" s="174" t="s">
        <v>3</v>
      </c>
      <c r="F16" s="264" t="s">
        <v>109</v>
      </c>
      <c r="G16" s="265"/>
      <c r="H16" s="266"/>
      <c r="I16" s="198"/>
      <c r="J16" s="202"/>
      <c r="M16" s="147"/>
    </row>
    <row r="17" spans="1:256" ht="14.25" x14ac:dyDescent="0.2">
      <c r="A17" s="197"/>
      <c r="B17" s="148"/>
      <c r="C17" s="153" t="s">
        <v>369</v>
      </c>
      <c r="D17" s="84">
        <v>4.8</v>
      </c>
      <c r="E17" s="174" t="s">
        <v>3</v>
      </c>
      <c r="F17" s="264" t="s">
        <v>427</v>
      </c>
      <c r="G17" s="265"/>
      <c r="H17" s="266"/>
      <c r="I17" s="198"/>
      <c r="J17" s="202"/>
      <c r="M17" s="147"/>
    </row>
    <row r="18" spans="1:256" ht="14.25" x14ac:dyDescent="0.2">
      <c r="A18" s="197"/>
      <c r="B18" s="148"/>
      <c r="C18" s="153" t="s">
        <v>370</v>
      </c>
      <c r="D18" s="84">
        <v>4.5</v>
      </c>
      <c r="E18" s="174" t="s">
        <v>3</v>
      </c>
      <c r="F18" s="264" t="s">
        <v>428</v>
      </c>
      <c r="G18" s="265"/>
      <c r="H18" s="266"/>
      <c r="I18" s="198"/>
      <c r="J18" s="202"/>
      <c r="M18" s="147"/>
    </row>
    <row r="19" spans="1:256" s="79" customFormat="1" ht="15" x14ac:dyDescent="0.25">
      <c r="A19" s="196"/>
      <c r="B19" s="256" t="s">
        <v>104</v>
      </c>
      <c r="C19" s="256"/>
      <c r="D19" s="256"/>
      <c r="E19" s="256"/>
      <c r="F19" s="256"/>
      <c r="G19" s="256"/>
      <c r="H19" s="256"/>
      <c r="I19" s="206"/>
      <c r="J19" s="207"/>
      <c r="K19" s="150"/>
      <c r="L19" s="150"/>
      <c r="M19" s="151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  <c r="DY19" s="150"/>
      <c r="DZ19" s="150"/>
      <c r="EA19" s="150"/>
      <c r="EB19" s="150"/>
      <c r="EC19" s="150"/>
      <c r="ED19" s="150"/>
      <c r="EE19" s="150"/>
      <c r="EF19" s="150"/>
      <c r="EG19" s="150"/>
      <c r="EH19" s="150"/>
      <c r="EI19" s="150"/>
      <c r="EJ19" s="150"/>
      <c r="EK19" s="150"/>
      <c r="EL19" s="150"/>
      <c r="EM19" s="150"/>
      <c r="EN19" s="150"/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  <c r="IG19" s="150"/>
      <c r="IH19" s="150"/>
      <c r="II19" s="150"/>
      <c r="IJ19" s="150"/>
      <c r="IK19" s="150"/>
      <c r="IL19" s="150"/>
      <c r="IM19" s="150"/>
      <c r="IN19" s="150"/>
      <c r="IO19" s="150"/>
      <c r="IP19" s="150"/>
      <c r="IQ19" s="150"/>
      <c r="IR19" s="150"/>
      <c r="IS19" s="150"/>
      <c r="IT19" s="150"/>
      <c r="IU19" s="150"/>
      <c r="IV19" s="150"/>
    </row>
    <row r="20" spans="1:256" s="74" customFormat="1" ht="12.75" customHeight="1" x14ac:dyDescent="0.2">
      <c r="A20" s="195"/>
      <c r="B20" s="152" t="s">
        <v>105</v>
      </c>
      <c r="C20" s="152" t="s">
        <v>389</v>
      </c>
      <c r="D20" s="257" t="s">
        <v>123</v>
      </c>
      <c r="E20" s="257"/>
      <c r="F20" s="257"/>
      <c r="G20" s="257"/>
      <c r="H20" s="258"/>
      <c r="I20" s="208"/>
      <c r="J20" s="209"/>
      <c r="K20" s="146"/>
      <c r="L20" s="141"/>
      <c r="M20" s="146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41"/>
      <c r="CR20" s="141"/>
      <c r="CS20" s="141"/>
      <c r="CT20" s="141"/>
      <c r="CU20" s="141"/>
      <c r="CV20" s="141"/>
      <c r="CW20" s="141"/>
      <c r="CX20" s="141"/>
      <c r="CY20" s="141"/>
      <c r="CZ20" s="141"/>
      <c r="DA20" s="141"/>
      <c r="DB20" s="141"/>
      <c r="DC20" s="141"/>
      <c r="DD20" s="141"/>
      <c r="DE20" s="141"/>
      <c r="DF20" s="141"/>
      <c r="DG20" s="141"/>
      <c r="DH20" s="141"/>
      <c r="DI20" s="141"/>
      <c r="DJ20" s="141"/>
      <c r="DK20" s="141"/>
      <c r="DL20" s="141"/>
      <c r="DM20" s="141"/>
      <c r="DN20" s="141"/>
      <c r="DO20" s="141"/>
      <c r="DP20" s="141"/>
      <c r="DQ20" s="141"/>
      <c r="DR20" s="141"/>
      <c r="DS20" s="141"/>
      <c r="DT20" s="141"/>
      <c r="DU20" s="141"/>
      <c r="DV20" s="141"/>
      <c r="DW20" s="141"/>
      <c r="DX20" s="141"/>
      <c r="DY20" s="141"/>
      <c r="DZ20" s="141"/>
      <c r="EA20" s="141"/>
      <c r="EB20" s="141"/>
      <c r="EC20" s="141"/>
      <c r="ED20" s="141"/>
      <c r="EE20" s="141"/>
      <c r="EF20" s="141"/>
      <c r="EG20" s="141"/>
      <c r="EH20" s="141"/>
      <c r="EI20" s="141"/>
      <c r="EJ20" s="141"/>
      <c r="EK20" s="141"/>
      <c r="EL20" s="141"/>
      <c r="EM20" s="141"/>
      <c r="EN20" s="141"/>
      <c r="EO20" s="141"/>
      <c r="EP20" s="141"/>
      <c r="EQ20" s="141"/>
      <c r="ER20" s="141"/>
      <c r="ES20" s="141"/>
      <c r="ET20" s="141"/>
      <c r="EU20" s="141"/>
      <c r="EV20" s="141"/>
      <c r="EW20" s="141"/>
      <c r="EX20" s="141"/>
      <c r="EY20" s="141"/>
      <c r="EZ20" s="141"/>
      <c r="FA20" s="141"/>
      <c r="FB20" s="141"/>
      <c r="FC20" s="141"/>
      <c r="FD20" s="141"/>
      <c r="FE20" s="141"/>
      <c r="FF20" s="141"/>
      <c r="FG20" s="141"/>
      <c r="FH20" s="141"/>
      <c r="FI20" s="141"/>
      <c r="FJ20" s="141"/>
      <c r="FK20" s="141"/>
      <c r="FL20" s="141"/>
      <c r="FM20" s="141"/>
      <c r="FN20" s="141"/>
      <c r="FO20" s="141"/>
      <c r="FP20" s="141"/>
      <c r="FQ20" s="141"/>
      <c r="FR20" s="141"/>
      <c r="FS20" s="141"/>
      <c r="FT20" s="141"/>
      <c r="FU20" s="141"/>
      <c r="FV20" s="141"/>
      <c r="FW20" s="141"/>
      <c r="FX20" s="141"/>
      <c r="FY20" s="141"/>
      <c r="FZ20" s="141"/>
      <c r="GA20" s="141"/>
      <c r="GB20" s="141"/>
      <c r="GC20" s="141"/>
      <c r="GD20" s="141"/>
      <c r="GE20" s="141"/>
      <c r="GF20" s="141"/>
      <c r="GG20" s="141"/>
      <c r="GH20" s="141"/>
      <c r="GI20" s="141"/>
      <c r="GJ20" s="141"/>
      <c r="GK20" s="141"/>
      <c r="GL20" s="141"/>
      <c r="GM20" s="141"/>
      <c r="GN20" s="141"/>
      <c r="GO20" s="141"/>
      <c r="GP20" s="141"/>
      <c r="GQ20" s="141"/>
      <c r="GR20" s="141"/>
      <c r="GS20" s="141"/>
      <c r="GT20" s="141"/>
      <c r="GU20" s="141"/>
      <c r="GV20" s="141"/>
      <c r="GW20" s="141"/>
      <c r="GX20" s="141"/>
      <c r="GY20" s="141"/>
      <c r="GZ20" s="141"/>
      <c r="HA20" s="141"/>
      <c r="HB20" s="141"/>
      <c r="HC20" s="141"/>
      <c r="HD20" s="141"/>
      <c r="HE20" s="141"/>
      <c r="HF20" s="141"/>
      <c r="HG20" s="141"/>
      <c r="HH20" s="141"/>
      <c r="HI20" s="141"/>
      <c r="HJ20" s="141"/>
      <c r="HK20" s="141"/>
      <c r="HL20" s="141"/>
      <c r="HM20" s="141"/>
      <c r="HN20" s="141"/>
      <c r="HO20" s="141"/>
      <c r="HP20" s="141"/>
      <c r="HQ20" s="141"/>
      <c r="HR20" s="141"/>
      <c r="HS20" s="141"/>
      <c r="HT20" s="141"/>
      <c r="HU20" s="141"/>
      <c r="HV20" s="141"/>
      <c r="HW20" s="141"/>
      <c r="HX20" s="141"/>
      <c r="HY20" s="141"/>
      <c r="HZ20" s="141"/>
      <c r="IA20" s="141"/>
      <c r="IB20" s="141"/>
      <c r="IC20" s="141"/>
      <c r="ID20" s="141"/>
      <c r="IE20" s="141"/>
      <c r="IF20" s="141"/>
      <c r="IG20" s="141"/>
      <c r="IH20" s="141"/>
      <c r="II20" s="141"/>
      <c r="IJ20" s="141"/>
      <c r="IK20" s="141"/>
      <c r="IL20" s="141"/>
      <c r="IM20" s="141"/>
      <c r="IN20" s="141"/>
      <c r="IO20" s="141"/>
      <c r="IP20" s="141"/>
      <c r="IQ20" s="141"/>
      <c r="IR20" s="141"/>
      <c r="IS20" s="141"/>
      <c r="IT20" s="141"/>
      <c r="IU20" s="141"/>
      <c r="IV20" s="141"/>
    </row>
    <row r="21" spans="1:256" s="74" customFormat="1" ht="19.5" x14ac:dyDescent="0.35">
      <c r="A21" s="195"/>
      <c r="B21" s="153" t="s">
        <v>184</v>
      </c>
      <c r="C21" s="153" t="s">
        <v>398</v>
      </c>
      <c r="D21" s="122" t="str">
        <f>TEXT(Cin_chosen*1000000,"0.0")&amp;" µF"</f>
        <v>11.2 µF</v>
      </c>
      <c r="E21" s="123" t="str">
        <f>Vin_Max&amp;"V"</f>
        <v>5.5V</v>
      </c>
      <c r="F21" s="124" t="str">
        <f>"Irms = "&amp;TEXT(Irms_cin,"0.000")&amp;"A"</f>
        <v>Irms = 0.347A</v>
      </c>
      <c r="G21" s="145"/>
      <c r="H21" s="141"/>
      <c r="I21" s="208"/>
      <c r="J21" s="209"/>
      <c r="K21" s="146"/>
      <c r="L21" s="141"/>
      <c r="M21" s="146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41"/>
      <c r="CR21" s="141"/>
      <c r="CS21" s="141"/>
      <c r="CT21" s="141"/>
      <c r="CU21" s="141"/>
      <c r="CV21" s="141"/>
      <c r="CW21" s="141"/>
      <c r="CX21" s="141"/>
      <c r="CY21" s="141"/>
      <c r="CZ21" s="141"/>
      <c r="DA21" s="141"/>
      <c r="DB21" s="141"/>
      <c r="DC21" s="141"/>
      <c r="DD21" s="141"/>
      <c r="DE21" s="141"/>
      <c r="DF21" s="141"/>
      <c r="DG21" s="141"/>
      <c r="DH21" s="141"/>
      <c r="DI21" s="141"/>
      <c r="DJ21" s="141"/>
      <c r="DK21" s="141"/>
      <c r="DL21" s="141"/>
      <c r="DM21" s="141"/>
      <c r="DN21" s="141"/>
      <c r="DO21" s="141"/>
      <c r="DP21" s="141"/>
      <c r="DQ21" s="141"/>
      <c r="DR21" s="141"/>
      <c r="DS21" s="141"/>
      <c r="DT21" s="141"/>
      <c r="DU21" s="141"/>
      <c r="DV21" s="141"/>
      <c r="DW21" s="141"/>
      <c r="DX21" s="141"/>
      <c r="DY21" s="141"/>
      <c r="DZ21" s="141"/>
      <c r="EA21" s="141"/>
      <c r="EB21" s="141"/>
      <c r="EC21" s="141"/>
      <c r="ED21" s="141"/>
      <c r="EE21" s="141"/>
      <c r="EF21" s="141"/>
      <c r="EG21" s="141"/>
      <c r="EH21" s="141"/>
      <c r="EI21" s="141"/>
      <c r="EJ21" s="141"/>
      <c r="EK21" s="141"/>
      <c r="EL21" s="141"/>
      <c r="EM21" s="141"/>
      <c r="EN21" s="141"/>
      <c r="EO21" s="141"/>
      <c r="EP21" s="141"/>
      <c r="EQ21" s="141"/>
      <c r="ER21" s="141"/>
      <c r="ES21" s="141"/>
      <c r="ET21" s="141"/>
      <c r="EU21" s="141"/>
      <c r="EV21" s="141"/>
      <c r="EW21" s="141"/>
      <c r="EX21" s="141"/>
      <c r="EY21" s="141"/>
      <c r="EZ21" s="141"/>
      <c r="FA21" s="141"/>
      <c r="FB21" s="141"/>
      <c r="FC21" s="141"/>
      <c r="FD21" s="141"/>
      <c r="FE21" s="141"/>
      <c r="FF21" s="141"/>
      <c r="FG21" s="141"/>
      <c r="FH21" s="141"/>
      <c r="FI21" s="141"/>
      <c r="FJ21" s="141"/>
      <c r="FK21" s="141"/>
      <c r="FL21" s="141"/>
      <c r="FM21" s="141"/>
      <c r="FN21" s="141"/>
      <c r="FO21" s="141"/>
      <c r="FP21" s="141"/>
      <c r="FQ21" s="141"/>
      <c r="FR21" s="141"/>
      <c r="FS21" s="141"/>
      <c r="FT21" s="141"/>
      <c r="FU21" s="141"/>
      <c r="FV21" s="141"/>
      <c r="FW21" s="141"/>
      <c r="FX21" s="141"/>
      <c r="FY21" s="141"/>
      <c r="FZ21" s="141"/>
      <c r="GA21" s="141"/>
      <c r="GB21" s="141"/>
      <c r="GC21" s="141"/>
      <c r="GD21" s="141"/>
      <c r="GE21" s="141"/>
      <c r="GF21" s="141"/>
      <c r="GG21" s="141"/>
      <c r="GH21" s="141"/>
      <c r="GI21" s="141"/>
      <c r="GJ21" s="141"/>
      <c r="GK21" s="141"/>
      <c r="GL21" s="141"/>
      <c r="GM21" s="141"/>
      <c r="GN21" s="141"/>
      <c r="GO21" s="141"/>
      <c r="GP21" s="141"/>
      <c r="GQ21" s="141"/>
      <c r="GR21" s="141"/>
      <c r="GS21" s="141"/>
      <c r="GT21" s="141"/>
      <c r="GU21" s="141"/>
      <c r="GV21" s="141"/>
      <c r="GW21" s="141"/>
      <c r="GX21" s="141"/>
      <c r="GY21" s="141"/>
      <c r="GZ21" s="141"/>
      <c r="HA21" s="141"/>
      <c r="HB21" s="141"/>
      <c r="HC21" s="141"/>
      <c r="HD21" s="141"/>
      <c r="HE21" s="141"/>
      <c r="HF21" s="141"/>
      <c r="HG21" s="141"/>
      <c r="HH21" s="141"/>
      <c r="HI21" s="141"/>
      <c r="HJ21" s="141"/>
      <c r="HK21" s="141"/>
      <c r="HL21" s="141"/>
      <c r="HM21" s="141"/>
      <c r="HN21" s="141"/>
      <c r="HO21" s="141"/>
      <c r="HP21" s="141"/>
      <c r="HQ21" s="141"/>
      <c r="HR21" s="141"/>
      <c r="HS21" s="141"/>
      <c r="HT21" s="141"/>
      <c r="HU21" s="141"/>
      <c r="HV21" s="141"/>
      <c r="HW21" s="141"/>
      <c r="HX21" s="141"/>
      <c r="HY21" s="141"/>
      <c r="HZ21" s="141"/>
      <c r="IA21" s="141"/>
      <c r="IB21" s="141"/>
      <c r="IC21" s="141"/>
      <c r="ID21" s="141"/>
      <c r="IE21" s="141"/>
      <c r="IF21" s="141"/>
      <c r="IG21" s="141"/>
      <c r="IH21" s="141"/>
      <c r="II21" s="141"/>
      <c r="IJ21" s="141"/>
      <c r="IK21" s="141"/>
      <c r="IL21" s="141"/>
      <c r="IM21" s="141"/>
      <c r="IN21" s="141"/>
      <c r="IO21" s="141"/>
      <c r="IP21" s="141"/>
      <c r="IQ21" s="141"/>
      <c r="IR21" s="141"/>
      <c r="IS21" s="141"/>
      <c r="IT21" s="141"/>
      <c r="IU21" s="141"/>
      <c r="IV21" s="141"/>
    </row>
    <row r="22" spans="1:256" s="74" customFormat="1" ht="19.5" x14ac:dyDescent="0.35">
      <c r="A22" s="195"/>
      <c r="B22" s="153" t="s">
        <v>376</v>
      </c>
      <c r="C22" s="153" t="s">
        <v>390</v>
      </c>
      <c r="D22" s="122" t="str">
        <f>TEXT(Ccomp*1000000,"0.000")&amp;" µF"</f>
        <v>0.047 µF</v>
      </c>
      <c r="E22" s="123" t="s">
        <v>378</v>
      </c>
      <c r="F22" s="154"/>
      <c r="G22" s="145"/>
      <c r="H22" s="141"/>
      <c r="I22" s="208"/>
      <c r="J22" s="209"/>
      <c r="K22" s="146"/>
      <c r="L22" s="141"/>
      <c r="M22" s="146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  <c r="GG22" s="141"/>
      <c r="GH22" s="141"/>
      <c r="GI22" s="141"/>
      <c r="GJ22" s="141"/>
      <c r="GK22" s="141"/>
      <c r="GL22" s="141"/>
      <c r="GM22" s="141"/>
      <c r="GN22" s="141"/>
      <c r="GO22" s="141"/>
      <c r="GP22" s="141"/>
      <c r="GQ22" s="141"/>
      <c r="GR22" s="141"/>
      <c r="GS22" s="141"/>
      <c r="GT22" s="141"/>
      <c r="GU22" s="141"/>
      <c r="GV22" s="141"/>
      <c r="GW22" s="141"/>
      <c r="GX22" s="141"/>
      <c r="GY22" s="141"/>
      <c r="GZ22" s="141"/>
      <c r="HA22" s="141"/>
      <c r="HB22" s="141"/>
      <c r="HC22" s="141"/>
      <c r="HD22" s="141"/>
      <c r="HE22" s="141"/>
      <c r="HF22" s="141"/>
      <c r="HG22" s="141"/>
      <c r="HH22" s="141"/>
      <c r="HI22" s="141"/>
      <c r="HJ22" s="141"/>
      <c r="HK22" s="141"/>
      <c r="HL22" s="141"/>
      <c r="HM22" s="141"/>
      <c r="HN22" s="141"/>
      <c r="HO22" s="141"/>
      <c r="HP22" s="141"/>
      <c r="HQ22" s="141"/>
      <c r="HR22" s="141"/>
      <c r="HS22" s="141"/>
      <c r="HT22" s="141"/>
      <c r="HU22" s="141"/>
      <c r="HV22" s="141"/>
      <c r="HW22" s="141"/>
      <c r="HX22" s="141"/>
      <c r="HY22" s="141"/>
      <c r="HZ22" s="141"/>
      <c r="IA22" s="141"/>
      <c r="IB22" s="141"/>
      <c r="IC22" s="141"/>
      <c r="ID22" s="141"/>
      <c r="IE22" s="141"/>
      <c r="IF22" s="141"/>
      <c r="IG22" s="141"/>
      <c r="IH22" s="141"/>
      <c r="II22" s="141"/>
      <c r="IJ22" s="141"/>
      <c r="IK22" s="141"/>
      <c r="IL22" s="141"/>
      <c r="IM22" s="141"/>
      <c r="IN22" s="141"/>
      <c r="IO22" s="141"/>
      <c r="IP22" s="141"/>
      <c r="IQ22" s="141"/>
      <c r="IR22" s="141"/>
      <c r="IS22" s="141"/>
      <c r="IT22" s="141"/>
      <c r="IU22" s="141"/>
      <c r="IV22" s="141"/>
    </row>
    <row r="23" spans="1:256" s="74" customFormat="1" ht="19.5" x14ac:dyDescent="0.35">
      <c r="A23" s="195"/>
      <c r="B23" s="153" t="s">
        <v>186</v>
      </c>
      <c r="C23" s="153" t="s">
        <v>391</v>
      </c>
      <c r="D23" s="122" t="str">
        <f>TEXT(D142*1000000,"0.000")&amp;" µF"</f>
        <v>0.100 µF</v>
      </c>
      <c r="E23" s="123" t="s">
        <v>378</v>
      </c>
      <c r="F23" s="154"/>
      <c r="G23" s="145"/>
      <c r="H23" s="141"/>
      <c r="I23" s="208"/>
      <c r="J23" s="209"/>
      <c r="K23" s="146"/>
      <c r="L23" s="141"/>
      <c r="M23" s="146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  <c r="GG23" s="141"/>
      <c r="GH23" s="141"/>
      <c r="GI23" s="141"/>
      <c r="GJ23" s="141"/>
      <c r="GK23" s="141"/>
      <c r="GL23" s="141"/>
      <c r="GM23" s="141"/>
      <c r="GN23" s="141"/>
      <c r="GO23" s="141"/>
      <c r="GP23" s="141"/>
      <c r="GQ23" s="141"/>
      <c r="GR23" s="141"/>
      <c r="GS23" s="141"/>
      <c r="GT23" s="141"/>
      <c r="GU23" s="141"/>
      <c r="GV23" s="141"/>
      <c r="GW23" s="141"/>
      <c r="GX23" s="141"/>
      <c r="GY23" s="141"/>
      <c r="GZ23" s="141"/>
      <c r="HA23" s="141"/>
      <c r="HB23" s="141"/>
      <c r="HC23" s="141"/>
      <c r="HD23" s="141"/>
      <c r="HE23" s="141"/>
      <c r="HF23" s="141"/>
      <c r="HG23" s="141"/>
      <c r="HH23" s="141"/>
      <c r="HI23" s="141"/>
      <c r="HJ23" s="141"/>
      <c r="HK23" s="141"/>
      <c r="HL23" s="141"/>
      <c r="HM23" s="141"/>
      <c r="HN23" s="141"/>
      <c r="HO23" s="141"/>
      <c r="HP23" s="141"/>
      <c r="HQ23" s="141"/>
      <c r="HR23" s="141"/>
      <c r="HS23" s="141"/>
      <c r="HT23" s="141"/>
      <c r="HU23" s="141"/>
      <c r="HV23" s="141"/>
      <c r="HW23" s="141"/>
      <c r="HX23" s="141"/>
      <c r="HY23" s="141"/>
      <c r="HZ23" s="141"/>
      <c r="IA23" s="141"/>
      <c r="IB23" s="141"/>
      <c r="IC23" s="141"/>
      <c r="ID23" s="141"/>
      <c r="IE23" s="141"/>
      <c r="IF23" s="141"/>
      <c r="IG23" s="141"/>
      <c r="IH23" s="141"/>
      <c r="II23" s="141"/>
      <c r="IJ23" s="141"/>
      <c r="IK23" s="141"/>
      <c r="IL23" s="141"/>
      <c r="IM23" s="141"/>
      <c r="IN23" s="141"/>
      <c r="IO23" s="141"/>
      <c r="IP23" s="141"/>
      <c r="IQ23" s="141"/>
      <c r="IR23" s="141"/>
      <c r="IS23" s="141"/>
      <c r="IT23" s="141"/>
      <c r="IU23" s="141"/>
      <c r="IV23" s="141"/>
    </row>
    <row r="24" spans="1:256" s="74" customFormat="1" ht="19.5" x14ac:dyDescent="0.35">
      <c r="A24" s="195"/>
      <c r="B24" s="153" t="s">
        <v>187</v>
      </c>
      <c r="C24" s="153" t="s">
        <v>392</v>
      </c>
      <c r="D24" s="122" t="str">
        <f>IF(Chf&lt;=0.000000000001,"not used",TEXT(Chf*1000000000000,"0")&amp;" pF")</f>
        <v>560 pF</v>
      </c>
      <c r="E24" s="123" t="s">
        <v>378</v>
      </c>
      <c r="F24" s="154"/>
      <c r="G24" s="145"/>
      <c r="H24" s="141"/>
      <c r="I24" s="208"/>
      <c r="J24" s="209"/>
      <c r="K24" s="146"/>
      <c r="L24" s="141"/>
      <c r="M24" s="146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  <c r="GG24" s="141"/>
      <c r="GH24" s="141"/>
      <c r="GI24" s="141"/>
      <c r="GJ24" s="141"/>
      <c r="GK24" s="141"/>
      <c r="GL24" s="141"/>
      <c r="GM24" s="141"/>
      <c r="GN24" s="141"/>
      <c r="GO24" s="141"/>
      <c r="GP24" s="141"/>
      <c r="GQ24" s="141"/>
      <c r="GR24" s="141"/>
      <c r="GS24" s="141"/>
      <c r="GT24" s="141"/>
      <c r="GU24" s="141"/>
      <c r="GV24" s="141"/>
      <c r="GW24" s="141"/>
      <c r="GX24" s="141"/>
      <c r="GY24" s="141"/>
      <c r="GZ24" s="141"/>
      <c r="HA24" s="141"/>
      <c r="HB24" s="141"/>
      <c r="HC24" s="141"/>
      <c r="HD24" s="141"/>
      <c r="HE24" s="141"/>
      <c r="HF24" s="141"/>
      <c r="HG24" s="141"/>
      <c r="HH24" s="141"/>
      <c r="HI24" s="141"/>
      <c r="HJ24" s="141"/>
      <c r="HK24" s="141"/>
      <c r="HL24" s="141"/>
      <c r="HM24" s="141"/>
      <c r="HN24" s="141"/>
      <c r="HO24" s="141"/>
      <c r="HP24" s="141"/>
      <c r="HQ24" s="141"/>
      <c r="HR24" s="141"/>
      <c r="HS24" s="141"/>
      <c r="HT24" s="141"/>
      <c r="HU24" s="141"/>
      <c r="HV24" s="141"/>
      <c r="HW24" s="141"/>
      <c r="HX24" s="141"/>
      <c r="HY24" s="141"/>
      <c r="HZ24" s="141"/>
      <c r="IA24" s="141"/>
      <c r="IB24" s="141"/>
      <c r="IC24" s="141"/>
      <c r="ID24" s="141"/>
      <c r="IE24" s="141"/>
      <c r="IF24" s="141"/>
      <c r="IG24" s="141"/>
      <c r="IH24" s="141"/>
      <c r="II24" s="141"/>
      <c r="IJ24" s="141"/>
      <c r="IK24" s="141"/>
      <c r="IL24" s="141"/>
      <c r="IM24" s="141"/>
      <c r="IN24" s="141"/>
      <c r="IO24" s="141"/>
      <c r="IP24" s="141"/>
      <c r="IQ24" s="141"/>
      <c r="IR24" s="141"/>
      <c r="IS24" s="141"/>
      <c r="IT24" s="141"/>
      <c r="IU24" s="141"/>
      <c r="IV24" s="141"/>
    </row>
    <row r="25" spans="1:256" s="74" customFormat="1" ht="19.5" x14ac:dyDescent="0.35">
      <c r="A25" s="195"/>
      <c r="B25" s="153" t="s">
        <v>380</v>
      </c>
      <c r="C25" s="153" t="s">
        <v>393</v>
      </c>
      <c r="D25" s="122" t="str">
        <f>TEXT(D107*1000000,"0.000")&amp;" µF"</f>
        <v>0.100 µF</v>
      </c>
      <c r="E25" s="123" t="str">
        <f>Vcc_typ&amp;"V"</f>
        <v>5.5V</v>
      </c>
      <c r="F25" s="154"/>
      <c r="G25" s="145"/>
      <c r="H25" s="141"/>
      <c r="I25" s="208"/>
      <c r="J25" s="209"/>
      <c r="K25" s="146"/>
      <c r="L25" s="141"/>
      <c r="M25" s="146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  <c r="GG25" s="141"/>
      <c r="GH25" s="141"/>
      <c r="GI25" s="141"/>
      <c r="GJ25" s="141"/>
      <c r="GK25" s="141"/>
      <c r="GL25" s="141"/>
      <c r="GM25" s="141"/>
      <c r="GN25" s="141"/>
      <c r="GO25" s="141"/>
      <c r="GP25" s="141"/>
      <c r="GQ25" s="141"/>
      <c r="GR25" s="141"/>
      <c r="GS25" s="141"/>
      <c r="GT25" s="141"/>
      <c r="GU25" s="141"/>
      <c r="GV25" s="141"/>
      <c r="GW25" s="141"/>
      <c r="GX25" s="141"/>
      <c r="GY25" s="141"/>
      <c r="GZ25" s="141"/>
      <c r="HA25" s="141"/>
      <c r="HB25" s="141"/>
      <c r="HC25" s="141"/>
      <c r="HD25" s="141"/>
      <c r="HE25" s="141"/>
      <c r="HF25" s="141"/>
      <c r="HG25" s="141"/>
      <c r="HH25" s="141"/>
      <c r="HI25" s="141"/>
      <c r="HJ25" s="141"/>
      <c r="HK25" s="141"/>
      <c r="HL25" s="141"/>
      <c r="HM25" s="141"/>
      <c r="HN25" s="141"/>
      <c r="HO25" s="141"/>
      <c r="HP25" s="141"/>
      <c r="HQ25" s="141"/>
      <c r="HR25" s="141"/>
      <c r="HS25" s="141"/>
      <c r="HT25" s="141"/>
      <c r="HU25" s="141"/>
      <c r="HV25" s="141"/>
      <c r="HW25" s="141"/>
      <c r="HX25" s="141"/>
      <c r="HY25" s="141"/>
      <c r="HZ25" s="141"/>
      <c r="IA25" s="141"/>
      <c r="IB25" s="141"/>
      <c r="IC25" s="141"/>
      <c r="ID25" s="141"/>
      <c r="IE25" s="141"/>
      <c r="IF25" s="141"/>
      <c r="IG25" s="141"/>
      <c r="IH25" s="141"/>
      <c r="II25" s="141"/>
      <c r="IJ25" s="141"/>
      <c r="IK25" s="141"/>
      <c r="IL25" s="141"/>
      <c r="IM25" s="141"/>
      <c r="IN25" s="141"/>
      <c r="IO25" s="141"/>
      <c r="IP25" s="141"/>
      <c r="IQ25" s="141"/>
      <c r="IR25" s="141"/>
      <c r="IS25" s="141"/>
      <c r="IT25" s="141"/>
      <c r="IU25" s="141"/>
      <c r="IV25" s="141"/>
    </row>
    <row r="26" spans="1:256" s="74" customFormat="1" ht="19.5" x14ac:dyDescent="0.35">
      <c r="A26" s="195"/>
      <c r="B26" s="153" t="s">
        <v>381</v>
      </c>
      <c r="C26" s="153" t="s">
        <v>394</v>
      </c>
      <c r="D26" s="122" t="str">
        <f>TEXT(CVcc*1000000,"0.000")&amp;" µF"</f>
        <v>5.600 µF</v>
      </c>
      <c r="E26" s="123" t="str">
        <f>Vcc_typ&amp;"V"</f>
        <v>5.5V</v>
      </c>
      <c r="F26" s="154"/>
      <c r="G26" s="145"/>
      <c r="H26" s="141"/>
      <c r="I26" s="208"/>
      <c r="J26" s="209"/>
      <c r="K26" s="146"/>
      <c r="L26" s="141"/>
      <c r="M26" s="146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  <c r="GG26" s="141"/>
      <c r="GH26" s="141"/>
      <c r="GI26" s="141"/>
      <c r="GJ26" s="141"/>
      <c r="GK26" s="141"/>
      <c r="GL26" s="141"/>
      <c r="GM26" s="141"/>
      <c r="GN26" s="141"/>
      <c r="GO26" s="141"/>
      <c r="GP26" s="141"/>
      <c r="GQ26" s="141"/>
      <c r="GR26" s="141"/>
      <c r="GS26" s="141"/>
      <c r="GT26" s="141"/>
      <c r="GU26" s="141"/>
      <c r="GV26" s="141"/>
      <c r="GW26" s="141"/>
      <c r="GX26" s="141"/>
      <c r="GY26" s="141"/>
      <c r="GZ26" s="141"/>
      <c r="HA26" s="141"/>
      <c r="HB26" s="141"/>
      <c r="HC26" s="141"/>
      <c r="HD26" s="141"/>
      <c r="HE26" s="141"/>
      <c r="HF26" s="141"/>
      <c r="HG26" s="141"/>
      <c r="HH26" s="141"/>
      <c r="HI26" s="141"/>
      <c r="HJ26" s="141"/>
      <c r="HK26" s="141"/>
      <c r="HL26" s="141"/>
      <c r="HM26" s="141"/>
      <c r="HN26" s="141"/>
      <c r="HO26" s="141"/>
      <c r="HP26" s="141"/>
      <c r="HQ26" s="141"/>
      <c r="HR26" s="141"/>
      <c r="HS26" s="141"/>
      <c r="HT26" s="141"/>
      <c r="HU26" s="141"/>
      <c r="HV26" s="141"/>
      <c r="HW26" s="141"/>
      <c r="HX26" s="141"/>
      <c r="HY26" s="141"/>
      <c r="HZ26" s="141"/>
      <c r="IA26" s="141"/>
      <c r="IB26" s="141"/>
      <c r="IC26" s="141"/>
      <c r="ID26" s="141"/>
      <c r="IE26" s="141"/>
      <c r="IF26" s="141"/>
      <c r="IG26" s="141"/>
      <c r="IH26" s="141"/>
      <c r="II26" s="141"/>
      <c r="IJ26" s="141"/>
      <c r="IK26" s="141"/>
      <c r="IL26" s="141"/>
      <c r="IM26" s="141"/>
      <c r="IN26" s="141"/>
      <c r="IO26" s="141"/>
      <c r="IP26" s="141"/>
      <c r="IQ26" s="141"/>
      <c r="IR26" s="141"/>
      <c r="IS26" s="141"/>
      <c r="IT26" s="141"/>
      <c r="IU26" s="141"/>
      <c r="IV26" s="141"/>
    </row>
    <row r="27" spans="1:256" s="74" customFormat="1" ht="19.5" x14ac:dyDescent="0.35">
      <c r="A27" s="195"/>
      <c r="B27" s="153" t="s">
        <v>185</v>
      </c>
      <c r="C27" s="153" t="s">
        <v>399</v>
      </c>
      <c r="D27" s="122" t="str">
        <f>TEXT(Cochosen*1000000,"0.0")&amp;" µF, "&amp;TEXT(Co_esr,"0.000")&amp;"Ω"</f>
        <v>26.1 µF, 0.009Ω</v>
      </c>
      <c r="E27" s="123" t="str">
        <f>Vout&amp;"V"</f>
        <v>24V</v>
      </c>
      <c r="F27" s="124" t="str">
        <f>"Irms = "&amp;TEXT(Irms_cout,"0.000")&amp;"A"</f>
        <v>Irms = 3.362A</v>
      </c>
      <c r="G27" s="145"/>
      <c r="H27" s="141"/>
      <c r="I27" s="208"/>
      <c r="J27" s="209"/>
      <c r="K27" s="146"/>
      <c r="L27" s="141"/>
      <c r="M27" s="146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  <c r="GG27" s="141"/>
      <c r="GH27" s="141"/>
      <c r="GI27" s="141"/>
      <c r="GJ27" s="141"/>
      <c r="GK27" s="141"/>
      <c r="GL27" s="141"/>
      <c r="GM27" s="141"/>
      <c r="GN27" s="141"/>
      <c r="GO27" s="141"/>
      <c r="GP27" s="141"/>
      <c r="GQ27" s="141"/>
      <c r="GR27" s="141"/>
      <c r="GS27" s="141"/>
      <c r="GT27" s="141"/>
      <c r="GU27" s="141"/>
      <c r="GV27" s="141"/>
      <c r="GW27" s="141"/>
      <c r="GX27" s="141"/>
      <c r="GY27" s="141"/>
      <c r="GZ27" s="141"/>
      <c r="HA27" s="141"/>
      <c r="HB27" s="141"/>
      <c r="HC27" s="141"/>
      <c r="HD27" s="141"/>
      <c r="HE27" s="141"/>
      <c r="HF27" s="141"/>
      <c r="HG27" s="141"/>
      <c r="HH27" s="141"/>
      <c r="HI27" s="141"/>
      <c r="HJ27" s="141"/>
      <c r="HK27" s="141"/>
      <c r="HL27" s="141"/>
      <c r="HM27" s="141"/>
      <c r="HN27" s="141"/>
      <c r="HO27" s="141"/>
      <c r="HP27" s="141"/>
      <c r="HQ27" s="141"/>
      <c r="HR27" s="141"/>
      <c r="HS27" s="141"/>
      <c r="HT27" s="141"/>
      <c r="HU27" s="141"/>
      <c r="HV27" s="141"/>
      <c r="HW27" s="141"/>
      <c r="HX27" s="141"/>
      <c r="HY27" s="141"/>
      <c r="HZ27" s="141"/>
      <c r="IA27" s="141"/>
      <c r="IB27" s="141"/>
      <c r="IC27" s="141"/>
      <c r="ID27" s="141"/>
      <c r="IE27" s="141"/>
      <c r="IF27" s="141"/>
      <c r="IG27" s="141"/>
      <c r="IH27" s="141"/>
      <c r="II27" s="141"/>
      <c r="IJ27" s="141"/>
      <c r="IK27" s="141"/>
      <c r="IL27" s="141"/>
      <c r="IM27" s="141"/>
      <c r="IN27" s="141"/>
      <c r="IO27" s="141"/>
      <c r="IP27" s="141"/>
      <c r="IQ27" s="141"/>
      <c r="IR27" s="141"/>
      <c r="IS27" s="141"/>
      <c r="IT27" s="141"/>
      <c r="IU27" s="141"/>
      <c r="IV27" s="141"/>
    </row>
    <row r="28" spans="1:256" s="74" customFormat="1" ht="19.5" x14ac:dyDescent="0.35">
      <c r="A28" s="195"/>
      <c r="B28" s="153" t="s">
        <v>384</v>
      </c>
      <c r="C28" s="153" t="s">
        <v>395</v>
      </c>
      <c r="D28" s="122" t="str">
        <f>D118</f>
        <v>n/a</v>
      </c>
      <c r="E28" s="123" t="str">
        <f>Vout&amp;"V"</f>
        <v>24V</v>
      </c>
      <c r="F28" s="141"/>
      <c r="G28" s="146"/>
      <c r="H28" s="141"/>
      <c r="I28" s="198"/>
      <c r="J28" s="209"/>
      <c r="K28" s="146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41"/>
      <c r="DL28" s="141"/>
      <c r="DM28" s="141"/>
      <c r="DN28" s="141"/>
      <c r="DO28" s="141"/>
      <c r="DP28" s="141"/>
      <c r="DQ28" s="141"/>
      <c r="DR28" s="141"/>
      <c r="DS28" s="141"/>
      <c r="DT28" s="141"/>
      <c r="DU28" s="141"/>
      <c r="DV28" s="141"/>
      <c r="DW28" s="141"/>
      <c r="DX28" s="141"/>
      <c r="DY28" s="141"/>
      <c r="DZ28" s="141"/>
      <c r="EA28" s="141"/>
      <c r="EB28" s="141"/>
      <c r="EC28" s="141"/>
      <c r="ED28" s="141"/>
      <c r="EE28" s="141"/>
      <c r="EF28" s="141"/>
      <c r="EG28" s="141"/>
      <c r="EH28" s="141"/>
      <c r="EI28" s="141"/>
      <c r="EJ28" s="141"/>
      <c r="EK28" s="141"/>
      <c r="EL28" s="141"/>
      <c r="EM28" s="141"/>
      <c r="EN28" s="141"/>
      <c r="EO28" s="141"/>
      <c r="EP28" s="141"/>
      <c r="EQ28" s="141"/>
      <c r="ER28" s="141"/>
      <c r="ES28" s="141"/>
      <c r="ET28" s="141"/>
      <c r="EU28" s="141"/>
      <c r="EV28" s="141"/>
      <c r="EW28" s="141"/>
      <c r="EX28" s="141"/>
      <c r="EY28" s="141"/>
      <c r="EZ28" s="141"/>
      <c r="FA28" s="141"/>
      <c r="FB28" s="141"/>
      <c r="FC28" s="141"/>
      <c r="FD28" s="141"/>
      <c r="FE28" s="141"/>
      <c r="FF28" s="141"/>
      <c r="FG28" s="141"/>
      <c r="FH28" s="141"/>
      <c r="FI28" s="141"/>
      <c r="FJ28" s="141"/>
      <c r="FK28" s="141"/>
      <c r="FL28" s="141"/>
      <c r="FM28" s="141"/>
      <c r="FN28" s="141"/>
      <c r="FO28" s="141"/>
      <c r="FP28" s="141"/>
      <c r="FQ28" s="141"/>
      <c r="FR28" s="141"/>
      <c r="FS28" s="141"/>
      <c r="FT28" s="141"/>
      <c r="FU28" s="141"/>
      <c r="FV28" s="141"/>
      <c r="FW28" s="141"/>
      <c r="FX28" s="141"/>
      <c r="FY28" s="141"/>
      <c r="FZ28" s="141"/>
      <c r="GA28" s="141"/>
      <c r="GB28" s="141"/>
      <c r="GC28" s="141"/>
      <c r="GD28" s="141"/>
      <c r="GE28" s="141"/>
      <c r="GF28" s="141"/>
      <c r="GG28" s="141"/>
      <c r="GH28" s="141"/>
      <c r="GI28" s="141"/>
      <c r="GJ28" s="141"/>
      <c r="GK28" s="141"/>
      <c r="GL28" s="141"/>
      <c r="GM28" s="141"/>
      <c r="GN28" s="141"/>
      <c r="GO28" s="141"/>
      <c r="GP28" s="141"/>
      <c r="GQ28" s="141"/>
      <c r="GR28" s="141"/>
      <c r="GS28" s="141"/>
      <c r="GT28" s="141"/>
      <c r="GU28" s="141"/>
      <c r="GV28" s="141"/>
      <c r="GW28" s="141"/>
      <c r="GX28" s="141"/>
      <c r="GY28" s="141"/>
      <c r="GZ28" s="141"/>
      <c r="HA28" s="141"/>
      <c r="HB28" s="141"/>
      <c r="HC28" s="141"/>
      <c r="HD28" s="141"/>
      <c r="HE28" s="141"/>
      <c r="HF28" s="141"/>
      <c r="HG28" s="141"/>
      <c r="HH28" s="141"/>
      <c r="HI28" s="141"/>
      <c r="HJ28" s="141"/>
      <c r="HK28" s="141"/>
      <c r="HL28" s="141"/>
      <c r="HM28" s="141"/>
      <c r="HN28" s="141"/>
      <c r="HO28" s="141"/>
      <c r="HP28" s="141"/>
      <c r="HQ28" s="141"/>
      <c r="HR28" s="141"/>
      <c r="HS28" s="141"/>
      <c r="HT28" s="141"/>
      <c r="HU28" s="141"/>
      <c r="HV28" s="141"/>
      <c r="HW28" s="141"/>
      <c r="HX28" s="141"/>
      <c r="HY28" s="141"/>
      <c r="HZ28" s="141"/>
      <c r="IA28" s="141"/>
      <c r="IB28" s="141"/>
      <c r="IC28" s="141"/>
      <c r="ID28" s="141"/>
      <c r="IE28" s="141"/>
      <c r="IF28" s="141"/>
      <c r="IG28" s="141"/>
      <c r="IH28" s="141"/>
      <c r="II28" s="141"/>
      <c r="IJ28" s="141"/>
      <c r="IK28" s="141"/>
      <c r="IL28" s="141"/>
      <c r="IM28" s="141"/>
      <c r="IN28" s="141"/>
      <c r="IO28" s="141"/>
      <c r="IP28" s="141"/>
      <c r="IQ28" s="141"/>
      <c r="IR28" s="141"/>
      <c r="IS28" s="141"/>
      <c r="IT28" s="141"/>
      <c r="IU28" s="141"/>
      <c r="IV28" s="141"/>
    </row>
    <row r="29" spans="1:256" s="74" customFormat="1" x14ac:dyDescent="0.2">
      <c r="A29" s="195"/>
      <c r="B29" s="153" t="s">
        <v>59</v>
      </c>
      <c r="C29" s="153" t="s">
        <v>396</v>
      </c>
      <c r="D29" s="122" t="str">
        <f>TEXT(L*1000000,"0.0")&amp;" µH"</f>
        <v>4.7 µH</v>
      </c>
      <c r="E29" s="124" t="str">
        <f>"Isat = "&amp;TEXT(Isat,"0.000")&amp;"A"</f>
        <v>Isat = 10.322A</v>
      </c>
      <c r="F29" s="124" t="str">
        <f>"Irms = "&amp;TEXT(Ilrms,"0.000")&amp;"A"</f>
        <v>Irms = 8.001A</v>
      </c>
      <c r="G29" s="145"/>
      <c r="H29" s="141"/>
      <c r="I29" s="208"/>
      <c r="J29" s="209"/>
      <c r="K29" s="146"/>
      <c r="L29" s="141"/>
      <c r="M29" s="146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41"/>
      <c r="DL29" s="141"/>
      <c r="DM29" s="141"/>
      <c r="DN29" s="141"/>
      <c r="DO29" s="141"/>
      <c r="DP29" s="141"/>
      <c r="DQ29" s="141"/>
      <c r="DR29" s="141"/>
      <c r="DS29" s="141"/>
      <c r="DT29" s="141"/>
      <c r="DU29" s="141"/>
      <c r="DV29" s="141"/>
      <c r="DW29" s="141"/>
      <c r="DX29" s="141"/>
      <c r="DY29" s="141"/>
      <c r="DZ29" s="141"/>
      <c r="EA29" s="141"/>
      <c r="EB29" s="141"/>
      <c r="EC29" s="141"/>
      <c r="ED29" s="141"/>
      <c r="EE29" s="141"/>
      <c r="EF29" s="141"/>
      <c r="EG29" s="141"/>
      <c r="EH29" s="141"/>
      <c r="EI29" s="141"/>
      <c r="EJ29" s="141"/>
      <c r="EK29" s="141"/>
      <c r="EL29" s="141"/>
      <c r="EM29" s="141"/>
      <c r="EN29" s="141"/>
      <c r="EO29" s="141"/>
      <c r="EP29" s="141"/>
      <c r="EQ29" s="141"/>
      <c r="ER29" s="141"/>
      <c r="ES29" s="141"/>
      <c r="ET29" s="141"/>
      <c r="EU29" s="141"/>
      <c r="EV29" s="141"/>
      <c r="EW29" s="141"/>
      <c r="EX29" s="141"/>
      <c r="EY29" s="141"/>
      <c r="EZ29" s="141"/>
      <c r="FA29" s="141"/>
      <c r="FB29" s="141"/>
      <c r="FC29" s="141"/>
      <c r="FD29" s="141"/>
      <c r="FE29" s="141"/>
      <c r="FF29" s="141"/>
      <c r="FG29" s="141"/>
      <c r="FH29" s="141"/>
      <c r="FI29" s="141"/>
      <c r="FJ29" s="141"/>
      <c r="FK29" s="141"/>
      <c r="FL29" s="141"/>
      <c r="FM29" s="141"/>
      <c r="FN29" s="141"/>
      <c r="FO29" s="141"/>
      <c r="FP29" s="141"/>
      <c r="FQ29" s="141"/>
      <c r="FR29" s="141"/>
      <c r="FS29" s="141"/>
      <c r="FT29" s="141"/>
      <c r="FU29" s="141"/>
      <c r="FV29" s="141"/>
      <c r="FW29" s="141"/>
      <c r="FX29" s="141"/>
      <c r="FY29" s="141"/>
      <c r="FZ29" s="141"/>
      <c r="GA29" s="141"/>
      <c r="GB29" s="141"/>
      <c r="GC29" s="141"/>
      <c r="GD29" s="141"/>
      <c r="GE29" s="141"/>
      <c r="GF29" s="141"/>
      <c r="GG29" s="141"/>
      <c r="GH29" s="141"/>
      <c r="GI29" s="141"/>
      <c r="GJ29" s="141"/>
      <c r="GK29" s="141"/>
      <c r="GL29" s="141"/>
      <c r="GM29" s="141"/>
      <c r="GN29" s="141"/>
      <c r="GO29" s="141"/>
      <c r="GP29" s="141"/>
      <c r="GQ29" s="141"/>
      <c r="GR29" s="141"/>
      <c r="GS29" s="141"/>
      <c r="GT29" s="141"/>
      <c r="GU29" s="141"/>
      <c r="GV29" s="141"/>
      <c r="GW29" s="141"/>
      <c r="GX29" s="141"/>
      <c r="GY29" s="141"/>
      <c r="GZ29" s="141"/>
      <c r="HA29" s="141"/>
      <c r="HB29" s="141"/>
      <c r="HC29" s="141"/>
      <c r="HD29" s="141"/>
      <c r="HE29" s="141"/>
      <c r="HF29" s="141"/>
      <c r="HG29" s="141"/>
      <c r="HH29" s="141"/>
      <c r="HI29" s="141"/>
      <c r="HJ29" s="141"/>
      <c r="HK29" s="141"/>
      <c r="HL29" s="141"/>
      <c r="HM29" s="141"/>
      <c r="HN29" s="141"/>
      <c r="HO29" s="141"/>
      <c r="HP29" s="141"/>
      <c r="HQ29" s="141"/>
      <c r="HR29" s="141"/>
      <c r="HS29" s="141"/>
      <c r="HT29" s="141"/>
      <c r="HU29" s="141"/>
      <c r="HV29" s="141"/>
      <c r="HW29" s="141"/>
      <c r="HX29" s="141"/>
      <c r="HY29" s="141"/>
      <c r="HZ29" s="141"/>
      <c r="IA29" s="141"/>
      <c r="IB29" s="141"/>
      <c r="IC29" s="141"/>
      <c r="ID29" s="141"/>
      <c r="IE29" s="141"/>
      <c r="IF29" s="141"/>
      <c r="IG29" s="141"/>
      <c r="IH29" s="141"/>
      <c r="II29" s="141"/>
      <c r="IJ29" s="141"/>
      <c r="IK29" s="141"/>
      <c r="IL29" s="141"/>
      <c r="IM29" s="141"/>
      <c r="IN29" s="141"/>
      <c r="IO29" s="141"/>
      <c r="IP29" s="141"/>
      <c r="IQ29" s="141"/>
      <c r="IR29" s="141"/>
      <c r="IS29" s="141"/>
      <c r="IT29" s="141"/>
      <c r="IU29" s="141"/>
      <c r="IV29" s="141"/>
    </row>
    <row r="30" spans="1:256" s="74" customFormat="1" ht="19.5" x14ac:dyDescent="0.35">
      <c r="A30" s="195"/>
      <c r="B30" s="153" t="s">
        <v>383</v>
      </c>
      <c r="C30" s="153" t="s">
        <v>397</v>
      </c>
      <c r="D30" s="122" t="str">
        <f>D88</f>
        <v>BSC015NE2LS5I</v>
      </c>
      <c r="E30" s="145"/>
      <c r="F30" s="141"/>
      <c r="G30" s="146"/>
      <c r="H30" s="141"/>
      <c r="I30" s="198"/>
      <c r="J30" s="209"/>
      <c r="K30" s="146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  <c r="EX30" s="141"/>
      <c r="EY30" s="141"/>
      <c r="EZ30" s="141"/>
      <c r="FA30" s="141"/>
      <c r="FB30" s="141"/>
      <c r="FC30" s="141"/>
      <c r="FD30" s="141"/>
      <c r="FE30" s="141"/>
      <c r="FF30" s="141"/>
      <c r="FG30" s="141"/>
      <c r="FH30" s="141"/>
      <c r="FI30" s="141"/>
      <c r="FJ30" s="141"/>
      <c r="FK30" s="141"/>
      <c r="FL30" s="141"/>
      <c r="FM30" s="141"/>
      <c r="FN30" s="141"/>
      <c r="FO30" s="141"/>
      <c r="FP30" s="141"/>
      <c r="FQ30" s="141"/>
      <c r="FR30" s="141"/>
      <c r="FS30" s="141"/>
      <c r="FT30" s="141"/>
      <c r="FU30" s="141"/>
      <c r="FV30" s="141"/>
      <c r="FW30" s="141"/>
      <c r="FX30" s="141"/>
      <c r="FY30" s="141"/>
      <c r="FZ30" s="141"/>
      <c r="GA30" s="141"/>
      <c r="GB30" s="141"/>
      <c r="GC30" s="141"/>
      <c r="GD30" s="141"/>
      <c r="GE30" s="141"/>
      <c r="GF30" s="141"/>
      <c r="GG30" s="141"/>
      <c r="GH30" s="141"/>
      <c r="GI30" s="141"/>
      <c r="GJ30" s="141"/>
      <c r="GK30" s="141"/>
      <c r="GL30" s="141"/>
      <c r="GM30" s="141"/>
      <c r="GN30" s="141"/>
      <c r="GO30" s="141"/>
      <c r="GP30" s="141"/>
      <c r="GQ30" s="141"/>
      <c r="GR30" s="141"/>
      <c r="GS30" s="141"/>
      <c r="GT30" s="141"/>
      <c r="GU30" s="141"/>
      <c r="GV30" s="141"/>
      <c r="GW30" s="141"/>
      <c r="GX30" s="141"/>
      <c r="GY30" s="141"/>
      <c r="GZ30" s="141"/>
      <c r="HA30" s="141"/>
      <c r="HB30" s="141"/>
      <c r="HC30" s="141"/>
      <c r="HD30" s="141"/>
      <c r="HE30" s="141"/>
      <c r="HF30" s="141"/>
      <c r="HG30" s="141"/>
      <c r="HH30" s="141"/>
      <c r="HI30" s="141"/>
      <c r="HJ30" s="141"/>
      <c r="HK30" s="141"/>
      <c r="HL30" s="141"/>
      <c r="HM30" s="141"/>
      <c r="HN30" s="141"/>
      <c r="HO30" s="141"/>
      <c r="HP30" s="141"/>
      <c r="HQ30" s="141"/>
      <c r="HR30" s="141"/>
      <c r="HS30" s="141"/>
      <c r="HT30" s="141"/>
      <c r="HU30" s="141"/>
      <c r="HV30" s="141"/>
      <c r="HW30" s="141"/>
      <c r="HX30" s="141"/>
      <c r="HY30" s="141"/>
      <c r="HZ30" s="141"/>
      <c r="IA30" s="141"/>
      <c r="IB30" s="141"/>
      <c r="IC30" s="141"/>
      <c r="ID30" s="141"/>
      <c r="IE30" s="141"/>
      <c r="IF30" s="141"/>
      <c r="IG30" s="141"/>
      <c r="IH30" s="141"/>
      <c r="II30" s="141"/>
      <c r="IJ30" s="141"/>
      <c r="IK30" s="141"/>
      <c r="IL30" s="141"/>
      <c r="IM30" s="141"/>
      <c r="IN30" s="141"/>
      <c r="IO30" s="141"/>
      <c r="IP30" s="141"/>
      <c r="IQ30" s="141"/>
      <c r="IR30" s="141"/>
      <c r="IS30" s="141"/>
      <c r="IT30" s="141"/>
      <c r="IU30" s="141"/>
      <c r="IV30" s="141"/>
    </row>
    <row r="31" spans="1:256" s="74" customFormat="1" ht="19.5" x14ac:dyDescent="0.35">
      <c r="A31" s="195"/>
      <c r="B31" s="153" t="s">
        <v>382</v>
      </c>
      <c r="C31" s="153" t="s">
        <v>400</v>
      </c>
      <c r="D31" s="122" t="str">
        <f>D103</f>
        <v>BSC015NE2LS5I</v>
      </c>
      <c r="E31" s="145"/>
      <c r="F31" s="141"/>
      <c r="G31" s="146"/>
      <c r="H31" s="141"/>
      <c r="I31" s="198"/>
      <c r="J31" s="209"/>
      <c r="K31" s="146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  <c r="EX31" s="141"/>
      <c r="EY31" s="141"/>
      <c r="EZ31" s="141"/>
      <c r="FA31" s="141"/>
      <c r="FB31" s="141"/>
      <c r="FC31" s="141"/>
      <c r="FD31" s="141"/>
      <c r="FE31" s="141"/>
      <c r="FF31" s="141"/>
      <c r="FG31" s="141"/>
      <c r="FH31" s="141"/>
      <c r="FI31" s="141"/>
      <c r="FJ31" s="141"/>
      <c r="FK31" s="141"/>
      <c r="FL31" s="141"/>
      <c r="FM31" s="141"/>
      <c r="FN31" s="141"/>
      <c r="FO31" s="141"/>
      <c r="FP31" s="141"/>
      <c r="FQ31" s="141"/>
      <c r="FR31" s="141"/>
      <c r="FS31" s="141"/>
      <c r="FT31" s="141"/>
      <c r="FU31" s="141"/>
      <c r="FV31" s="141"/>
      <c r="FW31" s="141"/>
      <c r="FX31" s="141"/>
      <c r="FY31" s="141"/>
      <c r="FZ31" s="141"/>
      <c r="GA31" s="141"/>
      <c r="GB31" s="141"/>
      <c r="GC31" s="141"/>
      <c r="GD31" s="141"/>
      <c r="GE31" s="141"/>
      <c r="GF31" s="141"/>
      <c r="GG31" s="141"/>
      <c r="GH31" s="141"/>
      <c r="GI31" s="141"/>
      <c r="GJ31" s="141"/>
      <c r="GK31" s="141"/>
      <c r="GL31" s="141"/>
      <c r="GM31" s="141"/>
      <c r="GN31" s="141"/>
      <c r="GO31" s="141"/>
      <c r="GP31" s="141"/>
      <c r="GQ31" s="141"/>
      <c r="GR31" s="141"/>
      <c r="GS31" s="141"/>
      <c r="GT31" s="141"/>
      <c r="GU31" s="141"/>
      <c r="GV31" s="141"/>
      <c r="GW31" s="141"/>
      <c r="GX31" s="141"/>
      <c r="GY31" s="141"/>
      <c r="GZ31" s="141"/>
      <c r="HA31" s="141"/>
      <c r="HB31" s="141"/>
      <c r="HC31" s="141"/>
      <c r="HD31" s="141"/>
      <c r="HE31" s="141"/>
      <c r="HF31" s="141"/>
      <c r="HG31" s="141"/>
      <c r="HH31" s="141"/>
      <c r="HI31" s="141"/>
      <c r="HJ31" s="141"/>
      <c r="HK31" s="141"/>
      <c r="HL31" s="141"/>
      <c r="HM31" s="141"/>
      <c r="HN31" s="141"/>
      <c r="HO31" s="141"/>
      <c r="HP31" s="141"/>
      <c r="HQ31" s="141"/>
      <c r="HR31" s="141"/>
      <c r="HS31" s="141"/>
      <c r="HT31" s="141"/>
      <c r="HU31" s="141"/>
      <c r="HV31" s="141"/>
      <c r="HW31" s="141"/>
      <c r="HX31" s="141"/>
      <c r="HY31" s="141"/>
      <c r="HZ31" s="141"/>
      <c r="IA31" s="141"/>
      <c r="IB31" s="141"/>
      <c r="IC31" s="141"/>
      <c r="ID31" s="141"/>
      <c r="IE31" s="141"/>
      <c r="IF31" s="141"/>
      <c r="IG31" s="141"/>
      <c r="IH31" s="141"/>
      <c r="II31" s="141"/>
      <c r="IJ31" s="141"/>
      <c r="IK31" s="141"/>
      <c r="IL31" s="141"/>
      <c r="IM31" s="141"/>
      <c r="IN31" s="141"/>
      <c r="IO31" s="141"/>
      <c r="IP31" s="141"/>
      <c r="IQ31" s="141"/>
      <c r="IR31" s="141"/>
      <c r="IS31" s="141"/>
      <c r="IT31" s="141"/>
      <c r="IU31" s="141"/>
      <c r="IV31" s="141"/>
    </row>
    <row r="32" spans="1:256" s="74" customFormat="1" ht="19.5" x14ac:dyDescent="0.35">
      <c r="A32" s="195"/>
      <c r="B32" s="153" t="s">
        <v>375</v>
      </c>
      <c r="C32" s="153" t="s">
        <v>401</v>
      </c>
      <c r="D32" s="123" t="str">
        <f>TEXT(Rsense,"0.000")&amp;" Ω"</f>
        <v>0.005 Ω</v>
      </c>
      <c r="E32" s="123" t="str">
        <f>TEXT(D72,"0.000")&amp;"W"</f>
        <v>1.345W</v>
      </c>
      <c r="F32" s="146"/>
      <c r="G32" s="145"/>
      <c r="H32" s="141"/>
      <c r="I32" s="208"/>
      <c r="J32" s="209"/>
      <c r="K32" s="146"/>
      <c r="L32" s="141"/>
      <c r="M32" s="146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  <c r="FD32" s="141"/>
      <c r="FE32" s="141"/>
      <c r="FF32" s="141"/>
      <c r="FG32" s="141"/>
      <c r="FH32" s="141"/>
      <c r="FI32" s="141"/>
      <c r="FJ32" s="141"/>
      <c r="FK32" s="141"/>
      <c r="FL32" s="141"/>
      <c r="FM32" s="141"/>
      <c r="FN32" s="141"/>
      <c r="FO32" s="141"/>
      <c r="FP32" s="141"/>
      <c r="FQ32" s="141"/>
      <c r="FR32" s="141"/>
      <c r="FS32" s="141"/>
      <c r="FT32" s="141"/>
      <c r="FU32" s="141"/>
      <c r="FV32" s="141"/>
      <c r="FW32" s="141"/>
      <c r="FX32" s="141"/>
      <c r="FY32" s="141"/>
      <c r="FZ32" s="141"/>
      <c r="GA32" s="141"/>
      <c r="GB32" s="141"/>
      <c r="GC32" s="141"/>
      <c r="GD32" s="141"/>
      <c r="GE32" s="141"/>
      <c r="GF32" s="141"/>
      <c r="GG32" s="141"/>
      <c r="GH32" s="141"/>
      <c r="GI32" s="141"/>
      <c r="GJ32" s="141"/>
      <c r="GK32" s="141"/>
      <c r="GL32" s="141"/>
      <c r="GM32" s="141"/>
      <c r="GN32" s="141"/>
      <c r="GO32" s="141"/>
      <c r="GP32" s="141"/>
      <c r="GQ32" s="141"/>
      <c r="GR32" s="141"/>
      <c r="GS32" s="141"/>
      <c r="GT32" s="141"/>
      <c r="GU32" s="141"/>
      <c r="GV32" s="141"/>
      <c r="GW32" s="141"/>
      <c r="GX32" s="141"/>
      <c r="GY32" s="141"/>
      <c r="GZ32" s="141"/>
      <c r="HA32" s="141"/>
      <c r="HB32" s="141"/>
      <c r="HC32" s="141"/>
      <c r="HD32" s="141"/>
      <c r="HE32" s="141"/>
      <c r="HF32" s="141"/>
      <c r="HG32" s="141"/>
      <c r="HH32" s="141"/>
      <c r="HI32" s="141"/>
      <c r="HJ32" s="141"/>
      <c r="HK32" s="141"/>
      <c r="HL32" s="141"/>
      <c r="HM32" s="141"/>
      <c r="HN32" s="141"/>
      <c r="HO32" s="141"/>
      <c r="HP32" s="141"/>
      <c r="HQ32" s="141"/>
      <c r="HR32" s="141"/>
      <c r="HS32" s="141"/>
      <c r="HT32" s="141"/>
      <c r="HU32" s="141"/>
      <c r="HV32" s="141"/>
      <c r="HW32" s="141"/>
      <c r="HX32" s="141"/>
      <c r="HY32" s="141"/>
      <c r="HZ32" s="141"/>
      <c r="IA32" s="141"/>
      <c r="IB32" s="141"/>
      <c r="IC32" s="141"/>
      <c r="ID32" s="141"/>
      <c r="IE32" s="141"/>
      <c r="IF32" s="141"/>
      <c r="IG32" s="141"/>
      <c r="IH32" s="141"/>
      <c r="II32" s="141"/>
      <c r="IJ32" s="141"/>
      <c r="IK32" s="141"/>
      <c r="IL32" s="141"/>
      <c r="IM32" s="141"/>
      <c r="IN32" s="141"/>
      <c r="IO32" s="141"/>
      <c r="IP32" s="141"/>
      <c r="IQ32" s="141"/>
      <c r="IR32" s="141"/>
      <c r="IS32" s="141"/>
      <c r="IT32" s="141"/>
      <c r="IU32" s="141"/>
      <c r="IV32" s="141"/>
    </row>
    <row r="33" spans="1:256" s="74" customFormat="1" ht="19.5" x14ac:dyDescent="0.35">
      <c r="A33" s="195"/>
      <c r="B33" s="153" t="s">
        <v>414</v>
      </c>
      <c r="C33" s="153" t="s">
        <v>402</v>
      </c>
      <c r="D33" s="123" t="str">
        <f>Ruvloh/1000&amp;" kΩ"</f>
        <v>6.81 kΩ</v>
      </c>
      <c r="E33" s="145"/>
      <c r="F33" s="141"/>
      <c r="G33" s="146"/>
      <c r="H33" s="141"/>
      <c r="I33" s="198"/>
      <c r="J33" s="209"/>
      <c r="K33" s="146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  <c r="EX33" s="141"/>
      <c r="EY33" s="141"/>
      <c r="EZ33" s="141"/>
      <c r="FA33" s="141"/>
      <c r="FB33" s="141"/>
      <c r="FC33" s="141"/>
      <c r="FD33" s="141"/>
      <c r="FE33" s="141"/>
      <c r="FF33" s="141"/>
      <c r="FG33" s="141"/>
      <c r="FH33" s="141"/>
      <c r="FI33" s="141"/>
      <c r="FJ33" s="141"/>
      <c r="FK33" s="141"/>
      <c r="FL33" s="141"/>
      <c r="FM33" s="141"/>
      <c r="FN33" s="141"/>
      <c r="FO33" s="141"/>
      <c r="FP33" s="141"/>
      <c r="FQ33" s="141"/>
      <c r="FR33" s="141"/>
      <c r="FS33" s="141"/>
      <c r="FT33" s="141"/>
      <c r="FU33" s="141"/>
      <c r="FV33" s="141"/>
      <c r="FW33" s="141"/>
      <c r="FX33" s="141"/>
      <c r="FY33" s="141"/>
      <c r="FZ33" s="141"/>
      <c r="GA33" s="141"/>
      <c r="GB33" s="141"/>
      <c r="GC33" s="141"/>
      <c r="GD33" s="141"/>
      <c r="GE33" s="141"/>
      <c r="GF33" s="141"/>
      <c r="GG33" s="141"/>
      <c r="GH33" s="141"/>
      <c r="GI33" s="141"/>
      <c r="GJ33" s="141"/>
      <c r="GK33" s="141"/>
      <c r="GL33" s="141"/>
      <c r="GM33" s="141"/>
      <c r="GN33" s="141"/>
      <c r="GO33" s="141"/>
      <c r="GP33" s="141"/>
      <c r="GQ33" s="141"/>
      <c r="GR33" s="141"/>
      <c r="GS33" s="141"/>
      <c r="GT33" s="141"/>
      <c r="GU33" s="141"/>
      <c r="GV33" s="141"/>
      <c r="GW33" s="141"/>
      <c r="GX33" s="141"/>
      <c r="GY33" s="141"/>
      <c r="GZ33" s="141"/>
      <c r="HA33" s="141"/>
      <c r="HB33" s="141"/>
      <c r="HC33" s="141"/>
      <c r="HD33" s="141"/>
      <c r="HE33" s="141"/>
      <c r="HF33" s="141"/>
      <c r="HG33" s="141"/>
      <c r="HH33" s="141"/>
      <c r="HI33" s="141"/>
      <c r="HJ33" s="141"/>
      <c r="HK33" s="141"/>
      <c r="HL33" s="141"/>
      <c r="HM33" s="141"/>
      <c r="HN33" s="141"/>
      <c r="HO33" s="141"/>
      <c r="HP33" s="141"/>
      <c r="HQ33" s="141"/>
      <c r="HR33" s="141"/>
      <c r="HS33" s="141"/>
      <c r="HT33" s="141"/>
      <c r="HU33" s="141"/>
      <c r="HV33" s="141"/>
      <c r="HW33" s="141"/>
      <c r="HX33" s="141"/>
      <c r="HY33" s="141"/>
      <c r="HZ33" s="141"/>
      <c r="IA33" s="141"/>
      <c r="IB33" s="141"/>
      <c r="IC33" s="141"/>
      <c r="ID33" s="141"/>
      <c r="IE33" s="141"/>
      <c r="IF33" s="141"/>
      <c r="IG33" s="141"/>
      <c r="IH33" s="141"/>
      <c r="II33" s="141"/>
      <c r="IJ33" s="141"/>
      <c r="IK33" s="141"/>
      <c r="IL33" s="141"/>
      <c r="IM33" s="141"/>
      <c r="IN33" s="141"/>
      <c r="IO33" s="141"/>
      <c r="IP33" s="141"/>
      <c r="IQ33" s="141"/>
      <c r="IR33" s="141"/>
      <c r="IS33" s="141"/>
      <c r="IT33" s="141"/>
      <c r="IU33" s="141"/>
      <c r="IV33" s="141"/>
    </row>
    <row r="34" spans="1:256" s="74" customFormat="1" ht="19.5" x14ac:dyDescent="0.35">
      <c r="A34" s="195"/>
      <c r="B34" s="153" t="s">
        <v>415</v>
      </c>
      <c r="C34" s="153" t="s">
        <v>403</v>
      </c>
      <c r="D34" s="123" t="str">
        <f>Ruvlol/1000&amp;" kΩ"</f>
        <v>2.26 kΩ</v>
      </c>
      <c r="E34" s="145"/>
      <c r="F34" s="141"/>
      <c r="G34" s="146"/>
      <c r="H34" s="141"/>
      <c r="I34" s="198"/>
      <c r="J34" s="209"/>
      <c r="K34" s="146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  <c r="EX34" s="141"/>
      <c r="EY34" s="141"/>
      <c r="EZ34" s="141"/>
      <c r="FA34" s="141"/>
      <c r="FB34" s="141"/>
      <c r="FC34" s="141"/>
      <c r="FD34" s="141"/>
      <c r="FE34" s="141"/>
      <c r="FF34" s="141"/>
      <c r="FG34" s="141"/>
      <c r="FH34" s="141"/>
      <c r="FI34" s="141"/>
      <c r="FJ34" s="141"/>
      <c r="FK34" s="141"/>
      <c r="FL34" s="141"/>
      <c r="FM34" s="141"/>
      <c r="FN34" s="141"/>
      <c r="FO34" s="141"/>
      <c r="FP34" s="141"/>
      <c r="FQ34" s="141"/>
      <c r="FR34" s="141"/>
      <c r="FS34" s="141"/>
      <c r="FT34" s="141"/>
      <c r="FU34" s="141"/>
      <c r="FV34" s="141"/>
      <c r="FW34" s="141"/>
      <c r="FX34" s="141"/>
      <c r="FY34" s="141"/>
      <c r="FZ34" s="141"/>
      <c r="GA34" s="141"/>
      <c r="GB34" s="141"/>
      <c r="GC34" s="141"/>
      <c r="GD34" s="141"/>
      <c r="GE34" s="141"/>
      <c r="GF34" s="141"/>
      <c r="GG34" s="141"/>
      <c r="GH34" s="141"/>
      <c r="GI34" s="141"/>
      <c r="GJ34" s="141"/>
      <c r="GK34" s="141"/>
      <c r="GL34" s="141"/>
      <c r="GM34" s="141"/>
      <c r="GN34" s="141"/>
      <c r="GO34" s="141"/>
      <c r="GP34" s="141"/>
      <c r="GQ34" s="141"/>
      <c r="GR34" s="141"/>
      <c r="GS34" s="141"/>
      <c r="GT34" s="141"/>
      <c r="GU34" s="141"/>
      <c r="GV34" s="141"/>
      <c r="GW34" s="141"/>
      <c r="GX34" s="141"/>
      <c r="GY34" s="141"/>
      <c r="GZ34" s="141"/>
      <c r="HA34" s="141"/>
      <c r="HB34" s="141"/>
      <c r="HC34" s="141"/>
      <c r="HD34" s="141"/>
      <c r="HE34" s="141"/>
      <c r="HF34" s="141"/>
      <c r="HG34" s="141"/>
      <c r="HH34" s="141"/>
      <c r="HI34" s="141"/>
      <c r="HJ34" s="141"/>
      <c r="HK34" s="141"/>
      <c r="HL34" s="141"/>
      <c r="HM34" s="141"/>
      <c r="HN34" s="141"/>
      <c r="HO34" s="141"/>
      <c r="HP34" s="141"/>
      <c r="HQ34" s="141"/>
      <c r="HR34" s="141"/>
      <c r="HS34" s="141"/>
      <c r="HT34" s="141"/>
      <c r="HU34" s="141"/>
      <c r="HV34" s="141"/>
      <c r="HW34" s="141"/>
      <c r="HX34" s="141"/>
      <c r="HY34" s="141"/>
      <c r="HZ34" s="141"/>
      <c r="IA34" s="141"/>
      <c r="IB34" s="141"/>
      <c r="IC34" s="141"/>
      <c r="ID34" s="141"/>
      <c r="IE34" s="141"/>
      <c r="IF34" s="141"/>
      <c r="IG34" s="141"/>
      <c r="IH34" s="141"/>
      <c r="II34" s="141"/>
      <c r="IJ34" s="141"/>
      <c r="IK34" s="141"/>
      <c r="IL34" s="141"/>
      <c r="IM34" s="141"/>
      <c r="IN34" s="141"/>
      <c r="IO34" s="141"/>
      <c r="IP34" s="141"/>
      <c r="IQ34" s="141"/>
      <c r="IR34" s="141"/>
      <c r="IS34" s="141"/>
      <c r="IT34" s="141"/>
      <c r="IU34" s="141"/>
      <c r="IV34" s="141"/>
    </row>
    <row r="35" spans="1:256" s="74" customFormat="1" ht="19.5" x14ac:dyDescent="0.35">
      <c r="A35" s="195"/>
      <c r="B35" s="153" t="s">
        <v>377</v>
      </c>
      <c r="C35" s="153" t="s">
        <v>402</v>
      </c>
      <c r="D35" s="123" t="str">
        <f>Rcomp/1000&amp;" kΩ"</f>
        <v>4.99 kΩ</v>
      </c>
      <c r="E35" s="145"/>
      <c r="F35" s="141"/>
      <c r="G35" s="146"/>
      <c r="H35" s="141"/>
      <c r="I35" s="198"/>
      <c r="J35" s="209"/>
      <c r="K35" s="146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  <c r="EX35" s="141"/>
      <c r="EY35" s="141"/>
      <c r="EZ35" s="141"/>
      <c r="FA35" s="141"/>
      <c r="FB35" s="141"/>
      <c r="FC35" s="141"/>
      <c r="FD35" s="141"/>
      <c r="FE35" s="141"/>
      <c r="FF35" s="141"/>
      <c r="FG35" s="141"/>
      <c r="FH35" s="141"/>
      <c r="FI35" s="141"/>
      <c r="FJ35" s="141"/>
      <c r="FK35" s="141"/>
      <c r="FL35" s="141"/>
      <c r="FM35" s="141"/>
      <c r="FN35" s="141"/>
      <c r="FO35" s="141"/>
      <c r="FP35" s="141"/>
      <c r="FQ35" s="141"/>
      <c r="FR35" s="141"/>
      <c r="FS35" s="141"/>
      <c r="FT35" s="141"/>
      <c r="FU35" s="141"/>
      <c r="FV35" s="141"/>
      <c r="FW35" s="141"/>
      <c r="FX35" s="141"/>
      <c r="FY35" s="141"/>
      <c r="FZ35" s="141"/>
      <c r="GA35" s="141"/>
      <c r="GB35" s="141"/>
      <c r="GC35" s="141"/>
      <c r="GD35" s="141"/>
      <c r="GE35" s="141"/>
      <c r="GF35" s="141"/>
      <c r="GG35" s="141"/>
      <c r="GH35" s="141"/>
      <c r="GI35" s="141"/>
      <c r="GJ35" s="141"/>
      <c r="GK35" s="141"/>
      <c r="GL35" s="141"/>
      <c r="GM35" s="141"/>
      <c r="GN35" s="141"/>
      <c r="GO35" s="141"/>
      <c r="GP35" s="141"/>
      <c r="GQ35" s="141"/>
      <c r="GR35" s="141"/>
      <c r="GS35" s="141"/>
      <c r="GT35" s="141"/>
      <c r="GU35" s="141"/>
      <c r="GV35" s="141"/>
      <c r="GW35" s="141"/>
      <c r="GX35" s="141"/>
      <c r="GY35" s="141"/>
      <c r="GZ35" s="141"/>
      <c r="HA35" s="141"/>
      <c r="HB35" s="141"/>
      <c r="HC35" s="141"/>
      <c r="HD35" s="141"/>
      <c r="HE35" s="141"/>
      <c r="HF35" s="141"/>
      <c r="HG35" s="141"/>
      <c r="HH35" s="141"/>
      <c r="HI35" s="141"/>
      <c r="HJ35" s="141"/>
      <c r="HK35" s="141"/>
      <c r="HL35" s="141"/>
      <c r="HM35" s="141"/>
      <c r="HN35" s="141"/>
      <c r="HO35" s="141"/>
      <c r="HP35" s="141"/>
      <c r="HQ35" s="141"/>
      <c r="HR35" s="141"/>
      <c r="HS35" s="141"/>
      <c r="HT35" s="141"/>
      <c r="HU35" s="141"/>
      <c r="HV35" s="141"/>
      <c r="HW35" s="141"/>
      <c r="HX35" s="141"/>
      <c r="HY35" s="141"/>
      <c r="HZ35" s="141"/>
      <c r="IA35" s="141"/>
      <c r="IB35" s="141"/>
      <c r="IC35" s="141"/>
      <c r="ID35" s="141"/>
      <c r="IE35" s="141"/>
      <c r="IF35" s="141"/>
      <c r="IG35" s="141"/>
      <c r="IH35" s="141"/>
      <c r="II35" s="141"/>
      <c r="IJ35" s="141"/>
      <c r="IK35" s="141"/>
      <c r="IL35" s="141"/>
      <c r="IM35" s="141"/>
      <c r="IN35" s="141"/>
      <c r="IO35" s="141"/>
      <c r="IP35" s="141"/>
      <c r="IQ35" s="141"/>
      <c r="IR35" s="141"/>
      <c r="IS35" s="141"/>
      <c r="IT35" s="141"/>
      <c r="IU35" s="141"/>
      <c r="IV35" s="141"/>
    </row>
    <row r="36" spans="1:256" s="74" customFormat="1" ht="19.5" x14ac:dyDescent="0.35">
      <c r="A36" s="195"/>
      <c r="B36" s="153" t="s">
        <v>374</v>
      </c>
      <c r="C36" s="153" t="s">
        <v>403</v>
      </c>
      <c r="D36" s="123" t="str">
        <f>Rfreq/1000&amp;" kΩ"</f>
        <v>76.8 kΩ</v>
      </c>
      <c r="E36" s="145"/>
      <c r="F36" s="141"/>
      <c r="G36" s="146"/>
      <c r="H36" s="141"/>
      <c r="I36" s="198"/>
      <c r="J36" s="209"/>
      <c r="K36" s="146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141"/>
      <c r="DE36" s="141"/>
      <c r="DF36" s="141"/>
      <c r="DG36" s="141"/>
      <c r="DH36" s="141"/>
      <c r="DI36" s="141"/>
      <c r="DJ36" s="141"/>
      <c r="DK36" s="141"/>
      <c r="DL36" s="141"/>
      <c r="DM36" s="141"/>
      <c r="DN36" s="141"/>
      <c r="DO36" s="141"/>
      <c r="DP36" s="141"/>
      <c r="DQ36" s="141"/>
      <c r="DR36" s="141"/>
      <c r="DS36" s="141"/>
      <c r="DT36" s="141"/>
      <c r="DU36" s="141"/>
      <c r="DV36" s="141"/>
      <c r="DW36" s="141"/>
      <c r="DX36" s="141"/>
      <c r="DY36" s="141"/>
      <c r="DZ36" s="141"/>
      <c r="EA36" s="141"/>
      <c r="EB36" s="141"/>
      <c r="EC36" s="141"/>
      <c r="ED36" s="141"/>
      <c r="EE36" s="141"/>
      <c r="EF36" s="141"/>
      <c r="EG36" s="141"/>
      <c r="EH36" s="141"/>
      <c r="EI36" s="141"/>
      <c r="EJ36" s="141"/>
      <c r="EK36" s="141"/>
      <c r="EL36" s="141"/>
      <c r="EM36" s="141"/>
      <c r="EN36" s="141"/>
      <c r="EO36" s="141"/>
      <c r="EP36" s="141"/>
      <c r="EQ36" s="141"/>
      <c r="ER36" s="141"/>
      <c r="ES36" s="141"/>
      <c r="ET36" s="141"/>
      <c r="EU36" s="141"/>
      <c r="EV36" s="141"/>
      <c r="EW36" s="141"/>
      <c r="EX36" s="141"/>
      <c r="EY36" s="141"/>
      <c r="EZ36" s="141"/>
      <c r="FA36" s="141"/>
      <c r="FB36" s="141"/>
      <c r="FC36" s="141"/>
      <c r="FD36" s="141"/>
      <c r="FE36" s="141"/>
      <c r="FF36" s="141"/>
      <c r="FG36" s="141"/>
      <c r="FH36" s="141"/>
      <c r="FI36" s="141"/>
      <c r="FJ36" s="141"/>
      <c r="FK36" s="141"/>
      <c r="FL36" s="141"/>
      <c r="FM36" s="141"/>
      <c r="FN36" s="141"/>
      <c r="FO36" s="141"/>
      <c r="FP36" s="141"/>
      <c r="FQ36" s="141"/>
      <c r="FR36" s="141"/>
      <c r="FS36" s="141"/>
      <c r="FT36" s="141"/>
      <c r="FU36" s="141"/>
      <c r="FV36" s="141"/>
      <c r="FW36" s="141"/>
      <c r="FX36" s="141"/>
      <c r="FY36" s="141"/>
      <c r="FZ36" s="141"/>
      <c r="GA36" s="141"/>
      <c r="GB36" s="141"/>
      <c r="GC36" s="141"/>
      <c r="GD36" s="141"/>
      <c r="GE36" s="141"/>
      <c r="GF36" s="141"/>
      <c r="GG36" s="141"/>
      <c r="GH36" s="141"/>
      <c r="GI36" s="141"/>
      <c r="GJ36" s="141"/>
      <c r="GK36" s="141"/>
      <c r="GL36" s="141"/>
      <c r="GM36" s="141"/>
      <c r="GN36" s="141"/>
      <c r="GO36" s="141"/>
      <c r="GP36" s="141"/>
      <c r="GQ36" s="141"/>
      <c r="GR36" s="141"/>
      <c r="GS36" s="141"/>
      <c r="GT36" s="141"/>
      <c r="GU36" s="141"/>
      <c r="GV36" s="141"/>
      <c r="GW36" s="141"/>
      <c r="GX36" s="141"/>
      <c r="GY36" s="141"/>
      <c r="GZ36" s="141"/>
      <c r="HA36" s="141"/>
      <c r="HB36" s="141"/>
      <c r="HC36" s="141"/>
      <c r="HD36" s="141"/>
      <c r="HE36" s="141"/>
      <c r="HF36" s="141"/>
      <c r="HG36" s="141"/>
      <c r="HH36" s="141"/>
      <c r="HI36" s="141"/>
      <c r="HJ36" s="141"/>
      <c r="HK36" s="141"/>
      <c r="HL36" s="141"/>
      <c r="HM36" s="141"/>
      <c r="HN36" s="141"/>
      <c r="HO36" s="141"/>
      <c r="HP36" s="141"/>
      <c r="HQ36" s="141"/>
      <c r="HR36" s="141"/>
      <c r="HS36" s="141"/>
      <c r="HT36" s="141"/>
      <c r="HU36" s="141"/>
      <c r="HV36" s="141"/>
      <c r="HW36" s="141"/>
      <c r="HX36" s="141"/>
      <c r="HY36" s="141"/>
      <c r="HZ36" s="141"/>
      <c r="IA36" s="141"/>
      <c r="IB36" s="141"/>
      <c r="IC36" s="141"/>
      <c r="ID36" s="141"/>
      <c r="IE36" s="141"/>
      <c r="IF36" s="141"/>
      <c r="IG36" s="141"/>
      <c r="IH36" s="141"/>
      <c r="II36" s="141"/>
      <c r="IJ36" s="141"/>
      <c r="IK36" s="141"/>
      <c r="IL36" s="141"/>
      <c r="IM36" s="141"/>
      <c r="IN36" s="141"/>
      <c r="IO36" s="141"/>
      <c r="IP36" s="141"/>
      <c r="IQ36" s="141"/>
      <c r="IR36" s="141"/>
      <c r="IS36" s="141"/>
      <c r="IT36" s="141"/>
      <c r="IU36" s="141"/>
      <c r="IV36" s="141"/>
    </row>
    <row r="37" spans="1:256" s="74" customFormat="1" ht="19.5" x14ac:dyDescent="0.35">
      <c r="A37" s="195"/>
      <c r="B37" s="153" t="s">
        <v>189</v>
      </c>
      <c r="C37" s="153" t="s">
        <v>404</v>
      </c>
      <c r="D37" s="123" t="str">
        <f>Rsl/1000&amp;" kΩ"</f>
        <v>11 kΩ</v>
      </c>
      <c r="E37" s="145"/>
      <c r="F37" s="141"/>
      <c r="G37" s="146"/>
      <c r="H37" s="141"/>
      <c r="I37" s="198"/>
      <c r="J37" s="209"/>
      <c r="K37" s="146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1"/>
      <c r="DH37" s="141"/>
      <c r="DI37" s="141"/>
      <c r="DJ37" s="141"/>
      <c r="DK37" s="141"/>
      <c r="DL37" s="141"/>
      <c r="DM37" s="141"/>
      <c r="DN37" s="141"/>
      <c r="DO37" s="141"/>
      <c r="DP37" s="141"/>
      <c r="DQ37" s="141"/>
      <c r="DR37" s="141"/>
      <c r="DS37" s="141"/>
      <c r="DT37" s="141"/>
      <c r="DU37" s="141"/>
      <c r="DV37" s="141"/>
      <c r="DW37" s="141"/>
      <c r="DX37" s="141"/>
      <c r="DY37" s="141"/>
      <c r="DZ37" s="141"/>
      <c r="EA37" s="141"/>
      <c r="EB37" s="141"/>
      <c r="EC37" s="141"/>
      <c r="ED37" s="141"/>
      <c r="EE37" s="141"/>
      <c r="EF37" s="141"/>
      <c r="EG37" s="141"/>
      <c r="EH37" s="141"/>
      <c r="EI37" s="141"/>
      <c r="EJ37" s="141"/>
      <c r="EK37" s="141"/>
      <c r="EL37" s="141"/>
      <c r="EM37" s="141"/>
      <c r="EN37" s="141"/>
      <c r="EO37" s="141"/>
      <c r="EP37" s="141"/>
      <c r="EQ37" s="141"/>
      <c r="ER37" s="141"/>
      <c r="ES37" s="141"/>
      <c r="ET37" s="141"/>
      <c r="EU37" s="141"/>
      <c r="EV37" s="141"/>
      <c r="EW37" s="141"/>
      <c r="EX37" s="141"/>
      <c r="EY37" s="141"/>
      <c r="EZ37" s="141"/>
      <c r="FA37" s="141"/>
      <c r="FB37" s="141"/>
      <c r="FC37" s="141"/>
      <c r="FD37" s="141"/>
      <c r="FE37" s="141"/>
      <c r="FF37" s="141"/>
      <c r="FG37" s="141"/>
      <c r="FH37" s="141"/>
      <c r="FI37" s="141"/>
      <c r="FJ37" s="141"/>
      <c r="FK37" s="141"/>
      <c r="FL37" s="141"/>
      <c r="FM37" s="141"/>
      <c r="FN37" s="141"/>
      <c r="FO37" s="141"/>
      <c r="FP37" s="141"/>
      <c r="FQ37" s="141"/>
      <c r="FR37" s="141"/>
      <c r="FS37" s="141"/>
      <c r="FT37" s="141"/>
      <c r="FU37" s="141"/>
      <c r="FV37" s="141"/>
      <c r="FW37" s="141"/>
      <c r="FX37" s="141"/>
      <c r="FY37" s="141"/>
      <c r="FZ37" s="141"/>
      <c r="GA37" s="141"/>
      <c r="GB37" s="141"/>
      <c r="GC37" s="141"/>
      <c r="GD37" s="141"/>
      <c r="GE37" s="141"/>
      <c r="GF37" s="141"/>
      <c r="GG37" s="141"/>
      <c r="GH37" s="141"/>
      <c r="GI37" s="141"/>
      <c r="GJ37" s="141"/>
      <c r="GK37" s="141"/>
      <c r="GL37" s="141"/>
      <c r="GM37" s="141"/>
      <c r="GN37" s="141"/>
      <c r="GO37" s="141"/>
      <c r="GP37" s="141"/>
      <c r="GQ37" s="141"/>
      <c r="GR37" s="141"/>
      <c r="GS37" s="141"/>
      <c r="GT37" s="141"/>
      <c r="GU37" s="141"/>
      <c r="GV37" s="141"/>
      <c r="GW37" s="141"/>
      <c r="GX37" s="141"/>
      <c r="GY37" s="141"/>
      <c r="GZ37" s="141"/>
      <c r="HA37" s="141"/>
      <c r="HB37" s="141"/>
      <c r="HC37" s="141"/>
      <c r="HD37" s="141"/>
      <c r="HE37" s="141"/>
      <c r="HF37" s="141"/>
      <c r="HG37" s="141"/>
      <c r="HH37" s="141"/>
      <c r="HI37" s="141"/>
      <c r="HJ37" s="141"/>
      <c r="HK37" s="141"/>
      <c r="HL37" s="141"/>
      <c r="HM37" s="141"/>
      <c r="HN37" s="141"/>
      <c r="HO37" s="141"/>
      <c r="HP37" s="141"/>
      <c r="HQ37" s="141"/>
      <c r="HR37" s="141"/>
      <c r="HS37" s="141"/>
      <c r="HT37" s="141"/>
      <c r="HU37" s="141"/>
      <c r="HV37" s="141"/>
      <c r="HW37" s="141"/>
      <c r="HX37" s="141"/>
      <c r="HY37" s="141"/>
      <c r="HZ37" s="141"/>
      <c r="IA37" s="141"/>
      <c r="IB37" s="141"/>
      <c r="IC37" s="141"/>
      <c r="ID37" s="141"/>
      <c r="IE37" s="141"/>
      <c r="IF37" s="141"/>
      <c r="IG37" s="141"/>
      <c r="IH37" s="141"/>
      <c r="II37" s="141"/>
      <c r="IJ37" s="141"/>
      <c r="IK37" s="141"/>
      <c r="IL37" s="141"/>
      <c r="IM37" s="141"/>
      <c r="IN37" s="141"/>
      <c r="IO37" s="141"/>
      <c r="IP37" s="141"/>
      <c r="IQ37" s="141"/>
      <c r="IR37" s="141"/>
      <c r="IS37" s="141"/>
      <c r="IT37" s="141"/>
      <c r="IU37" s="141"/>
      <c r="IV37" s="141"/>
    </row>
    <row r="38" spans="1:256" s="74" customFormat="1" ht="19.5" x14ac:dyDescent="0.35">
      <c r="A38" s="195"/>
      <c r="B38" s="153" t="s">
        <v>188</v>
      </c>
      <c r="C38" s="153" t="s">
        <v>405</v>
      </c>
      <c r="D38" s="123" t="str">
        <f>Rsh/1000&amp;" kΩ"</f>
        <v>205 kΩ</v>
      </c>
      <c r="E38" s="145"/>
      <c r="F38" s="141"/>
      <c r="G38" s="146"/>
      <c r="H38" s="141"/>
      <c r="I38" s="198"/>
      <c r="J38" s="209"/>
      <c r="K38" s="146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141"/>
      <c r="CJ38" s="141"/>
      <c r="CK38" s="141"/>
      <c r="CL38" s="141"/>
      <c r="CM38" s="141"/>
      <c r="CN38" s="141"/>
      <c r="CO38" s="141"/>
      <c r="CP38" s="141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1"/>
      <c r="DJ38" s="141"/>
      <c r="DK38" s="141"/>
      <c r="DL38" s="141"/>
      <c r="DM38" s="141"/>
      <c r="DN38" s="141"/>
      <c r="DO38" s="141"/>
      <c r="DP38" s="141"/>
      <c r="DQ38" s="141"/>
      <c r="DR38" s="141"/>
      <c r="DS38" s="141"/>
      <c r="DT38" s="141"/>
      <c r="DU38" s="141"/>
      <c r="DV38" s="141"/>
      <c r="DW38" s="141"/>
      <c r="DX38" s="141"/>
      <c r="DY38" s="141"/>
      <c r="DZ38" s="141"/>
      <c r="EA38" s="141"/>
      <c r="EB38" s="141"/>
      <c r="EC38" s="141"/>
      <c r="ED38" s="141"/>
      <c r="EE38" s="141"/>
      <c r="EF38" s="141"/>
      <c r="EG38" s="141"/>
      <c r="EH38" s="141"/>
      <c r="EI38" s="141"/>
      <c r="EJ38" s="141"/>
      <c r="EK38" s="141"/>
      <c r="EL38" s="141"/>
      <c r="EM38" s="141"/>
      <c r="EN38" s="141"/>
      <c r="EO38" s="141"/>
      <c r="EP38" s="141"/>
      <c r="EQ38" s="141"/>
      <c r="ER38" s="141"/>
      <c r="ES38" s="141"/>
      <c r="ET38" s="141"/>
      <c r="EU38" s="141"/>
      <c r="EV38" s="141"/>
      <c r="EW38" s="141"/>
      <c r="EX38" s="141"/>
      <c r="EY38" s="141"/>
      <c r="EZ38" s="141"/>
      <c r="FA38" s="141"/>
      <c r="FB38" s="141"/>
      <c r="FC38" s="141"/>
      <c r="FD38" s="141"/>
      <c r="FE38" s="141"/>
      <c r="FF38" s="141"/>
      <c r="FG38" s="141"/>
      <c r="FH38" s="141"/>
      <c r="FI38" s="141"/>
      <c r="FJ38" s="141"/>
      <c r="FK38" s="141"/>
      <c r="FL38" s="141"/>
      <c r="FM38" s="141"/>
      <c r="FN38" s="141"/>
      <c r="FO38" s="141"/>
      <c r="FP38" s="141"/>
      <c r="FQ38" s="141"/>
      <c r="FR38" s="141"/>
      <c r="FS38" s="141"/>
      <c r="FT38" s="141"/>
      <c r="FU38" s="141"/>
      <c r="FV38" s="141"/>
      <c r="FW38" s="141"/>
      <c r="FX38" s="141"/>
      <c r="FY38" s="141"/>
      <c r="FZ38" s="141"/>
      <c r="GA38" s="141"/>
      <c r="GB38" s="141"/>
      <c r="GC38" s="141"/>
      <c r="GD38" s="141"/>
      <c r="GE38" s="141"/>
      <c r="GF38" s="141"/>
      <c r="GG38" s="141"/>
      <c r="GH38" s="141"/>
      <c r="GI38" s="141"/>
      <c r="GJ38" s="141"/>
      <c r="GK38" s="141"/>
      <c r="GL38" s="141"/>
      <c r="GM38" s="141"/>
      <c r="GN38" s="141"/>
      <c r="GO38" s="141"/>
      <c r="GP38" s="141"/>
      <c r="GQ38" s="141"/>
      <c r="GR38" s="141"/>
      <c r="GS38" s="141"/>
      <c r="GT38" s="141"/>
      <c r="GU38" s="141"/>
      <c r="GV38" s="141"/>
      <c r="GW38" s="141"/>
      <c r="GX38" s="141"/>
      <c r="GY38" s="141"/>
      <c r="GZ38" s="141"/>
      <c r="HA38" s="141"/>
      <c r="HB38" s="141"/>
      <c r="HC38" s="141"/>
      <c r="HD38" s="141"/>
      <c r="HE38" s="141"/>
      <c r="HF38" s="141"/>
      <c r="HG38" s="141"/>
      <c r="HH38" s="141"/>
      <c r="HI38" s="141"/>
      <c r="HJ38" s="141"/>
      <c r="HK38" s="141"/>
      <c r="HL38" s="141"/>
      <c r="HM38" s="141"/>
      <c r="HN38" s="141"/>
      <c r="HO38" s="141"/>
      <c r="HP38" s="141"/>
      <c r="HQ38" s="141"/>
      <c r="HR38" s="141"/>
      <c r="HS38" s="141"/>
      <c r="HT38" s="141"/>
      <c r="HU38" s="141"/>
      <c r="HV38" s="141"/>
      <c r="HW38" s="141"/>
      <c r="HX38" s="141"/>
      <c r="HY38" s="141"/>
      <c r="HZ38" s="141"/>
      <c r="IA38" s="141"/>
      <c r="IB38" s="141"/>
      <c r="IC38" s="141"/>
      <c r="ID38" s="141"/>
      <c r="IE38" s="141"/>
      <c r="IF38" s="141"/>
      <c r="IG38" s="141"/>
      <c r="IH38" s="141"/>
      <c r="II38" s="141"/>
      <c r="IJ38" s="141"/>
      <c r="IK38" s="141"/>
      <c r="IL38" s="141"/>
      <c r="IM38" s="141"/>
      <c r="IN38" s="141"/>
      <c r="IO38" s="141"/>
      <c r="IP38" s="141"/>
      <c r="IQ38" s="141"/>
      <c r="IR38" s="141"/>
      <c r="IS38" s="141"/>
      <c r="IT38" s="141"/>
      <c r="IU38" s="141"/>
      <c r="IV38" s="141"/>
    </row>
    <row r="39" spans="1:256" s="74" customFormat="1" ht="19.5" x14ac:dyDescent="0.35">
      <c r="A39" s="195"/>
      <c r="B39" s="153" t="s">
        <v>452</v>
      </c>
      <c r="C39" s="153" t="s">
        <v>453</v>
      </c>
      <c r="D39" s="123" t="str">
        <f>D153/1000&amp;" kΩ"</f>
        <v>100 kΩ</v>
      </c>
      <c r="E39" s="145"/>
      <c r="F39" s="141"/>
      <c r="G39" s="146"/>
      <c r="H39" s="141"/>
      <c r="I39" s="198"/>
      <c r="J39" s="209"/>
      <c r="K39" s="146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/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  <c r="DQ39" s="141"/>
      <c r="DR39" s="141"/>
      <c r="DS39" s="141"/>
      <c r="DT39" s="141"/>
      <c r="DU39" s="141"/>
      <c r="DV39" s="141"/>
      <c r="DW39" s="141"/>
      <c r="DX39" s="141"/>
      <c r="DY39" s="141"/>
      <c r="DZ39" s="141"/>
      <c r="EA39" s="141"/>
      <c r="EB39" s="141"/>
      <c r="EC39" s="141"/>
      <c r="ED39" s="141"/>
      <c r="EE39" s="141"/>
      <c r="EF39" s="141"/>
      <c r="EG39" s="141"/>
      <c r="EH39" s="141"/>
      <c r="EI39" s="141"/>
      <c r="EJ39" s="141"/>
      <c r="EK39" s="141"/>
      <c r="EL39" s="141"/>
      <c r="EM39" s="141"/>
      <c r="EN39" s="141"/>
      <c r="EO39" s="141"/>
      <c r="EP39" s="141"/>
      <c r="EQ39" s="141"/>
      <c r="ER39" s="141"/>
      <c r="ES39" s="141"/>
      <c r="ET39" s="141"/>
      <c r="EU39" s="141"/>
      <c r="EV39" s="141"/>
      <c r="EW39" s="141"/>
      <c r="EX39" s="141"/>
      <c r="EY39" s="141"/>
      <c r="EZ39" s="141"/>
      <c r="FA39" s="141"/>
      <c r="FB39" s="141"/>
      <c r="FC39" s="141"/>
      <c r="FD39" s="141"/>
      <c r="FE39" s="141"/>
      <c r="FF39" s="141"/>
      <c r="FG39" s="141"/>
      <c r="FH39" s="141"/>
      <c r="FI39" s="141"/>
      <c r="FJ39" s="141"/>
      <c r="FK39" s="141"/>
      <c r="FL39" s="141"/>
      <c r="FM39" s="141"/>
      <c r="FN39" s="141"/>
      <c r="FO39" s="141"/>
      <c r="FP39" s="141"/>
      <c r="FQ39" s="141"/>
      <c r="FR39" s="141"/>
      <c r="FS39" s="141"/>
      <c r="FT39" s="141"/>
      <c r="FU39" s="141"/>
      <c r="FV39" s="141"/>
      <c r="FW39" s="141"/>
      <c r="FX39" s="141"/>
      <c r="FY39" s="141"/>
      <c r="FZ39" s="141"/>
      <c r="GA39" s="141"/>
      <c r="GB39" s="141"/>
      <c r="GC39" s="141"/>
      <c r="GD39" s="141"/>
      <c r="GE39" s="141"/>
      <c r="GF39" s="141"/>
      <c r="GG39" s="141"/>
      <c r="GH39" s="141"/>
      <c r="GI39" s="141"/>
      <c r="GJ39" s="141"/>
      <c r="GK39" s="141"/>
      <c r="GL39" s="141"/>
      <c r="GM39" s="141"/>
      <c r="GN39" s="141"/>
      <c r="GO39" s="141"/>
      <c r="GP39" s="141"/>
      <c r="GQ39" s="141"/>
      <c r="GR39" s="141"/>
      <c r="GS39" s="141"/>
      <c r="GT39" s="141"/>
      <c r="GU39" s="141"/>
      <c r="GV39" s="141"/>
      <c r="GW39" s="141"/>
      <c r="GX39" s="141"/>
      <c r="GY39" s="141"/>
      <c r="GZ39" s="141"/>
      <c r="HA39" s="141"/>
      <c r="HB39" s="141"/>
      <c r="HC39" s="141"/>
      <c r="HD39" s="141"/>
      <c r="HE39" s="141"/>
      <c r="HF39" s="141"/>
      <c r="HG39" s="141"/>
      <c r="HH39" s="141"/>
      <c r="HI39" s="141"/>
      <c r="HJ39" s="141"/>
      <c r="HK39" s="141"/>
      <c r="HL39" s="141"/>
      <c r="HM39" s="141"/>
      <c r="HN39" s="141"/>
      <c r="HO39" s="141"/>
      <c r="HP39" s="141"/>
      <c r="HQ39" s="141"/>
      <c r="HR39" s="141"/>
      <c r="HS39" s="141"/>
      <c r="HT39" s="141"/>
      <c r="HU39" s="141"/>
      <c r="HV39" s="141"/>
      <c r="HW39" s="141"/>
      <c r="HX39" s="141"/>
      <c r="HY39" s="141"/>
      <c r="HZ39" s="141"/>
      <c r="IA39" s="141"/>
      <c r="IB39" s="141"/>
      <c r="IC39" s="141"/>
      <c r="ID39" s="141"/>
      <c r="IE39" s="141"/>
      <c r="IF39" s="141"/>
      <c r="IG39" s="141"/>
      <c r="IH39" s="141"/>
      <c r="II39" s="141"/>
      <c r="IJ39" s="141"/>
      <c r="IK39" s="141"/>
      <c r="IL39" s="141"/>
      <c r="IM39" s="141"/>
      <c r="IN39" s="141"/>
      <c r="IO39" s="141"/>
      <c r="IP39" s="141"/>
      <c r="IQ39" s="141"/>
      <c r="IR39" s="141"/>
      <c r="IS39" s="141"/>
      <c r="IT39" s="141"/>
      <c r="IU39" s="141"/>
      <c r="IV39" s="141"/>
    </row>
    <row r="40" spans="1:256" ht="15" x14ac:dyDescent="0.25">
      <c r="A40" s="198"/>
      <c r="B40" s="119" t="s">
        <v>120</v>
      </c>
      <c r="C40" s="118" t="s">
        <v>24</v>
      </c>
      <c r="D40" s="259" t="s">
        <v>9</v>
      </c>
      <c r="E40" s="260"/>
      <c r="F40" s="261"/>
      <c r="G40" s="118" t="s">
        <v>8</v>
      </c>
      <c r="H40" s="126" t="s">
        <v>422</v>
      </c>
      <c r="I40" s="210"/>
      <c r="J40" s="202"/>
      <c r="M40" s="147"/>
    </row>
    <row r="41" spans="1:256" x14ac:dyDescent="0.2">
      <c r="A41" s="195"/>
      <c r="B41" s="156"/>
      <c r="C41" s="157"/>
      <c r="D41" s="157"/>
      <c r="E41" s="157"/>
      <c r="F41" s="141"/>
      <c r="G41" s="156"/>
      <c r="H41" s="155"/>
      <c r="I41" s="211"/>
      <c r="J41" s="202"/>
      <c r="M41" s="147"/>
    </row>
    <row r="42" spans="1:256" x14ac:dyDescent="0.2">
      <c r="A42" s="195"/>
      <c r="B42" s="255" t="s">
        <v>36</v>
      </c>
      <c r="C42" s="255"/>
      <c r="D42" s="158"/>
      <c r="E42" s="158"/>
      <c r="F42" s="159"/>
      <c r="G42" s="160"/>
      <c r="H42" s="161"/>
      <c r="I42" s="211"/>
      <c r="J42" s="202"/>
      <c r="M42" s="147"/>
    </row>
    <row r="43" spans="1:256" x14ac:dyDescent="0.2">
      <c r="A43" s="195"/>
      <c r="B43" s="175"/>
      <c r="C43" s="131" t="s">
        <v>198</v>
      </c>
      <c r="D43" s="92">
        <f>MIN(1-toffmin*fsw,95)</f>
        <v>0.8125</v>
      </c>
      <c r="E43" s="92">
        <f>tonmin*fsw</f>
        <v>7.4999999999999997E-2</v>
      </c>
      <c r="F43" s="133"/>
      <c r="G43" s="130"/>
      <c r="H43" s="176" t="s">
        <v>432</v>
      </c>
      <c r="I43" s="211"/>
      <c r="J43" s="202"/>
      <c r="M43" s="147"/>
    </row>
    <row r="44" spans="1:256" x14ac:dyDescent="0.2">
      <c r="A44" s="195"/>
      <c r="B44" s="177">
        <v>11</v>
      </c>
      <c r="C44" s="131" t="s">
        <v>194</v>
      </c>
      <c r="D44" s="92">
        <f>(Vout-Vin_Nom)/(Vout)</f>
        <v>0.77083333333333337</v>
      </c>
      <c r="E44" s="133"/>
      <c r="F44" s="133"/>
      <c r="G44" s="178"/>
      <c r="H44" s="133" t="s">
        <v>195</v>
      </c>
      <c r="I44" s="198"/>
      <c r="J44" s="202"/>
    </row>
    <row r="45" spans="1:256" x14ac:dyDescent="0.2">
      <c r="A45" s="195"/>
      <c r="B45" s="177">
        <v>11</v>
      </c>
      <c r="C45" s="131" t="s">
        <v>302</v>
      </c>
      <c r="D45" s="92">
        <f>(Vout-Vin_Min)/(Vout)</f>
        <v>0.77083333333333337</v>
      </c>
      <c r="E45" s="133"/>
      <c r="F45" s="133"/>
      <c r="G45" s="178"/>
      <c r="H45" s="133" t="s">
        <v>196</v>
      </c>
      <c r="I45" s="198"/>
      <c r="J45" s="202"/>
    </row>
    <row r="46" spans="1:256" x14ac:dyDescent="0.2">
      <c r="A46" s="195"/>
      <c r="B46" s="177">
        <v>11</v>
      </c>
      <c r="C46" s="131" t="s">
        <v>303</v>
      </c>
      <c r="D46" s="92">
        <f>(Vout-Vin_Max)/(Vout)</f>
        <v>0.77083333333333337</v>
      </c>
      <c r="E46" s="133"/>
      <c r="F46" s="133"/>
      <c r="G46" s="178"/>
      <c r="H46" s="133" t="s">
        <v>197</v>
      </c>
      <c r="I46" s="198"/>
      <c r="J46" s="202"/>
    </row>
    <row r="47" spans="1:256" x14ac:dyDescent="0.2">
      <c r="A47" s="195"/>
      <c r="B47" s="177" t="s">
        <v>344</v>
      </c>
      <c r="C47" s="131" t="s">
        <v>334</v>
      </c>
      <c r="D47" s="116">
        <f>Dmin/tonmin</f>
        <v>7708333.333333334</v>
      </c>
      <c r="E47" s="116">
        <f>(1-Dmax)/(toffmin)</f>
        <v>916666.66666666651</v>
      </c>
      <c r="F47" s="133"/>
      <c r="G47" s="178" t="s">
        <v>5</v>
      </c>
      <c r="H47" s="133" t="s">
        <v>433</v>
      </c>
      <c r="I47" s="198"/>
      <c r="J47" s="202"/>
    </row>
    <row r="48" spans="1:256" x14ac:dyDescent="0.2">
      <c r="A48" s="195"/>
      <c r="B48" s="177">
        <v>14</v>
      </c>
      <c r="C48" s="131" t="s">
        <v>434</v>
      </c>
      <c r="D48" s="95">
        <f>57500/(fsw/1000)*1000</f>
        <v>76666.666666666672</v>
      </c>
      <c r="E48" s="94">
        <f>(IF((10^(LOG(D48)-INT(LOG(D48)))*100)-VLOOKUP((10^(LOG(D48)-INT(LOG(D48)))*100),E96_s:E96_f,1)&lt;VLOOKUP((10^(LOG(D48)-INT(LOG(D48)))*100),E96_s:E96_f,2)-(10^(LOG(D48)-INT(LOG(D48)))*100),VLOOKUP((10^(LOG(D48)-INT(LOG(D48)))*100),E96_s:E96_f,1),VLOOKUP((10^(LOG(D48)-INT(LOG(D48)))*100),E96_s:E96_f,2)))*10^INT(LOG(D48))/100</f>
        <v>76800</v>
      </c>
      <c r="F48" s="133"/>
      <c r="G48" s="178" t="s">
        <v>29</v>
      </c>
      <c r="H48" s="133" t="s">
        <v>264</v>
      </c>
      <c r="I48" s="198"/>
      <c r="J48" s="202"/>
      <c r="M48" s="147"/>
    </row>
    <row r="49" spans="1:41" x14ac:dyDescent="0.2">
      <c r="A49" s="195"/>
      <c r="B49" s="177"/>
      <c r="C49" s="131" t="s">
        <v>435</v>
      </c>
      <c r="D49" s="93">
        <f>E48</f>
        <v>76800</v>
      </c>
      <c r="E49" s="219"/>
      <c r="F49" s="133"/>
      <c r="G49" s="178" t="s">
        <v>29</v>
      </c>
      <c r="H49" s="133" t="s">
        <v>107</v>
      </c>
      <c r="I49" s="198"/>
      <c r="J49" s="202"/>
      <c r="M49" s="147"/>
    </row>
    <row r="50" spans="1:41" x14ac:dyDescent="0.2">
      <c r="A50" s="195"/>
      <c r="B50" s="156"/>
      <c r="C50" s="141"/>
      <c r="D50" s="141"/>
      <c r="E50" s="162"/>
      <c r="F50" s="163"/>
      <c r="G50" s="145"/>
      <c r="H50" s="141"/>
      <c r="I50" s="198"/>
      <c r="J50" s="202"/>
    </row>
    <row r="51" spans="1:41" x14ac:dyDescent="0.2">
      <c r="A51" s="195"/>
      <c r="B51" s="255" t="s">
        <v>111</v>
      </c>
      <c r="C51" s="255"/>
      <c r="D51" s="158"/>
      <c r="E51" s="158"/>
      <c r="F51" s="158"/>
      <c r="G51" s="164"/>
      <c r="H51" s="158"/>
      <c r="I51" s="212"/>
      <c r="J51" s="213"/>
      <c r="M51" s="157"/>
      <c r="N51" s="157"/>
      <c r="AO51" s="165"/>
    </row>
    <row r="52" spans="1:41" x14ac:dyDescent="0.2">
      <c r="A52" s="195"/>
      <c r="B52" s="177">
        <v>15</v>
      </c>
      <c r="C52" s="131" t="s">
        <v>317</v>
      </c>
      <c r="D52" s="115">
        <f>Iout/(1-Dmax)</f>
        <v>8.0000000000000018</v>
      </c>
      <c r="E52" s="133"/>
      <c r="F52" s="146"/>
      <c r="G52" s="178" t="s">
        <v>2</v>
      </c>
      <c r="H52" s="133" t="s">
        <v>343</v>
      </c>
      <c r="I52" s="198"/>
      <c r="J52" s="202"/>
    </row>
    <row r="53" spans="1:41" x14ac:dyDescent="0.2">
      <c r="A53" s="195"/>
      <c r="B53" s="177"/>
      <c r="C53" s="131" t="s">
        <v>4</v>
      </c>
      <c r="D53" s="84">
        <v>0.3</v>
      </c>
      <c r="E53" s="133"/>
      <c r="F53" s="133"/>
      <c r="G53" s="178"/>
      <c r="H53" s="133" t="s">
        <v>110</v>
      </c>
      <c r="I53" s="198"/>
      <c r="J53" s="202"/>
    </row>
    <row r="54" spans="1:41" x14ac:dyDescent="0.2">
      <c r="A54" s="195"/>
      <c r="B54" s="177"/>
      <c r="C54" s="131" t="s">
        <v>312</v>
      </c>
      <c r="D54" s="115">
        <f>Iout/(1-Dmax)*Kind</f>
        <v>2.4000000000000004</v>
      </c>
      <c r="E54" s="133"/>
      <c r="F54" s="133"/>
      <c r="G54" s="178" t="s">
        <v>2</v>
      </c>
      <c r="H54" s="133" t="s">
        <v>309</v>
      </c>
      <c r="I54" s="198"/>
      <c r="J54" s="202"/>
    </row>
    <row r="55" spans="1:41" x14ac:dyDescent="0.2">
      <c r="A55" s="195"/>
      <c r="B55" s="177">
        <v>17</v>
      </c>
      <c r="C55" s="131" t="s">
        <v>306</v>
      </c>
      <c r="D55" s="81">
        <f>Vin_Max*Dmin/(fsw*Iout/(1-Dmax)*Kind)</f>
        <v>2.3553240740740743E-6</v>
      </c>
      <c r="E55" s="133"/>
      <c r="F55" s="133"/>
      <c r="G55" s="178" t="s">
        <v>6</v>
      </c>
      <c r="H55" s="176" t="s">
        <v>454</v>
      </c>
      <c r="I55" s="214"/>
      <c r="J55" s="202"/>
      <c r="M55" s="147"/>
    </row>
    <row r="56" spans="1:41" x14ac:dyDescent="0.2">
      <c r="A56" s="195"/>
      <c r="B56" s="177">
        <v>17</v>
      </c>
      <c r="C56" s="131" t="s">
        <v>307</v>
      </c>
      <c r="D56" s="81">
        <f>Vin_Min*Dmax/(fsw*Iout/(1-Dmax)*Kind)</f>
        <v>2.3553240740740743E-6</v>
      </c>
      <c r="E56" s="133"/>
      <c r="F56" s="133"/>
      <c r="G56" s="178" t="s">
        <v>6</v>
      </c>
      <c r="H56" s="176" t="s">
        <v>455</v>
      </c>
      <c r="I56" s="214"/>
      <c r="J56" s="202"/>
      <c r="M56" s="147"/>
    </row>
    <row r="57" spans="1:41" x14ac:dyDescent="0.2">
      <c r="A57" s="195"/>
      <c r="B57" s="177">
        <v>16</v>
      </c>
      <c r="C57" s="131" t="s">
        <v>308</v>
      </c>
      <c r="D57" s="81" t="str">
        <f>IF(Dmax&lt;50%,"n/a",IF(Dmin&gt;50%,"n/a",Vout/(4*fsw*Iout/(1-Dmax)*Kind)))</f>
        <v>n/a</v>
      </c>
      <c r="E57" s="133"/>
      <c r="F57" s="133"/>
      <c r="G57" s="178" t="s">
        <v>6</v>
      </c>
      <c r="H57" s="176" t="s">
        <v>456</v>
      </c>
      <c r="I57" s="214"/>
      <c r="J57" s="202"/>
      <c r="M57" s="147"/>
    </row>
    <row r="58" spans="1:41" x14ac:dyDescent="0.2">
      <c r="A58" s="195"/>
      <c r="B58" s="177"/>
      <c r="C58" s="131" t="s">
        <v>436</v>
      </c>
      <c r="D58" s="93">
        <v>4.6999999999999999E-6</v>
      </c>
      <c r="E58" s="134"/>
      <c r="F58" s="133"/>
      <c r="G58" s="178" t="s">
        <v>6</v>
      </c>
      <c r="H58" s="176" t="s">
        <v>438</v>
      </c>
      <c r="I58" s="214"/>
      <c r="J58" s="202"/>
      <c r="M58" s="147"/>
    </row>
    <row r="59" spans="1:41" x14ac:dyDescent="0.2">
      <c r="A59" s="195"/>
      <c r="B59" s="177"/>
      <c r="C59" s="131" t="s">
        <v>27</v>
      </c>
      <c r="D59" s="100">
        <v>1.95E-2</v>
      </c>
      <c r="E59" s="133"/>
      <c r="F59" s="133"/>
      <c r="G59" s="178" t="s">
        <v>29</v>
      </c>
      <c r="H59" s="133" t="s">
        <v>437</v>
      </c>
      <c r="I59" s="198"/>
      <c r="J59" s="202"/>
    </row>
    <row r="60" spans="1:41" x14ac:dyDescent="0.2">
      <c r="A60" s="195"/>
      <c r="B60" s="177"/>
      <c r="C60" s="179" t="s">
        <v>202</v>
      </c>
      <c r="D60" s="83">
        <f>Vin_Min*Dmax/(L*fsw)</f>
        <v>1.2027186761229316</v>
      </c>
      <c r="E60" s="83">
        <f>Vin_Nom*Dnom/(L*fsw)</f>
        <v>1.2027186761229316</v>
      </c>
      <c r="F60" s="83">
        <f>Vin_Max*Dmin/(L*fsw)</f>
        <v>1.2027186761229316</v>
      </c>
      <c r="G60" s="178" t="s">
        <v>2</v>
      </c>
      <c r="H60" s="133" t="s">
        <v>118</v>
      </c>
      <c r="I60" s="198"/>
      <c r="J60" s="202"/>
    </row>
    <row r="61" spans="1:41" x14ac:dyDescent="0.2">
      <c r="A61" s="195"/>
      <c r="B61" s="177">
        <v>48</v>
      </c>
      <c r="C61" s="131" t="s">
        <v>30</v>
      </c>
      <c r="D61" s="83">
        <f>((Vout-Vin_Min)*Vin_Min^2)/(2*(Vout)^2*fsw*L)</f>
        <v>0.13781151497241922</v>
      </c>
      <c r="E61" s="83">
        <f>((Vout-Vin_Nom)*Vin_Nom^2)/(2*(Vout)^2*fsw*L)</f>
        <v>0.13781151497241922</v>
      </c>
      <c r="F61" s="83">
        <f>((Vout-Vin_Max)*Vin_Max^2)/(2*(Vout)^2*fsw*L)</f>
        <v>0.13781151497241922</v>
      </c>
      <c r="G61" s="178" t="s">
        <v>2</v>
      </c>
      <c r="H61" s="133" t="s">
        <v>345</v>
      </c>
      <c r="I61" s="215"/>
      <c r="J61" s="202"/>
      <c r="M61" s="162"/>
    </row>
    <row r="62" spans="1:41" x14ac:dyDescent="0.2">
      <c r="A62" s="195"/>
      <c r="B62" s="177"/>
      <c r="C62" s="131" t="s">
        <v>338</v>
      </c>
      <c r="D62" s="83">
        <f>Vin_Min^2*fsw*tonmin^2/(2*L*(Vout-Vin_Min))</f>
        <v>1.3046290971822886E-3</v>
      </c>
      <c r="E62" s="83">
        <f>Vin_Nom^2*fsw*tonmin^2/(2*L*(Vout-Vin_Nom))</f>
        <v>1.3046290971822886E-3</v>
      </c>
      <c r="F62" s="83">
        <f>Vin_Max^2*fsw*tonmin^2/(2*L*(Vout-Vin_Max))</f>
        <v>1.3046290971822886E-3</v>
      </c>
      <c r="G62" s="178" t="s">
        <v>2</v>
      </c>
      <c r="H62" s="133" t="s">
        <v>346</v>
      </c>
      <c r="I62" s="215"/>
      <c r="J62" s="202"/>
      <c r="M62" s="162"/>
    </row>
    <row r="63" spans="1:41" x14ac:dyDescent="0.2">
      <c r="A63" s="195"/>
      <c r="B63" s="177">
        <v>18</v>
      </c>
      <c r="C63" s="131" t="s">
        <v>203</v>
      </c>
      <c r="D63" s="83">
        <f>(SQRT((Iout/(1-Dmax))^2+(Iripple/12)^2))</f>
        <v>8.0006278105281528</v>
      </c>
      <c r="E63" s="83">
        <f>(SQRT((Iout/(1-Dnom))^2+(E60/12)^2))</f>
        <v>8.0006278105281528</v>
      </c>
      <c r="F63" s="83">
        <f>(SQRT((Iout/(1-Dmin))^2+(F60/12)^2))</f>
        <v>8.0006278105281528</v>
      </c>
      <c r="G63" s="178" t="s">
        <v>2</v>
      </c>
      <c r="H63" s="135" t="s">
        <v>63</v>
      </c>
      <c r="I63" s="215"/>
      <c r="J63" s="202"/>
    </row>
    <row r="64" spans="1:41" x14ac:dyDescent="0.2">
      <c r="A64" s="195"/>
      <c r="B64" s="177">
        <v>19</v>
      </c>
      <c r="C64" s="131" t="s">
        <v>204</v>
      </c>
      <c r="D64" s="83">
        <f>Iout/(1-Dmax)+Iripple/2</f>
        <v>8.6013593380614672</v>
      </c>
      <c r="E64" s="83">
        <f>1.2*Ilpeak</f>
        <v>10.321631205673761</v>
      </c>
      <c r="F64" s="133"/>
      <c r="G64" s="178" t="s">
        <v>2</v>
      </c>
      <c r="H64" s="133" t="s">
        <v>119</v>
      </c>
      <c r="I64" s="215"/>
      <c r="J64" s="202"/>
      <c r="M64" s="162"/>
    </row>
    <row r="65" spans="1:41" x14ac:dyDescent="0.2">
      <c r="A65" s="195"/>
      <c r="B65" s="177"/>
      <c r="C65" s="131" t="s">
        <v>205</v>
      </c>
      <c r="D65" s="83">
        <f>Ilrms^2*DCR</f>
        <v>1.2481958845706318</v>
      </c>
      <c r="E65" s="83">
        <f>E63^2*DCR</f>
        <v>1.2481958845706318</v>
      </c>
      <c r="F65" s="83">
        <f>F63^2*DCR</f>
        <v>1.2481958845706318</v>
      </c>
      <c r="G65" s="178" t="s">
        <v>12</v>
      </c>
      <c r="H65" s="133" t="s">
        <v>347</v>
      </c>
      <c r="I65" s="198"/>
      <c r="J65" s="202"/>
    </row>
    <row r="66" spans="1:41" x14ac:dyDescent="0.2">
      <c r="A66" s="195"/>
      <c r="B66" s="148"/>
      <c r="C66" s="149"/>
      <c r="D66" s="162"/>
      <c r="E66" s="162"/>
      <c r="F66" s="162"/>
      <c r="G66" s="145"/>
      <c r="H66" s="141"/>
      <c r="I66" s="198"/>
      <c r="J66" s="202"/>
    </row>
    <row r="67" spans="1:41" x14ac:dyDescent="0.2">
      <c r="A67" s="195"/>
      <c r="B67" s="255" t="s">
        <v>407</v>
      </c>
      <c r="C67" s="255"/>
      <c r="D67" s="158"/>
      <c r="E67" s="158"/>
      <c r="F67" s="158"/>
      <c r="G67" s="164"/>
      <c r="H67" s="158"/>
      <c r="I67" s="212"/>
      <c r="J67" s="213"/>
      <c r="M67" s="157"/>
      <c r="N67" s="157"/>
      <c r="AO67" s="165"/>
    </row>
    <row r="68" spans="1:41" x14ac:dyDescent="0.2">
      <c r="A68" s="195"/>
      <c r="B68" s="177">
        <v>20</v>
      </c>
      <c r="C68" s="131" t="s">
        <v>337</v>
      </c>
      <c r="D68" s="83">
        <f>(0.000003*(Dmax*100)^3 - 0.0019*(Dmax*100)^2 + 0.023*(Dmax*100) + 73.402)/1000</f>
        <v>6.5259470703125003E-2</v>
      </c>
      <c r="E68" s="83">
        <f>(0.000003*(Dnom*100)^3 - 0.0019*(Dnom*100)^2 + 0.023*(Dnom*100) + 73.402)/1000</f>
        <v>6.5259470703125003E-2</v>
      </c>
      <c r="F68" s="83">
        <f>(0.000003*(Dmin*100)^3 - 0.0019*(Dmin*100)^2 + 0.023*(Dmin*100) + 73.402)/1000</f>
        <v>6.5259470703125003E-2</v>
      </c>
      <c r="G68" s="178" t="s">
        <v>3</v>
      </c>
      <c r="H68" s="133" t="s">
        <v>349</v>
      </c>
      <c r="I68" s="198"/>
      <c r="J68" s="202"/>
    </row>
    <row r="69" spans="1:41" x14ac:dyDescent="0.2">
      <c r="A69" s="195"/>
      <c r="B69" s="177"/>
      <c r="C69" s="131" t="s">
        <v>199</v>
      </c>
      <c r="D69" s="83">
        <f>((0.000003*Dmax*100^3 - 0.0019*Dmax*100^2 + 0.023*Dmax*100 + 73.402)-10)/1000</f>
        <v>5.2841583333333331E-2</v>
      </c>
      <c r="E69" s="83">
        <f>((0.000003*Dnom*100^3 - 0.0019*Dnom*100^2 + 0.023*Dnom*100 + 73.402)-10)/1000</f>
        <v>5.2841583333333331E-2</v>
      </c>
      <c r="F69" s="83">
        <f>((0.000003*(Dmin*100)^3 - 0.0019*(Dmin*100)^2 + 0.023*(Dmin*100) + 73.402)-10)/1000</f>
        <v>5.5259470703125001E-2</v>
      </c>
      <c r="G69" s="178" t="s">
        <v>3</v>
      </c>
      <c r="H69" s="133" t="s">
        <v>350</v>
      </c>
      <c r="I69" s="198"/>
      <c r="J69" s="202"/>
    </row>
    <row r="70" spans="1:41" x14ac:dyDescent="0.2">
      <c r="A70" s="195"/>
      <c r="B70" s="177">
        <v>21</v>
      </c>
      <c r="C70" s="131" t="s">
        <v>200</v>
      </c>
      <c r="D70" s="81">
        <f>Vcs/(1.2*Ilpeak)</f>
        <v>5.1194992613460668E-3</v>
      </c>
      <c r="E70" s="134"/>
      <c r="F70" s="139"/>
      <c r="G70" s="178" t="s">
        <v>29</v>
      </c>
      <c r="H70" s="133" t="s">
        <v>353</v>
      </c>
      <c r="I70" s="212"/>
      <c r="J70" s="213"/>
      <c r="M70" s="157"/>
      <c r="N70" s="157"/>
    </row>
    <row r="71" spans="1:41" x14ac:dyDescent="0.2">
      <c r="A71" s="195"/>
      <c r="B71" s="177"/>
      <c r="C71" s="131" t="s">
        <v>439</v>
      </c>
      <c r="D71" s="100">
        <v>5.0000000000000001E-3</v>
      </c>
      <c r="E71" s="134"/>
      <c r="F71" s="180"/>
      <c r="G71" s="178" t="s">
        <v>29</v>
      </c>
      <c r="H71" s="133" t="s">
        <v>207</v>
      </c>
      <c r="I71" s="212"/>
      <c r="J71" s="213"/>
      <c r="M71" s="157"/>
      <c r="N71" s="157"/>
    </row>
    <row r="72" spans="1:41" x14ac:dyDescent="0.2">
      <c r="A72" s="195"/>
      <c r="B72" s="177">
        <v>22</v>
      </c>
      <c r="C72" s="131" t="s">
        <v>201</v>
      </c>
      <c r="D72" s="83">
        <f>(Vcs0duty_max)^2/Rsense</f>
        <v>1.3448000000000002</v>
      </c>
      <c r="E72" s="134"/>
      <c r="F72" s="138"/>
      <c r="G72" s="178" t="s">
        <v>12</v>
      </c>
      <c r="H72" s="133" t="s">
        <v>206</v>
      </c>
      <c r="I72" s="212"/>
      <c r="J72" s="213"/>
      <c r="M72" s="157"/>
      <c r="N72" s="157"/>
    </row>
    <row r="73" spans="1:41" x14ac:dyDescent="0.2">
      <c r="A73" s="195"/>
      <c r="B73" s="131"/>
      <c r="C73" s="131" t="s">
        <v>328</v>
      </c>
      <c r="D73" s="83">
        <f>(Vcs/Rsense)</f>
        <v>10.568316666666666</v>
      </c>
      <c r="E73" s="83">
        <f>(E69)/Rsense</f>
        <v>10.568316666666666</v>
      </c>
      <c r="F73" s="83">
        <f>(F69)/Rsense</f>
        <v>11.051894140625</v>
      </c>
      <c r="G73" s="178" t="s">
        <v>2</v>
      </c>
      <c r="H73" s="133" t="s">
        <v>332</v>
      </c>
      <c r="I73" s="212"/>
      <c r="J73" s="213"/>
      <c r="M73" s="157"/>
      <c r="N73" s="157"/>
    </row>
    <row r="74" spans="1:41" x14ac:dyDescent="0.2">
      <c r="A74" s="195"/>
      <c r="B74" s="177"/>
      <c r="C74" s="131" t="s">
        <v>324</v>
      </c>
      <c r="D74" s="83">
        <f>(D68)/Rsense</f>
        <v>13.051894140625</v>
      </c>
      <c r="E74" s="83">
        <f>(E68)/Rsense</f>
        <v>13.051894140625</v>
      </c>
      <c r="F74" s="83">
        <f>(F68)/Rsense</f>
        <v>13.051894140625</v>
      </c>
      <c r="G74" s="178" t="s">
        <v>2</v>
      </c>
      <c r="H74" s="133" t="s">
        <v>325</v>
      </c>
      <c r="I74" s="212"/>
      <c r="J74" s="213"/>
      <c r="M74" s="157"/>
      <c r="N74" s="157"/>
    </row>
    <row r="75" spans="1:41" x14ac:dyDescent="0.2">
      <c r="A75" s="195"/>
      <c r="B75" s="131"/>
      <c r="C75" s="131" t="s">
        <v>333</v>
      </c>
      <c r="D75" s="120">
        <v>0.93</v>
      </c>
      <c r="E75" s="120">
        <v>0.96</v>
      </c>
      <c r="F75" s="120">
        <v>0.97</v>
      </c>
      <c r="G75" s="178"/>
      <c r="H75" s="133" t="s">
        <v>333</v>
      </c>
      <c r="I75" s="212"/>
      <c r="J75" s="213"/>
      <c r="M75" s="157"/>
      <c r="N75" s="157"/>
    </row>
    <row r="76" spans="1:41" x14ac:dyDescent="0.2">
      <c r="A76" s="195"/>
      <c r="B76" s="131"/>
      <c r="C76" s="131" t="s">
        <v>326</v>
      </c>
      <c r="D76" s="83">
        <f>(D73-Iripple/2)*(1-Dmax)*D75</f>
        <v>2.124207780658983</v>
      </c>
      <c r="E76" s="83">
        <f>(E73-E60/2)*(1-Dnom)*E75</f>
        <v>2.1927306122931438</v>
      </c>
      <c r="F76" s="83">
        <f>(F73-F60/2)*(1-Dmin)*F75</f>
        <v>2.3230667988198519</v>
      </c>
      <c r="G76" s="178" t="s">
        <v>2</v>
      </c>
      <c r="H76" s="133" t="s">
        <v>352</v>
      </c>
      <c r="I76" s="198"/>
      <c r="J76" s="202"/>
    </row>
    <row r="77" spans="1:41" x14ac:dyDescent="0.2">
      <c r="A77" s="195"/>
      <c r="B77" s="177"/>
      <c r="C77" s="131" t="s">
        <v>326</v>
      </c>
      <c r="D77" s="83">
        <f>(D74-Iripple/2)*(1-Dmax)*D75</f>
        <v>2.6535202297963534</v>
      </c>
      <c r="E77" s="83">
        <f>(E74-E60/2)*(1-Dnom)*E75</f>
        <v>2.7391176565639772</v>
      </c>
      <c r="F77" s="83">
        <f>(F74-F60/2)*(1-Dmin)*F75</f>
        <v>2.7676501321531854</v>
      </c>
      <c r="G77" s="178" t="s">
        <v>2</v>
      </c>
      <c r="H77" s="133" t="s">
        <v>351</v>
      </c>
      <c r="I77" s="198"/>
      <c r="J77" s="202"/>
    </row>
    <row r="78" spans="1:41" x14ac:dyDescent="0.2">
      <c r="A78" s="195"/>
      <c r="B78" s="148"/>
      <c r="C78" s="141"/>
      <c r="D78" s="162"/>
      <c r="E78" s="162"/>
      <c r="F78" s="141"/>
      <c r="G78" s="145"/>
      <c r="H78" s="141"/>
      <c r="I78" s="198"/>
      <c r="J78" s="202"/>
    </row>
    <row r="79" spans="1:41" x14ac:dyDescent="0.2">
      <c r="A79" s="195"/>
      <c r="B79" s="255" t="s">
        <v>113</v>
      </c>
      <c r="C79" s="255"/>
      <c r="D79" s="158"/>
      <c r="E79" s="158"/>
      <c r="F79" s="158"/>
      <c r="G79" s="164"/>
      <c r="H79" s="166"/>
      <c r="I79" s="214"/>
      <c r="J79" s="202"/>
      <c r="M79" s="147"/>
    </row>
    <row r="80" spans="1:41" x14ac:dyDescent="0.2">
      <c r="A80" s="195"/>
      <c r="B80" s="177">
        <v>24</v>
      </c>
      <c r="C80" s="131" t="s">
        <v>208</v>
      </c>
      <c r="D80" s="82">
        <f>(Dmax*Iout)/(fsw*Vout_ripple)</f>
        <v>7.8510802469135807E-6</v>
      </c>
      <c r="E80" s="133"/>
      <c r="F80" s="133"/>
      <c r="G80" s="178" t="s">
        <v>7</v>
      </c>
      <c r="H80" s="181" t="s">
        <v>124</v>
      </c>
      <c r="I80" s="198"/>
      <c r="J80" s="202"/>
      <c r="M80" s="147"/>
    </row>
    <row r="81" spans="1:253" x14ac:dyDescent="0.2">
      <c r="A81" s="195"/>
      <c r="B81" s="177">
        <v>23</v>
      </c>
      <c r="C81" s="131" t="s">
        <v>209</v>
      </c>
      <c r="D81" s="82">
        <f>dItran/(2*PI()*Fco_target*dVtran)</f>
        <v>2.6111111111111114E-5</v>
      </c>
      <c r="E81" s="133"/>
      <c r="F81" s="133"/>
      <c r="G81" s="178" t="s">
        <v>7</v>
      </c>
      <c r="H81" s="181" t="s">
        <v>125</v>
      </c>
      <c r="I81" s="198"/>
      <c r="J81" s="202"/>
      <c r="M81" s="147"/>
    </row>
    <row r="82" spans="1:253" x14ac:dyDescent="0.2">
      <c r="A82" s="195"/>
      <c r="B82" s="177"/>
      <c r="C82" s="131" t="s">
        <v>210</v>
      </c>
      <c r="D82" s="83">
        <f>Vout_ripple/Iin_max</f>
        <v>2.9999999999999992E-2</v>
      </c>
      <c r="E82" s="136"/>
      <c r="F82" s="133"/>
      <c r="G82" s="178" t="s">
        <v>29</v>
      </c>
      <c r="H82" s="133" t="s">
        <v>211</v>
      </c>
      <c r="I82" s="198"/>
      <c r="J82" s="202"/>
      <c r="M82" s="147"/>
    </row>
    <row r="83" spans="1:253" x14ac:dyDescent="0.2">
      <c r="A83" s="195"/>
      <c r="B83" s="177"/>
      <c r="C83" s="131" t="s">
        <v>440</v>
      </c>
      <c r="D83" s="93">
        <f>MAX(D80:D81)</f>
        <v>2.6111111111111114E-5</v>
      </c>
      <c r="E83" s="133"/>
      <c r="F83" s="133"/>
      <c r="G83" s="178" t="s">
        <v>7</v>
      </c>
      <c r="H83" s="133" t="s">
        <v>430</v>
      </c>
      <c r="I83" s="198"/>
      <c r="J83" s="202"/>
      <c r="M83" s="147"/>
    </row>
    <row r="84" spans="1:253" x14ac:dyDescent="0.2">
      <c r="A84" s="195"/>
      <c r="B84" s="177"/>
      <c r="C84" s="131" t="s">
        <v>441</v>
      </c>
      <c r="D84" s="87">
        <v>8.5000000000000006E-3</v>
      </c>
      <c r="E84" s="135"/>
      <c r="F84" s="133"/>
      <c r="G84" s="178" t="s">
        <v>29</v>
      </c>
      <c r="H84" s="133" t="s">
        <v>442</v>
      </c>
      <c r="I84" s="198"/>
      <c r="J84" s="202"/>
      <c r="M84" s="147"/>
    </row>
    <row r="85" spans="1:253" x14ac:dyDescent="0.2">
      <c r="A85" s="195"/>
      <c r="B85" s="177"/>
      <c r="C85" s="131" t="s">
        <v>68</v>
      </c>
      <c r="D85" s="83">
        <f>Iout*SQRT(Dmax/(1-Dmax))</f>
        <v>3.3623735003053361</v>
      </c>
      <c r="E85" s="137"/>
      <c r="F85" s="136"/>
      <c r="G85" s="178" t="s">
        <v>2</v>
      </c>
      <c r="H85" s="133" t="s">
        <v>126</v>
      </c>
      <c r="I85" s="198"/>
      <c r="J85" s="202"/>
    </row>
    <row r="86" spans="1:253" x14ac:dyDescent="0.2">
      <c r="A86" s="195"/>
      <c r="B86" s="148"/>
      <c r="C86" s="141"/>
      <c r="D86" s="163"/>
      <c r="E86" s="163"/>
      <c r="F86" s="163"/>
      <c r="G86" s="145"/>
      <c r="H86" s="141"/>
      <c r="I86" s="198"/>
      <c r="J86" s="202"/>
    </row>
    <row r="87" spans="1:253" x14ac:dyDescent="0.2">
      <c r="A87" s="195"/>
      <c r="B87" s="255" t="s">
        <v>406</v>
      </c>
      <c r="C87" s="255"/>
      <c r="D87" s="167"/>
      <c r="E87" s="167"/>
      <c r="F87" s="159"/>
      <c r="G87" s="164"/>
      <c r="H87" s="159"/>
      <c r="I87" s="198"/>
      <c r="J87" s="202"/>
      <c r="M87" s="147"/>
      <c r="Q87" s="147"/>
      <c r="U87" s="147"/>
      <c r="Y87" s="147"/>
      <c r="AC87" s="147"/>
      <c r="AG87" s="147"/>
      <c r="AK87" s="147"/>
      <c r="AO87" s="147"/>
      <c r="AS87" s="147"/>
      <c r="AW87" s="147"/>
      <c r="BA87" s="147"/>
      <c r="BE87" s="147"/>
      <c r="BI87" s="147"/>
      <c r="BM87" s="147"/>
      <c r="BQ87" s="147"/>
      <c r="BU87" s="147"/>
      <c r="BY87" s="147"/>
      <c r="CC87" s="147"/>
      <c r="CG87" s="147"/>
      <c r="CK87" s="147"/>
      <c r="CO87" s="147"/>
      <c r="CS87" s="147"/>
      <c r="CW87" s="147"/>
      <c r="DA87" s="147"/>
      <c r="DE87" s="147"/>
      <c r="DI87" s="147"/>
      <c r="DM87" s="147"/>
      <c r="DQ87" s="147"/>
      <c r="DU87" s="147"/>
      <c r="DY87" s="147"/>
      <c r="EC87" s="147"/>
      <c r="EG87" s="147"/>
      <c r="EK87" s="147"/>
      <c r="EO87" s="147"/>
      <c r="ES87" s="147"/>
      <c r="EW87" s="147"/>
      <c r="FA87" s="147"/>
      <c r="FE87" s="147"/>
      <c r="FI87" s="147"/>
      <c r="FM87" s="147"/>
      <c r="FQ87" s="147"/>
      <c r="FU87" s="147"/>
      <c r="FY87" s="147"/>
      <c r="GC87" s="147"/>
      <c r="GG87" s="147"/>
      <c r="GK87" s="147"/>
      <c r="GO87" s="147"/>
      <c r="GS87" s="147"/>
      <c r="GW87" s="147"/>
      <c r="HA87" s="147"/>
      <c r="HE87" s="147"/>
      <c r="HI87" s="147"/>
      <c r="HM87" s="147"/>
      <c r="HQ87" s="147"/>
      <c r="HU87" s="147"/>
      <c r="HY87" s="147"/>
      <c r="IC87" s="147"/>
      <c r="IG87" s="147"/>
      <c r="IK87" s="147"/>
      <c r="IO87" s="147"/>
      <c r="IS87" s="147"/>
    </row>
    <row r="88" spans="1:253" x14ac:dyDescent="0.2">
      <c r="A88" s="195"/>
      <c r="B88" s="175"/>
      <c r="C88" s="131" t="s">
        <v>365</v>
      </c>
      <c r="D88" s="254" t="s">
        <v>463</v>
      </c>
      <c r="E88" s="136"/>
      <c r="F88" s="133"/>
      <c r="G88" s="178"/>
      <c r="H88" s="133" t="s">
        <v>385</v>
      </c>
      <c r="I88" s="198"/>
      <c r="J88" s="202"/>
      <c r="M88" s="147"/>
      <c r="Q88" s="147"/>
      <c r="U88" s="147"/>
      <c r="Y88" s="147"/>
      <c r="AC88" s="147"/>
      <c r="AG88" s="147"/>
      <c r="AK88" s="147"/>
      <c r="AO88" s="147"/>
      <c r="AS88" s="147"/>
      <c r="AW88" s="147"/>
      <c r="BA88" s="147"/>
      <c r="BE88" s="147"/>
      <c r="BI88" s="147"/>
      <c r="BM88" s="147"/>
      <c r="BQ88" s="147"/>
      <c r="BU88" s="147"/>
      <c r="BY88" s="147"/>
      <c r="CC88" s="147"/>
      <c r="CG88" s="147"/>
      <c r="CK88" s="147"/>
      <c r="CO88" s="147"/>
      <c r="CS88" s="147"/>
      <c r="CW88" s="147"/>
      <c r="DA88" s="147"/>
      <c r="DE88" s="147"/>
      <c r="DI88" s="147"/>
      <c r="DM88" s="147"/>
      <c r="DQ88" s="147"/>
      <c r="DU88" s="147"/>
      <c r="DY88" s="147"/>
      <c r="EC88" s="147"/>
      <c r="EG88" s="147"/>
      <c r="EK88" s="147"/>
      <c r="EO88" s="147"/>
      <c r="ES88" s="147"/>
      <c r="EW88" s="147"/>
      <c r="FA88" s="147"/>
      <c r="FE88" s="147"/>
      <c r="FI88" s="147"/>
      <c r="FM88" s="147"/>
      <c r="FQ88" s="147"/>
      <c r="FU88" s="147"/>
      <c r="FY88" s="147"/>
      <c r="GC88" s="147"/>
      <c r="GG88" s="147"/>
      <c r="GK88" s="147"/>
      <c r="GO88" s="147"/>
      <c r="GS88" s="147"/>
      <c r="GW88" s="147"/>
      <c r="HA88" s="147"/>
      <c r="HE88" s="147"/>
      <c r="HI88" s="147"/>
      <c r="HM88" s="147"/>
      <c r="HQ88" s="147"/>
      <c r="HU88" s="147"/>
      <c r="HY88" s="147"/>
      <c r="IC88" s="147"/>
      <c r="IG88" s="147"/>
      <c r="IK88" s="147"/>
      <c r="IO88" s="147"/>
      <c r="IS88" s="147"/>
    </row>
    <row r="89" spans="1:253" x14ac:dyDescent="0.2">
      <c r="A89" s="195"/>
      <c r="B89" s="175"/>
      <c r="C89" s="131" t="s">
        <v>214</v>
      </c>
      <c r="D89" s="93">
        <v>1.05E-8</v>
      </c>
      <c r="E89" s="136"/>
      <c r="F89" s="133"/>
      <c r="G89" s="178" t="s">
        <v>220</v>
      </c>
      <c r="H89" s="133" t="s">
        <v>286</v>
      </c>
      <c r="I89" s="198"/>
      <c r="J89" s="202"/>
      <c r="M89" s="147"/>
      <c r="Q89" s="147"/>
      <c r="U89" s="147"/>
      <c r="Y89" s="147"/>
      <c r="AC89" s="147"/>
      <c r="AG89" s="147"/>
      <c r="AK89" s="147"/>
      <c r="AO89" s="147"/>
      <c r="AS89" s="147"/>
      <c r="AW89" s="147"/>
      <c r="BA89" s="147"/>
      <c r="BE89" s="147"/>
      <c r="BI89" s="147"/>
      <c r="BM89" s="147"/>
      <c r="BQ89" s="147"/>
      <c r="BU89" s="147"/>
      <c r="BY89" s="147"/>
      <c r="CC89" s="147"/>
      <c r="CG89" s="147"/>
      <c r="CK89" s="147"/>
      <c r="CO89" s="147"/>
      <c r="CS89" s="147"/>
      <c r="CW89" s="147"/>
      <c r="DA89" s="147"/>
      <c r="DE89" s="147"/>
      <c r="DI89" s="147"/>
      <c r="DM89" s="147"/>
      <c r="DQ89" s="147"/>
      <c r="DU89" s="147"/>
      <c r="DY89" s="147"/>
      <c r="EC89" s="147"/>
      <c r="EG89" s="147"/>
      <c r="EK89" s="147"/>
      <c r="EO89" s="147"/>
      <c r="ES89" s="147"/>
      <c r="EW89" s="147"/>
      <c r="FA89" s="147"/>
      <c r="FE89" s="147"/>
      <c r="FI89" s="147"/>
      <c r="FM89" s="147"/>
      <c r="FQ89" s="147"/>
      <c r="FU89" s="147"/>
      <c r="FY89" s="147"/>
      <c r="GC89" s="147"/>
      <c r="GG89" s="147"/>
      <c r="GK89" s="147"/>
      <c r="GO89" s="147"/>
      <c r="GS89" s="147"/>
      <c r="GW89" s="147"/>
      <c r="HA89" s="147"/>
      <c r="HE89" s="147"/>
      <c r="HI89" s="147"/>
      <c r="HM89" s="147"/>
      <c r="HQ89" s="147"/>
      <c r="HU89" s="147"/>
      <c r="HY89" s="147"/>
      <c r="IC89" s="147"/>
      <c r="IG89" s="147"/>
      <c r="IK89" s="147"/>
      <c r="IO89" s="147"/>
      <c r="IS89" s="147"/>
    </row>
    <row r="90" spans="1:253" x14ac:dyDescent="0.2">
      <c r="A90" s="195"/>
      <c r="B90" s="175"/>
      <c r="C90" s="131" t="s">
        <v>223</v>
      </c>
      <c r="D90" s="83">
        <f>Qg_ls*fsw</f>
        <v>7.8750000000000001E-3</v>
      </c>
      <c r="E90" s="136"/>
      <c r="F90" s="133"/>
      <c r="G90" s="178" t="s">
        <v>2</v>
      </c>
      <c r="H90" s="133" t="s">
        <v>443</v>
      </c>
      <c r="I90" s="198"/>
      <c r="J90" s="202"/>
      <c r="M90" s="147"/>
      <c r="Q90" s="147"/>
      <c r="U90" s="147"/>
      <c r="Y90" s="147"/>
      <c r="AC90" s="147"/>
      <c r="AG90" s="147"/>
      <c r="AK90" s="147"/>
      <c r="AO90" s="147"/>
      <c r="AS90" s="147"/>
      <c r="AW90" s="147"/>
      <c r="BA90" s="147"/>
      <c r="BE90" s="147"/>
      <c r="BI90" s="147"/>
      <c r="BM90" s="147"/>
      <c r="BQ90" s="147"/>
      <c r="BU90" s="147"/>
      <c r="BY90" s="147"/>
      <c r="CC90" s="147"/>
      <c r="CG90" s="147"/>
      <c r="CK90" s="147"/>
      <c r="CO90" s="147"/>
      <c r="CS90" s="147"/>
      <c r="CW90" s="147"/>
      <c r="DA90" s="147"/>
      <c r="DE90" s="147"/>
      <c r="DI90" s="147"/>
      <c r="DM90" s="147"/>
      <c r="DQ90" s="147"/>
      <c r="DU90" s="147"/>
      <c r="DY90" s="147"/>
      <c r="EC90" s="147"/>
      <c r="EG90" s="147"/>
      <c r="EK90" s="147"/>
      <c r="EO90" s="147"/>
      <c r="ES90" s="147"/>
      <c r="EW90" s="147"/>
      <c r="FA90" s="147"/>
      <c r="FE90" s="147"/>
      <c r="FI90" s="147"/>
      <c r="FM90" s="147"/>
      <c r="FQ90" s="147"/>
      <c r="FU90" s="147"/>
      <c r="FY90" s="147"/>
      <c r="GC90" s="147"/>
      <c r="GG90" s="147"/>
      <c r="GK90" s="147"/>
      <c r="GO90" s="147"/>
      <c r="GS90" s="147"/>
      <c r="GW90" s="147"/>
      <c r="HA90" s="147"/>
      <c r="HE90" s="147"/>
      <c r="HI90" s="147"/>
      <c r="HM90" s="147"/>
      <c r="HQ90" s="147"/>
      <c r="HU90" s="147"/>
      <c r="HY90" s="147"/>
      <c r="IC90" s="147"/>
      <c r="IG90" s="147"/>
      <c r="IK90" s="147"/>
      <c r="IO90" s="147"/>
      <c r="IS90" s="147"/>
    </row>
    <row r="91" spans="1:253" x14ac:dyDescent="0.2">
      <c r="A91" s="195"/>
      <c r="B91" s="175"/>
      <c r="C91" s="131" t="s">
        <v>215</v>
      </c>
      <c r="D91" s="100">
        <v>1.6999999999999999E-3</v>
      </c>
      <c r="E91" s="136"/>
      <c r="F91" s="133"/>
      <c r="G91" s="178" t="s">
        <v>29</v>
      </c>
      <c r="H91" s="133" t="s">
        <v>287</v>
      </c>
      <c r="I91" s="198"/>
      <c r="J91" s="202"/>
      <c r="M91" s="147"/>
      <c r="Q91" s="147"/>
      <c r="U91" s="147"/>
      <c r="Y91" s="147"/>
      <c r="AC91" s="147"/>
      <c r="AG91" s="147"/>
      <c r="AK91" s="147"/>
      <c r="AO91" s="147"/>
      <c r="AS91" s="147"/>
      <c r="AW91" s="147"/>
      <c r="BA91" s="147"/>
      <c r="BE91" s="147"/>
      <c r="BI91" s="147"/>
      <c r="BM91" s="147"/>
      <c r="BQ91" s="147"/>
      <c r="BU91" s="147"/>
      <c r="BY91" s="147"/>
      <c r="CC91" s="147"/>
      <c r="CG91" s="147"/>
      <c r="CK91" s="147"/>
      <c r="CO91" s="147"/>
      <c r="CS91" s="147"/>
      <c r="CW91" s="147"/>
      <c r="DA91" s="147"/>
      <c r="DE91" s="147"/>
      <c r="DI91" s="147"/>
      <c r="DM91" s="147"/>
      <c r="DQ91" s="147"/>
      <c r="DU91" s="147"/>
      <c r="DY91" s="147"/>
      <c r="EC91" s="147"/>
      <c r="EG91" s="147"/>
      <c r="EK91" s="147"/>
      <c r="EO91" s="147"/>
      <c r="ES91" s="147"/>
      <c r="EW91" s="147"/>
      <c r="FA91" s="147"/>
      <c r="FE91" s="147"/>
      <c r="FI91" s="147"/>
      <c r="FM91" s="147"/>
      <c r="FQ91" s="147"/>
      <c r="FU91" s="147"/>
      <c r="FY91" s="147"/>
      <c r="GC91" s="147"/>
      <c r="GG91" s="147"/>
      <c r="GK91" s="147"/>
      <c r="GO91" s="147"/>
      <c r="GS91" s="147"/>
      <c r="GW91" s="147"/>
      <c r="HA91" s="147"/>
      <c r="HE91" s="147"/>
      <c r="HI91" s="147"/>
      <c r="HM91" s="147"/>
      <c r="HQ91" s="147"/>
      <c r="HU91" s="147"/>
      <c r="HY91" s="147"/>
      <c r="IC91" s="147"/>
      <c r="IG91" s="147"/>
      <c r="IK91" s="147"/>
      <c r="IO91" s="147"/>
      <c r="IS91" s="147"/>
    </row>
    <row r="92" spans="1:253" x14ac:dyDescent="0.2">
      <c r="A92" s="195"/>
      <c r="B92" s="177">
        <v>26</v>
      </c>
      <c r="C92" s="131" t="s">
        <v>218</v>
      </c>
      <c r="D92" s="83">
        <f>Dnom*Ilrms^2*(Rdson_ls)</f>
        <v>8.3879830277235834E-2</v>
      </c>
      <c r="E92" s="135"/>
      <c r="F92" s="133"/>
      <c r="G92" s="178" t="s">
        <v>12</v>
      </c>
      <c r="H92" s="133" t="s">
        <v>358</v>
      </c>
      <c r="I92" s="198"/>
      <c r="J92" s="202"/>
    </row>
    <row r="93" spans="1:253" x14ac:dyDescent="0.2">
      <c r="A93" s="195"/>
      <c r="B93" s="175"/>
      <c r="C93" s="131" t="s">
        <v>310</v>
      </c>
      <c r="D93" s="85">
        <v>1.7</v>
      </c>
      <c r="E93" s="136"/>
      <c r="F93" s="133"/>
      <c r="G93" s="178" t="s">
        <v>3</v>
      </c>
      <c r="H93" s="133" t="s">
        <v>311</v>
      </c>
      <c r="I93" s="198"/>
      <c r="J93" s="202"/>
      <c r="M93" s="147"/>
      <c r="Q93" s="147"/>
      <c r="U93" s="147"/>
      <c r="Y93" s="147"/>
      <c r="AC93" s="147"/>
      <c r="AG93" s="147"/>
      <c r="AK93" s="147"/>
      <c r="AO93" s="147"/>
      <c r="AS93" s="147"/>
      <c r="AW93" s="147"/>
      <c r="BA93" s="147"/>
      <c r="BE93" s="147"/>
      <c r="BI93" s="147"/>
      <c r="BM93" s="147"/>
      <c r="BQ93" s="147"/>
      <c r="BU93" s="147"/>
      <c r="BY93" s="147"/>
      <c r="CC93" s="147"/>
      <c r="CG93" s="147"/>
      <c r="CK93" s="147"/>
      <c r="CO93" s="147"/>
      <c r="CS93" s="147"/>
      <c r="CW93" s="147"/>
      <c r="DA93" s="147"/>
      <c r="DE93" s="147"/>
      <c r="DI93" s="147"/>
      <c r="DM93" s="147"/>
      <c r="DQ93" s="147"/>
      <c r="DU93" s="147"/>
      <c r="DY93" s="147"/>
      <c r="EC93" s="147"/>
      <c r="EG93" s="147"/>
      <c r="EK93" s="147"/>
      <c r="EO93" s="147"/>
      <c r="ES93" s="147"/>
      <c r="EW93" s="147"/>
      <c r="FA93" s="147"/>
      <c r="FE93" s="147"/>
      <c r="FI93" s="147"/>
      <c r="FM93" s="147"/>
      <c r="FQ93" s="147"/>
      <c r="FU93" s="147"/>
      <c r="FY93" s="147"/>
      <c r="GC93" s="147"/>
      <c r="GG93" s="147"/>
      <c r="GK93" s="147"/>
      <c r="GO93" s="147"/>
      <c r="GS93" s="147"/>
      <c r="GW93" s="147"/>
      <c r="HA93" s="147"/>
      <c r="HE93" s="147"/>
      <c r="HI93" s="147"/>
      <c r="HM93" s="147"/>
      <c r="HQ93" s="147"/>
      <c r="HU93" s="147"/>
      <c r="HY93" s="147"/>
      <c r="IC93" s="147"/>
      <c r="IG93" s="147"/>
      <c r="IK93" s="147"/>
      <c r="IO93" s="147"/>
      <c r="IS93" s="147"/>
    </row>
    <row r="94" spans="1:253" x14ac:dyDescent="0.2">
      <c r="A94" s="195"/>
      <c r="B94" s="175"/>
      <c r="C94" s="131" t="s">
        <v>319</v>
      </c>
      <c r="D94" s="93">
        <v>7.5E-10</v>
      </c>
      <c r="E94" s="136"/>
      <c r="F94" s="133"/>
      <c r="G94" s="178" t="s">
        <v>7</v>
      </c>
      <c r="H94" s="133" t="s">
        <v>354</v>
      </c>
      <c r="I94" s="198"/>
      <c r="J94" s="202"/>
      <c r="M94" s="147"/>
      <c r="Q94" s="147"/>
      <c r="U94" s="147"/>
      <c r="Y94" s="147"/>
      <c r="AC94" s="147"/>
      <c r="AG94" s="147"/>
      <c r="AK94" s="147"/>
      <c r="AO94" s="147"/>
      <c r="AS94" s="147"/>
      <c r="AW94" s="147"/>
      <c r="BA94" s="147"/>
      <c r="BE94" s="147"/>
      <c r="BI94" s="147"/>
      <c r="BM94" s="147"/>
      <c r="BQ94" s="147"/>
      <c r="BU94" s="147"/>
      <c r="BY94" s="147"/>
      <c r="CC94" s="147"/>
      <c r="CG94" s="147"/>
      <c r="CK94" s="147"/>
      <c r="CO94" s="147"/>
      <c r="CS94" s="147"/>
      <c r="CW94" s="147"/>
      <c r="DA94" s="147"/>
      <c r="DE94" s="147"/>
      <c r="DI94" s="147"/>
      <c r="DM94" s="147"/>
      <c r="DQ94" s="147"/>
      <c r="DU94" s="147"/>
      <c r="DY94" s="147"/>
      <c r="EC94" s="147"/>
      <c r="EG94" s="147"/>
      <c r="EK94" s="147"/>
      <c r="EO94" s="147"/>
      <c r="ES94" s="147"/>
      <c r="EW94" s="147"/>
      <c r="FA94" s="147"/>
      <c r="FE94" s="147"/>
      <c r="FI94" s="147"/>
      <c r="FM94" s="147"/>
      <c r="FQ94" s="147"/>
      <c r="FU94" s="147"/>
      <c r="FY94" s="147"/>
      <c r="GC94" s="147"/>
      <c r="GG94" s="147"/>
      <c r="GK94" s="147"/>
      <c r="GO94" s="147"/>
      <c r="GS94" s="147"/>
      <c r="GW94" s="147"/>
      <c r="HA94" s="147"/>
      <c r="HE94" s="147"/>
      <c r="HI94" s="147"/>
      <c r="HM94" s="147"/>
      <c r="HQ94" s="147"/>
      <c r="HU94" s="147"/>
      <c r="HY94" s="147"/>
      <c r="IC94" s="147"/>
      <c r="IG94" s="147"/>
      <c r="IK94" s="147"/>
      <c r="IO94" s="147"/>
      <c r="IS94" s="147"/>
    </row>
    <row r="95" spans="1:253" x14ac:dyDescent="0.2">
      <c r="A95" s="195"/>
      <c r="B95" s="175"/>
      <c r="C95" s="131" t="s">
        <v>320</v>
      </c>
      <c r="D95" s="93">
        <v>2.2999999999999999E-9</v>
      </c>
      <c r="E95" s="136"/>
      <c r="F95" s="133"/>
      <c r="G95" s="178" t="s">
        <v>220</v>
      </c>
      <c r="H95" s="133" t="s">
        <v>355</v>
      </c>
      <c r="I95" s="198"/>
      <c r="J95" s="202"/>
      <c r="M95" s="147"/>
      <c r="Q95" s="147"/>
      <c r="U95" s="147"/>
      <c r="Y95" s="147"/>
      <c r="AC95" s="147"/>
      <c r="AG95" s="147"/>
      <c r="AK95" s="147"/>
      <c r="AO95" s="147"/>
      <c r="AS95" s="147"/>
      <c r="AW95" s="147"/>
      <c r="BA95" s="147"/>
      <c r="BE95" s="147"/>
      <c r="BI95" s="147"/>
      <c r="BM95" s="147"/>
      <c r="BQ95" s="147"/>
      <c r="BU95" s="147"/>
      <c r="BY95" s="147"/>
      <c r="CC95" s="147"/>
      <c r="CG95" s="147"/>
      <c r="CK95" s="147"/>
      <c r="CO95" s="147"/>
      <c r="CS95" s="147"/>
      <c r="CW95" s="147"/>
      <c r="DA95" s="147"/>
      <c r="DE95" s="147"/>
      <c r="DI95" s="147"/>
      <c r="DM95" s="147"/>
      <c r="DQ95" s="147"/>
      <c r="DU95" s="147"/>
      <c r="DY95" s="147"/>
      <c r="EC95" s="147"/>
      <c r="EG95" s="147"/>
      <c r="EK95" s="147"/>
      <c r="EO95" s="147"/>
      <c r="ES95" s="147"/>
      <c r="EW95" s="147"/>
      <c r="FA95" s="147"/>
      <c r="FE95" s="147"/>
      <c r="FI95" s="147"/>
      <c r="FM95" s="147"/>
      <c r="FQ95" s="147"/>
      <c r="FU95" s="147"/>
      <c r="FY95" s="147"/>
      <c r="GC95" s="147"/>
      <c r="GG95" s="147"/>
      <c r="GK95" s="147"/>
      <c r="GO95" s="147"/>
      <c r="GS95" s="147"/>
      <c r="GW95" s="147"/>
      <c r="HA95" s="147"/>
      <c r="HE95" s="147"/>
      <c r="HI95" s="147"/>
      <c r="HM95" s="147"/>
      <c r="HQ95" s="147"/>
      <c r="HU95" s="147"/>
      <c r="HY95" s="147"/>
      <c r="IC95" s="147"/>
      <c r="IG95" s="147"/>
      <c r="IK95" s="147"/>
      <c r="IO95" s="147"/>
      <c r="IS95" s="147"/>
    </row>
    <row r="96" spans="1:253" x14ac:dyDescent="0.2">
      <c r="A96" s="195"/>
      <c r="B96" s="175"/>
      <c r="C96" s="131" t="s">
        <v>221</v>
      </c>
      <c r="D96" s="85">
        <v>0.85</v>
      </c>
      <c r="E96" s="136"/>
      <c r="F96" s="133"/>
      <c r="G96" s="178" t="s">
        <v>29</v>
      </c>
      <c r="H96" s="133" t="s">
        <v>288</v>
      </c>
      <c r="I96" s="198"/>
      <c r="J96" s="202"/>
      <c r="M96" s="147"/>
      <c r="Q96" s="147"/>
      <c r="U96" s="147"/>
      <c r="Y96" s="147"/>
      <c r="AC96" s="147"/>
      <c r="AG96" s="147"/>
      <c r="AK96" s="147"/>
      <c r="AO96" s="147"/>
      <c r="AS96" s="147"/>
      <c r="AW96" s="147"/>
      <c r="BA96" s="147"/>
      <c r="BE96" s="147"/>
      <c r="BI96" s="147"/>
      <c r="BM96" s="147"/>
      <c r="BQ96" s="147"/>
      <c r="BU96" s="147"/>
      <c r="BY96" s="147"/>
      <c r="CC96" s="147"/>
      <c r="CG96" s="147"/>
      <c r="CK96" s="147"/>
      <c r="CO96" s="147"/>
      <c r="CS96" s="147"/>
      <c r="CW96" s="147"/>
      <c r="DA96" s="147"/>
      <c r="DE96" s="147"/>
      <c r="DI96" s="147"/>
      <c r="DM96" s="147"/>
      <c r="DQ96" s="147"/>
      <c r="DU96" s="147"/>
      <c r="DY96" s="147"/>
      <c r="EC96" s="147"/>
      <c r="EG96" s="147"/>
      <c r="EK96" s="147"/>
      <c r="EO96" s="147"/>
      <c r="ES96" s="147"/>
      <c r="EW96" s="147"/>
      <c r="FA96" s="147"/>
      <c r="FE96" s="147"/>
      <c r="FI96" s="147"/>
      <c r="FM96" s="147"/>
      <c r="FQ96" s="147"/>
      <c r="FU96" s="147"/>
      <c r="FY96" s="147"/>
      <c r="GC96" s="147"/>
      <c r="GG96" s="147"/>
      <c r="GK96" s="147"/>
      <c r="GO96" s="147"/>
      <c r="GS96" s="147"/>
      <c r="GW96" s="147"/>
      <c r="HA96" s="147"/>
      <c r="HE96" s="147"/>
      <c r="HI96" s="147"/>
      <c r="HM96" s="147"/>
      <c r="HQ96" s="147"/>
      <c r="HU96" s="147"/>
      <c r="HY96" s="147"/>
      <c r="IC96" s="147"/>
      <c r="IG96" s="147"/>
      <c r="IK96" s="147"/>
      <c r="IO96" s="147"/>
      <c r="IS96" s="147"/>
    </row>
    <row r="97" spans="1:253" x14ac:dyDescent="0.2">
      <c r="A97" s="195"/>
      <c r="B97" s="177">
        <v>27</v>
      </c>
      <c r="C97" s="131" t="s">
        <v>217</v>
      </c>
      <c r="D97" s="83">
        <f>fsw/2*(Coss*Vout^2+Vout*Iin_max*Qgd*Rg_ls/(Vcc_typ-Vth))</f>
        <v>0.19904210526315788</v>
      </c>
      <c r="E97" s="136"/>
      <c r="F97" s="133"/>
      <c r="G97" s="178" t="s">
        <v>12</v>
      </c>
      <c r="H97" s="133" t="s">
        <v>356</v>
      </c>
      <c r="I97" s="198"/>
      <c r="J97" s="202"/>
      <c r="M97" s="147"/>
      <c r="Q97" s="147"/>
      <c r="U97" s="147"/>
      <c r="Y97" s="147"/>
      <c r="AC97" s="147"/>
      <c r="AG97" s="147"/>
      <c r="AK97" s="147"/>
      <c r="AO97" s="147"/>
      <c r="AS97" s="147"/>
      <c r="AW97" s="147"/>
      <c r="BA97" s="147"/>
      <c r="BE97" s="147"/>
      <c r="BI97" s="147"/>
      <c r="BM97" s="147"/>
      <c r="BQ97" s="147"/>
      <c r="BU97" s="147"/>
      <c r="BY97" s="147"/>
      <c r="CC97" s="147"/>
      <c r="CG97" s="147"/>
      <c r="CK97" s="147"/>
      <c r="CO97" s="147"/>
      <c r="CS97" s="147"/>
      <c r="CW97" s="147"/>
      <c r="DA97" s="147"/>
      <c r="DE97" s="147"/>
      <c r="DI97" s="147"/>
      <c r="DM97" s="147"/>
      <c r="DQ97" s="147"/>
      <c r="DU97" s="147"/>
      <c r="DY97" s="147"/>
      <c r="EC97" s="147"/>
      <c r="EG97" s="147"/>
      <c r="EK97" s="147"/>
      <c r="EO97" s="147"/>
      <c r="ES97" s="147"/>
      <c r="EW97" s="147"/>
      <c r="FA97" s="147"/>
      <c r="FE97" s="147"/>
      <c r="FI97" s="147"/>
      <c r="FM97" s="147"/>
      <c r="FQ97" s="147"/>
      <c r="FU97" s="147"/>
      <c r="FY97" s="147"/>
      <c r="GC97" s="147"/>
      <c r="GG97" s="147"/>
      <c r="GK97" s="147"/>
      <c r="GO97" s="147"/>
      <c r="GS97" s="147"/>
      <c r="GW97" s="147"/>
      <c r="HA97" s="147"/>
      <c r="HE97" s="147"/>
      <c r="HI97" s="147"/>
      <c r="HM97" s="147"/>
      <c r="HQ97" s="147"/>
      <c r="HU97" s="147"/>
      <c r="HY97" s="147"/>
      <c r="IC97" s="147"/>
      <c r="IG97" s="147"/>
      <c r="IK97" s="147"/>
      <c r="IO97" s="147"/>
      <c r="IS97" s="147"/>
    </row>
    <row r="98" spans="1:253" hidden="1" x14ac:dyDescent="0.2">
      <c r="A98" s="195"/>
      <c r="B98" s="175"/>
      <c r="C98" s="131" t="s">
        <v>318</v>
      </c>
      <c r="D98" s="80">
        <v>6.3000000000000002E-9</v>
      </c>
      <c r="E98" s="80">
        <v>4.2000000000000004E-9</v>
      </c>
      <c r="F98" s="133"/>
      <c r="G98" s="178" t="s">
        <v>42</v>
      </c>
      <c r="H98" s="133"/>
      <c r="I98" s="198"/>
      <c r="J98" s="202"/>
      <c r="M98" s="147"/>
      <c r="Q98" s="147"/>
      <c r="U98" s="147"/>
      <c r="Y98" s="147"/>
      <c r="AC98" s="147"/>
      <c r="AG98" s="147"/>
      <c r="AK98" s="147"/>
      <c r="AO98" s="147"/>
      <c r="AS98" s="147"/>
      <c r="AW98" s="147"/>
      <c r="BA98" s="147"/>
      <c r="BE98" s="147"/>
      <c r="BI98" s="147"/>
      <c r="BM98" s="147"/>
      <c r="BQ98" s="147"/>
      <c r="BU98" s="147"/>
      <c r="BY98" s="147"/>
      <c r="CC98" s="147"/>
      <c r="CG98" s="147"/>
      <c r="CK98" s="147"/>
      <c r="CO98" s="147"/>
      <c r="CS98" s="147"/>
      <c r="CW98" s="147"/>
      <c r="DA98" s="147"/>
      <c r="DE98" s="147"/>
      <c r="DI98" s="147"/>
      <c r="DM98" s="147"/>
      <c r="DQ98" s="147"/>
      <c r="DU98" s="147"/>
      <c r="DY98" s="147"/>
      <c r="EC98" s="147"/>
      <c r="EG98" s="147"/>
      <c r="EK98" s="147"/>
      <c r="EO98" s="147"/>
      <c r="ES98" s="147"/>
      <c r="EW98" s="147"/>
      <c r="FA98" s="147"/>
      <c r="FE98" s="147"/>
      <c r="FI98" s="147"/>
      <c r="FM98" s="147"/>
      <c r="FQ98" s="147"/>
      <c r="FU98" s="147"/>
      <c r="FY98" s="147"/>
      <c r="GC98" s="147"/>
      <c r="GG98" s="147"/>
      <c r="GK98" s="147"/>
      <c r="GO98" s="147"/>
      <c r="GS98" s="147"/>
      <c r="GW98" s="147"/>
      <c r="HA98" s="147"/>
      <c r="HE98" s="147"/>
      <c r="HI98" s="147"/>
      <c r="HM98" s="147"/>
      <c r="HQ98" s="147"/>
      <c r="HU98" s="147"/>
      <c r="HY98" s="147"/>
      <c r="IC98" s="147"/>
      <c r="IG98" s="147"/>
      <c r="IK98" s="147"/>
      <c r="IO98" s="147"/>
      <c r="IS98" s="147"/>
    </row>
    <row r="99" spans="1:253" hidden="1" x14ac:dyDescent="0.2">
      <c r="A99" s="195"/>
      <c r="B99" s="175"/>
      <c r="C99" s="131" t="s">
        <v>217</v>
      </c>
      <c r="D99" s="83">
        <f>Vout*fsw*Iin_max*(D98+E98)/2/6</f>
        <v>0.12600000000000003</v>
      </c>
      <c r="E99" s="136"/>
      <c r="F99" s="133"/>
      <c r="G99" s="178" t="s">
        <v>12</v>
      </c>
      <c r="H99" s="133"/>
      <c r="I99" s="198"/>
      <c r="J99" s="202"/>
      <c r="M99" s="147"/>
      <c r="Q99" s="147"/>
      <c r="U99" s="147"/>
      <c r="Y99" s="147"/>
      <c r="AC99" s="147"/>
      <c r="AG99" s="147"/>
      <c r="AK99" s="147"/>
      <c r="AO99" s="147"/>
      <c r="AS99" s="147"/>
      <c r="AW99" s="147"/>
      <c r="BA99" s="147"/>
      <c r="BE99" s="147"/>
      <c r="BI99" s="147"/>
      <c r="BM99" s="147"/>
      <c r="BQ99" s="147"/>
      <c r="BU99" s="147"/>
      <c r="BY99" s="147"/>
      <c r="CC99" s="147"/>
      <c r="CG99" s="147"/>
      <c r="CK99" s="147"/>
      <c r="CO99" s="147"/>
      <c r="CS99" s="147"/>
      <c r="CW99" s="147"/>
      <c r="DA99" s="147"/>
      <c r="DE99" s="147"/>
      <c r="DI99" s="147"/>
      <c r="DM99" s="147"/>
      <c r="DQ99" s="147"/>
      <c r="DU99" s="147"/>
      <c r="DY99" s="147"/>
      <c r="EC99" s="147"/>
      <c r="EG99" s="147"/>
      <c r="EK99" s="147"/>
      <c r="EO99" s="147"/>
      <c r="ES99" s="147"/>
      <c r="EW99" s="147"/>
      <c r="FA99" s="147"/>
      <c r="FE99" s="147"/>
      <c r="FI99" s="147"/>
      <c r="FM99" s="147"/>
      <c r="FQ99" s="147"/>
      <c r="FU99" s="147"/>
      <c r="FY99" s="147"/>
      <c r="GC99" s="147"/>
      <c r="GG99" s="147"/>
      <c r="GK99" s="147"/>
      <c r="GO99" s="147"/>
      <c r="GS99" s="147"/>
      <c r="GW99" s="147"/>
      <c r="HA99" s="147"/>
      <c r="HE99" s="147"/>
      <c r="HI99" s="147"/>
      <c r="HM99" s="147"/>
      <c r="HQ99" s="147"/>
      <c r="HU99" s="147"/>
      <c r="HY99" s="147"/>
      <c r="IC99" s="147"/>
      <c r="IG99" s="147"/>
      <c r="IK99" s="147"/>
      <c r="IO99" s="147"/>
      <c r="IS99" s="147"/>
    </row>
    <row r="100" spans="1:253" x14ac:dyDescent="0.2">
      <c r="A100" s="195"/>
      <c r="B100" s="130"/>
      <c r="C100" s="131" t="s">
        <v>335</v>
      </c>
      <c r="D100" s="83">
        <f>Pls_sw+Psw_cond</f>
        <v>0.28292193554039369</v>
      </c>
      <c r="E100" s="135"/>
      <c r="F100" s="133"/>
      <c r="G100" s="178" t="s">
        <v>12</v>
      </c>
      <c r="H100" s="133" t="s">
        <v>359</v>
      </c>
      <c r="I100" s="198"/>
      <c r="J100" s="202"/>
    </row>
    <row r="101" spans="1:253" x14ac:dyDescent="0.2">
      <c r="A101" s="195"/>
      <c r="B101" s="156"/>
      <c r="C101" s="149"/>
      <c r="D101" s="156"/>
      <c r="E101" s="162"/>
      <c r="F101" s="141"/>
      <c r="G101" s="141"/>
      <c r="H101" s="141"/>
      <c r="I101" s="198"/>
      <c r="J101" s="202"/>
    </row>
    <row r="102" spans="1:253" x14ac:dyDescent="0.2">
      <c r="A102" s="195"/>
      <c r="B102" s="255" t="s">
        <v>408</v>
      </c>
      <c r="C102" s="255"/>
      <c r="D102" s="167"/>
      <c r="E102" s="167"/>
      <c r="F102" s="159"/>
      <c r="G102" s="164"/>
      <c r="H102" s="159"/>
      <c r="I102" s="198"/>
      <c r="J102" s="202"/>
      <c r="M102" s="147"/>
      <c r="Q102" s="147"/>
      <c r="U102" s="147"/>
      <c r="Y102" s="147"/>
      <c r="AC102" s="147"/>
      <c r="AG102" s="147"/>
      <c r="AK102" s="147"/>
      <c r="AO102" s="147"/>
      <c r="AS102" s="147"/>
      <c r="AW102" s="147"/>
      <c r="BA102" s="147"/>
      <c r="BE102" s="147"/>
      <c r="BI102" s="147"/>
      <c r="BM102" s="147"/>
      <c r="BQ102" s="147"/>
      <c r="BU102" s="147"/>
      <c r="BY102" s="147"/>
      <c r="CC102" s="147"/>
      <c r="CG102" s="147"/>
      <c r="CK102" s="147"/>
      <c r="CO102" s="147"/>
      <c r="CS102" s="147"/>
      <c r="CW102" s="147"/>
      <c r="DA102" s="147"/>
      <c r="DE102" s="147"/>
      <c r="DI102" s="147"/>
      <c r="DM102" s="147"/>
      <c r="DQ102" s="147"/>
      <c r="DU102" s="147"/>
      <c r="DY102" s="147"/>
      <c r="EC102" s="147"/>
      <c r="EG102" s="147"/>
      <c r="EK102" s="147"/>
      <c r="EO102" s="147"/>
      <c r="ES102" s="147"/>
      <c r="EW102" s="147"/>
      <c r="FA102" s="147"/>
      <c r="FE102" s="147"/>
      <c r="FI102" s="147"/>
      <c r="FM102" s="147"/>
      <c r="FQ102" s="147"/>
      <c r="FU102" s="147"/>
      <c r="FY102" s="147"/>
      <c r="GC102" s="147"/>
      <c r="GG102" s="147"/>
      <c r="GK102" s="147"/>
      <c r="GO102" s="147"/>
      <c r="GS102" s="147"/>
      <c r="GW102" s="147"/>
      <c r="HA102" s="147"/>
      <c r="HE102" s="147"/>
      <c r="HI102" s="147"/>
      <c r="HM102" s="147"/>
      <c r="HQ102" s="147"/>
      <c r="HU102" s="147"/>
      <c r="HY102" s="147"/>
      <c r="IC102" s="147"/>
      <c r="IG102" s="147"/>
      <c r="IK102" s="147"/>
      <c r="IO102" s="147"/>
      <c r="IS102" s="147"/>
    </row>
    <row r="103" spans="1:253" x14ac:dyDescent="0.2">
      <c r="A103" s="195"/>
      <c r="B103" s="175"/>
      <c r="C103" s="131" t="s">
        <v>365</v>
      </c>
      <c r="D103" s="254" t="s">
        <v>463</v>
      </c>
      <c r="E103" s="136"/>
      <c r="F103" s="133"/>
      <c r="G103" s="178"/>
      <c r="H103" s="133" t="s">
        <v>386</v>
      </c>
      <c r="I103" s="198"/>
      <c r="J103" s="202"/>
      <c r="M103" s="147"/>
      <c r="Q103" s="147"/>
      <c r="U103" s="147"/>
      <c r="Y103" s="147"/>
      <c r="AC103" s="147"/>
      <c r="AG103" s="147"/>
      <c r="AK103" s="147"/>
      <c r="AO103" s="147"/>
      <c r="AS103" s="147"/>
      <c r="AW103" s="147"/>
      <c r="BA103" s="147"/>
      <c r="BE103" s="147"/>
      <c r="BI103" s="147"/>
      <c r="BM103" s="147"/>
      <c r="BQ103" s="147"/>
      <c r="BU103" s="147"/>
      <c r="BY103" s="147"/>
      <c r="CC103" s="147"/>
      <c r="CG103" s="147"/>
      <c r="CK103" s="147"/>
      <c r="CO103" s="147"/>
      <c r="CS103" s="147"/>
      <c r="CW103" s="147"/>
      <c r="DA103" s="147"/>
      <c r="DE103" s="147"/>
      <c r="DI103" s="147"/>
      <c r="DM103" s="147"/>
      <c r="DQ103" s="147"/>
      <c r="DU103" s="147"/>
      <c r="DY103" s="147"/>
      <c r="EC103" s="147"/>
      <c r="EG103" s="147"/>
      <c r="EK103" s="147"/>
      <c r="EO103" s="147"/>
      <c r="ES103" s="147"/>
      <c r="EW103" s="147"/>
      <c r="FA103" s="147"/>
      <c r="FE103" s="147"/>
      <c r="FI103" s="147"/>
      <c r="FM103" s="147"/>
      <c r="FQ103" s="147"/>
      <c r="FU103" s="147"/>
      <c r="FY103" s="147"/>
      <c r="GC103" s="147"/>
      <c r="GG103" s="147"/>
      <c r="GK103" s="147"/>
      <c r="GO103" s="147"/>
      <c r="GS103" s="147"/>
      <c r="GW103" s="147"/>
      <c r="HA103" s="147"/>
      <c r="HE103" s="147"/>
      <c r="HI103" s="147"/>
      <c r="HM103" s="147"/>
      <c r="HQ103" s="147"/>
      <c r="HU103" s="147"/>
      <c r="HY103" s="147"/>
      <c r="IC103" s="147"/>
      <c r="IG103" s="147"/>
      <c r="IK103" s="147"/>
      <c r="IO103" s="147"/>
      <c r="IS103" s="147"/>
    </row>
    <row r="104" spans="1:253" x14ac:dyDescent="0.2">
      <c r="A104" s="195"/>
      <c r="B104" s="175"/>
      <c r="C104" s="131" t="s">
        <v>219</v>
      </c>
      <c r="D104" s="93">
        <f>Qg_ls</f>
        <v>1.05E-8</v>
      </c>
      <c r="E104" s="136"/>
      <c r="F104" s="133"/>
      <c r="G104" s="178" t="s">
        <v>220</v>
      </c>
      <c r="H104" s="133" t="s">
        <v>286</v>
      </c>
      <c r="I104" s="198"/>
      <c r="J104" s="202"/>
      <c r="M104" s="147"/>
      <c r="Q104" s="147"/>
      <c r="U104" s="147"/>
      <c r="Y104" s="147"/>
      <c r="AC104" s="147"/>
      <c r="AG104" s="147"/>
      <c r="AK104" s="147"/>
      <c r="AO104" s="147"/>
      <c r="AS104" s="147"/>
      <c r="AW104" s="147"/>
      <c r="BA104" s="147"/>
      <c r="BE104" s="147"/>
      <c r="BI104" s="147"/>
      <c r="BM104" s="147"/>
      <c r="BQ104" s="147"/>
      <c r="BU104" s="147"/>
      <c r="BY104" s="147"/>
      <c r="CC104" s="147"/>
      <c r="CG104" s="147"/>
      <c r="CK104" s="147"/>
      <c r="CO104" s="147"/>
      <c r="CS104" s="147"/>
      <c r="CW104" s="147"/>
      <c r="DA104" s="147"/>
      <c r="DE104" s="147"/>
      <c r="DI104" s="147"/>
      <c r="DM104" s="147"/>
      <c r="DQ104" s="147"/>
      <c r="DU104" s="147"/>
      <c r="DY104" s="147"/>
      <c r="EC104" s="147"/>
      <c r="EG104" s="147"/>
      <c r="EK104" s="147"/>
      <c r="EO104" s="147"/>
      <c r="ES104" s="147"/>
      <c r="EW104" s="147"/>
      <c r="FA104" s="147"/>
      <c r="FE104" s="147"/>
      <c r="FI104" s="147"/>
      <c r="FM104" s="147"/>
      <c r="FQ104" s="147"/>
      <c r="FU104" s="147"/>
      <c r="FY104" s="147"/>
      <c r="GC104" s="147"/>
      <c r="GG104" s="147"/>
      <c r="GK104" s="147"/>
      <c r="GO104" s="147"/>
      <c r="GS104" s="147"/>
      <c r="GW104" s="147"/>
      <c r="HA104" s="147"/>
      <c r="HE104" s="147"/>
      <c r="HI104" s="147"/>
      <c r="HM104" s="147"/>
      <c r="HQ104" s="147"/>
      <c r="HU104" s="147"/>
      <c r="HY104" s="147"/>
      <c r="IC104" s="147"/>
      <c r="IG104" s="147"/>
      <c r="IK104" s="147"/>
      <c r="IO104" s="147"/>
      <c r="IS104" s="147"/>
    </row>
    <row r="105" spans="1:253" x14ac:dyDescent="0.2">
      <c r="A105" s="195"/>
      <c r="B105" s="177"/>
      <c r="C105" s="131" t="s">
        <v>223</v>
      </c>
      <c r="D105" s="83">
        <f>Qg_hs*fsw</f>
        <v>7.8750000000000001E-3</v>
      </c>
      <c r="E105" s="136"/>
      <c r="F105" s="133"/>
      <c r="G105" s="178" t="s">
        <v>2</v>
      </c>
      <c r="H105" s="133" t="s">
        <v>443</v>
      </c>
      <c r="I105" s="198"/>
      <c r="J105" s="202"/>
      <c r="M105" s="147"/>
      <c r="Q105" s="147"/>
      <c r="U105" s="147"/>
      <c r="Y105" s="147"/>
      <c r="AC105" s="147"/>
      <c r="AG105" s="147"/>
      <c r="AK105" s="147"/>
      <c r="AO105" s="147"/>
      <c r="AS105" s="147"/>
      <c r="AW105" s="147"/>
      <c r="BA105" s="147"/>
      <c r="BE105" s="147"/>
      <c r="BI105" s="147"/>
      <c r="BM105" s="147"/>
      <c r="BQ105" s="147"/>
      <c r="BU105" s="147"/>
      <c r="BY105" s="147"/>
      <c r="CC105" s="147"/>
      <c r="CG105" s="147"/>
      <c r="CK105" s="147"/>
      <c r="CO105" s="147"/>
      <c r="CS105" s="147"/>
      <c r="CW105" s="147"/>
      <c r="DA105" s="147"/>
      <c r="DE105" s="147"/>
      <c r="DI105" s="147"/>
      <c r="DM105" s="147"/>
      <c r="DQ105" s="147"/>
      <c r="DU105" s="147"/>
      <c r="DY105" s="147"/>
      <c r="EC105" s="147"/>
      <c r="EG105" s="147"/>
      <c r="EK105" s="147"/>
      <c r="EO105" s="147"/>
      <c r="ES105" s="147"/>
      <c r="EW105" s="147"/>
      <c r="FA105" s="147"/>
      <c r="FE105" s="147"/>
      <c r="FI105" s="147"/>
      <c r="FM105" s="147"/>
      <c r="FQ105" s="147"/>
      <c r="FU105" s="147"/>
      <c r="FY105" s="147"/>
      <c r="GC105" s="147"/>
      <c r="GG105" s="147"/>
      <c r="GK105" s="147"/>
      <c r="GO105" s="147"/>
      <c r="GS105" s="147"/>
      <c r="GW105" s="147"/>
      <c r="HA105" s="147"/>
      <c r="HE105" s="147"/>
      <c r="HI105" s="147"/>
      <c r="HM105" s="147"/>
      <c r="HQ105" s="147"/>
      <c r="HU105" s="147"/>
      <c r="HY105" s="147"/>
      <c r="IC105" s="147"/>
      <c r="IG105" s="147"/>
      <c r="IK105" s="147"/>
      <c r="IO105" s="147"/>
      <c r="IS105" s="147"/>
    </row>
    <row r="106" spans="1:253" x14ac:dyDescent="0.2">
      <c r="A106" s="195"/>
      <c r="B106" s="177">
        <v>30</v>
      </c>
      <c r="C106" s="131" t="s">
        <v>304</v>
      </c>
      <c r="D106" s="81">
        <f>Qg_hs/(0.25)</f>
        <v>4.1999999999999999E-8</v>
      </c>
      <c r="E106" s="97">
        <f>IF(D106*10^12&lt;10000,IF((10^(LOG(D106*10^12)-INT(LOG(D106*10^12))))-VLOOKUP((10^(LOG(D106*10^12)-INT(LOG(D106*10^12)))),c_s1:C_f1,1)&lt;VLOOKUP((10^(LOG(D106*10^12)-INT(LOG(D106*10^12)))),c_s1:C_f1,2)-(10^(LOG(D106*10^12)-INT(LOG(D106*10^12)))),VLOOKUP((10^(LOG(D106*10^12)-INT(LOG(D106*10^12)))),c_s1:C_f1,1),VLOOKUP((10^(LOG(D106*10^12)-INT(LOG(D106*10^12)))),c_s1:C_f1,2))*10^INT(LOG(D106*10^12)),IF((10^(LOG(D106*10^12)-INT(LOG(D106*10^12))))-VLOOKUP((10^(LOG(D106*10^12)-INT(LOG(D106*10^12)))),C_s2:C_f2,1)&lt;VLOOKUP((10^(LOG(D106*10^12)-INT(LOG(D106*10^12)))),C_s2:C_f2,2)-(10^(LOG(D106*10^12)-INT(LOG(D106*10^12)))),VLOOKUP((10^(LOG(D106*10^12)-INT(LOG(D106*10^12)))),C_s2:C_f2,1),VLOOKUP((10^(LOG(D106*10^12)-INT(LOG(D106*10^12)))),C_s2:C_f2,2))*10^INT(LOG(D106*10^12)))*10^-12</f>
        <v>4.6999999999999997E-8</v>
      </c>
      <c r="F106" s="133"/>
      <c r="G106" s="178" t="s">
        <v>7</v>
      </c>
      <c r="H106" s="133" t="s">
        <v>305</v>
      </c>
      <c r="I106" s="198"/>
      <c r="J106" s="202"/>
    </row>
    <row r="107" spans="1:253" x14ac:dyDescent="0.2">
      <c r="A107" s="195"/>
      <c r="B107" s="177"/>
      <c r="C107" s="131" t="s">
        <v>304</v>
      </c>
      <c r="D107" s="100">
        <v>9.9999999999999995E-8</v>
      </c>
      <c r="E107" s="133"/>
      <c r="F107" s="133"/>
      <c r="G107" s="178" t="s">
        <v>7</v>
      </c>
      <c r="H107" s="133" t="s">
        <v>357</v>
      </c>
      <c r="I107" s="198"/>
      <c r="J107" s="202"/>
    </row>
    <row r="108" spans="1:253" x14ac:dyDescent="0.2">
      <c r="A108" s="195"/>
      <c r="B108" s="177"/>
      <c r="C108" s="131" t="s">
        <v>213</v>
      </c>
      <c r="D108" s="100">
        <f>Rdson_ls</f>
        <v>1.6999999999999999E-3</v>
      </c>
      <c r="E108" s="136"/>
      <c r="F108" s="133"/>
      <c r="G108" s="178" t="s">
        <v>29</v>
      </c>
      <c r="H108" s="133" t="s">
        <v>287</v>
      </c>
      <c r="I108" s="198"/>
      <c r="J108" s="202"/>
      <c r="M108" s="147"/>
      <c r="Q108" s="147"/>
      <c r="U108" s="147"/>
      <c r="Y108" s="147"/>
      <c r="AC108" s="147"/>
      <c r="AG108" s="147"/>
      <c r="AK108" s="147"/>
      <c r="AO108" s="147"/>
      <c r="AS108" s="147"/>
      <c r="AW108" s="147"/>
      <c r="BA108" s="147"/>
      <c r="BE108" s="147"/>
      <c r="BI108" s="147"/>
      <c r="BM108" s="147"/>
      <c r="BQ108" s="147"/>
      <c r="BU108" s="147"/>
      <c r="BY108" s="147"/>
      <c r="CC108" s="147"/>
      <c r="CG108" s="147"/>
      <c r="CK108" s="147"/>
      <c r="CO108" s="147"/>
      <c r="CS108" s="147"/>
      <c r="CW108" s="147"/>
      <c r="DA108" s="147"/>
      <c r="DE108" s="147"/>
      <c r="DI108" s="147"/>
      <c r="DM108" s="147"/>
      <c r="DQ108" s="147"/>
      <c r="DU108" s="147"/>
      <c r="DY108" s="147"/>
      <c r="EC108" s="147"/>
      <c r="EG108" s="147"/>
      <c r="EK108" s="147"/>
      <c r="EO108" s="147"/>
      <c r="ES108" s="147"/>
      <c r="EW108" s="147"/>
      <c r="FA108" s="147"/>
      <c r="FE108" s="147"/>
      <c r="FI108" s="147"/>
      <c r="FM108" s="147"/>
      <c r="FQ108" s="147"/>
      <c r="FU108" s="147"/>
      <c r="FY108" s="147"/>
      <c r="GC108" s="147"/>
      <c r="GG108" s="147"/>
      <c r="GK108" s="147"/>
      <c r="GO108" s="147"/>
      <c r="GS108" s="147"/>
      <c r="GW108" s="147"/>
      <c r="HA108" s="147"/>
      <c r="HE108" s="147"/>
      <c r="HI108" s="147"/>
      <c r="HM108" s="147"/>
      <c r="HQ108" s="147"/>
      <c r="HU108" s="147"/>
      <c r="HY108" s="147"/>
      <c r="IC108" s="147"/>
      <c r="IG108" s="147"/>
      <c r="IK108" s="147"/>
      <c r="IO108" s="147"/>
      <c r="IS108" s="147"/>
    </row>
    <row r="109" spans="1:253" x14ac:dyDescent="0.2">
      <c r="A109" s="195"/>
      <c r="B109" s="177">
        <v>28</v>
      </c>
      <c r="C109" s="131" t="s">
        <v>216</v>
      </c>
      <c r="D109" s="83">
        <f>(1-Dmax)*Ilrms^2*(Rdson_hs)</f>
        <v>2.4937246839178216E-2</v>
      </c>
      <c r="E109" s="135"/>
      <c r="F109" s="133"/>
      <c r="G109" s="178" t="s">
        <v>12</v>
      </c>
      <c r="H109" s="133" t="s">
        <v>360</v>
      </c>
      <c r="I109" s="198"/>
      <c r="J109" s="202"/>
    </row>
    <row r="110" spans="1:253" x14ac:dyDescent="0.2">
      <c r="A110" s="195"/>
      <c r="B110" s="177"/>
      <c r="C110" s="131" t="s">
        <v>225</v>
      </c>
      <c r="D110" s="85">
        <f>Rg_ls</f>
        <v>0.85</v>
      </c>
      <c r="E110" s="136"/>
      <c r="F110" s="133"/>
      <c r="G110" s="178" t="s">
        <v>29</v>
      </c>
      <c r="H110" s="133" t="s">
        <v>288</v>
      </c>
      <c r="I110" s="198"/>
      <c r="J110" s="202"/>
      <c r="M110" s="147"/>
      <c r="Q110" s="147"/>
      <c r="U110" s="147"/>
      <c r="Y110" s="147"/>
      <c r="AC110" s="147"/>
      <c r="AG110" s="147"/>
      <c r="AK110" s="147"/>
      <c r="AO110" s="147"/>
      <c r="AS110" s="147"/>
      <c r="AW110" s="147"/>
      <c r="BA110" s="147"/>
      <c r="BE110" s="147"/>
      <c r="BI110" s="147"/>
      <c r="BM110" s="147"/>
      <c r="BQ110" s="147"/>
      <c r="BU110" s="147"/>
      <c r="BY110" s="147"/>
      <c r="CC110" s="147"/>
      <c r="CG110" s="147"/>
      <c r="CK110" s="147"/>
      <c r="CO110" s="147"/>
      <c r="CS110" s="147"/>
      <c r="CW110" s="147"/>
      <c r="DA110" s="147"/>
      <c r="DE110" s="147"/>
      <c r="DI110" s="147"/>
      <c r="DM110" s="147"/>
      <c r="DQ110" s="147"/>
      <c r="DU110" s="147"/>
      <c r="DY110" s="147"/>
      <c r="EC110" s="147"/>
      <c r="EG110" s="147"/>
      <c r="EK110" s="147"/>
      <c r="EO110" s="147"/>
      <c r="ES110" s="147"/>
      <c r="EW110" s="147"/>
      <c r="FA110" s="147"/>
      <c r="FE110" s="147"/>
      <c r="FI110" s="147"/>
      <c r="FM110" s="147"/>
      <c r="FQ110" s="147"/>
      <c r="FU110" s="147"/>
      <c r="FY110" s="147"/>
      <c r="GC110" s="147"/>
      <c r="GG110" s="147"/>
      <c r="GK110" s="147"/>
      <c r="GO110" s="147"/>
      <c r="GS110" s="147"/>
      <c r="GW110" s="147"/>
      <c r="HA110" s="147"/>
      <c r="HE110" s="147"/>
      <c r="HI110" s="147"/>
      <c r="HM110" s="147"/>
      <c r="HQ110" s="147"/>
      <c r="HU110" s="147"/>
      <c r="HY110" s="147"/>
      <c r="IC110" s="147"/>
      <c r="IG110" s="147"/>
      <c r="IK110" s="147"/>
      <c r="IO110" s="147"/>
      <c r="IS110" s="147"/>
    </row>
    <row r="111" spans="1:253" x14ac:dyDescent="0.2">
      <c r="A111" s="195"/>
      <c r="B111" s="177"/>
      <c r="C111" s="131" t="s">
        <v>230</v>
      </c>
      <c r="D111" s="101">
        <v>0.5</v>
      </c>
      <c r="E111" s="136"/>
      <c r="F111" s="133"/>
      <c r="G111" s="178" t="s">
        <v>3</v>
      </c>
      <c r="H111" s="133" t="s">
        <v>235</v>
      </c>
      <c r="I111" s="198"/>
      <c r="J111" s="202"/>
      <c r="M111" s="147"/>
      <c r="Q111" s="147"/>
      <c r="U111" s="147"/>
      <c r="Y111" s="147"/>
      <c r="AC111" s="147"/>
      <c r="AG111" s="147"/>
      <c r="AK111" s="147"/>
      <c r="AO111" s="147"/>
      <c r="AS111" s="147"/>
      <c r="AW111" s="147"/>
      <c r="BA111" s="147"/>
      <c r="BE111" s="147"/>
      <c r="BI111" s="147"/>
      <c r="BM111" s="147"/>
      <c r="BQ111" s="147"/>
      <c r="BU111" s="147"/>
      <c r="BY111" s="147"/>
      <c r="CC111" s="147"/>
      <c r="CG111" s="147"/>
      <c r="CK111" s="147"/>
      <c r="CO111" s="147"/>
      <c r="CS111" s="147"/>
      <c r="CW111" s="147"/>
      <c r="DA111" s="147"/>
      <c r="DE111" s="147"/>
      <c r="DI111" s="147"/>
      <c r="DM111" s="147"/>
      <c r="DQ111" s="147"/>
      <c r="DU111" s="147"/>
      <c r="DY111" s="147"/>
      <c r="EC111" s="147"/>
      <c r="EG111" s="147"/>
      <c r="EK111" s="147"/>
      <c r="EO111" s="147"/>
      <c r="ES111" s="147"/>
      <c r="EW111" s="147"/>
      <c r="FA111" s="147"/>
      <c r="FE111" s="147"/>
      <c r="FI111" s="147"/>
      <c r="FM111" s="147"/>
      <c r="FQ111" s="147"/>
      <c r="FU111" s="147"/>
      <c r="FY111" s="147"/>
      <c r="GC111" s="147"/>
      <c r="GG111" s="147"/>
      <c r="GK111" s="147"/>
      <c r="GO111" s="147"/>
      <c r="GS111" s="147"/>
      <c r="GW111" s="147"/>
      <c r="HA111" s="147"/>
      <c r="HE111" s="147"/>
      <c r="HI111" s="147"/>
      <c r="HM111" s="147"/>
      <c r="HQ111" s="147"/>
      <c r="HU111" s="147"/>
      <c r="HY111" s="147"/>
      <c r="IC111" s="147"/>
      <c r="IG111" s="147"/>
      <c r="IK111" s="147"/>
      <c r="IO111" s="147"/>
      <c r="IS111" s="147"/>
    </row>
    <row r="112" spans="1:253" x14ac:dyDescent="0.2">
      <c r="A112" s="195"/>
      <c r="B112" s="177">
        <v>29</v>
      </c>
      <c r="C112" s="131" t="s">
        <v>231</v>
      </c>
      <c r="D112" s="83">
        <f>2*vf_body*Ilrms*tnonoverlap*fsw</f>
        <v>0.39003060576324744</v>
      </c>
      <c r="E112" s="136"/>
      <c r="F112" s="133"/>
      <c r="G112" s="178" t="s">
        <v>12</v>
      </c>
      <c r="H112" s="133" t="s">
        <v>361</v>
      </c>
      <c r="I112" s="198"/>
      <c r="J112" s="202"/>
      <c r="M112" s="147"/>
      <c r="Q112" s="147"/>
      <c r="U112" s="147"/>
      <c r="Y112" s="147"/>
      <c r="AC112" s="147"/>
      <c r="AG112" s="147"/>
      <c r="AK112" s="147"/>
      <c r="AO112" s="147"/>
      <c r="AS112" s="147"/>
      <c r="AW112" s="147"/>
      <c r="BA112" s="147"/>
      <c r="BE112" s="147"/>
      <c r="BI112" s="147"/>
      <c r="BM112" s="147"/>
      <c r="BQ112" s="147"/>
      <c r="BU112" s="147"/>
      <c r="BY112" s="147"/>
      <c r="CC112" s="147"/>
      <c r="CG112" s="147"/>
      <c r="CK112" s="147"/>
      <c r="CO112" s="147"/>
      <c r="CS112" s="147"/>
      <c r="CW112" s="147"/>
      <c r="DA112" s="147"/>
      <c r="DE112" s="147"/>
      <c r="DI112" s="147"/>
      <c r="DM112" s="147"/>
      <c r="DQ112" s="147"/>
      <c r="DU112" s="147"/>
      <c r="DY112" s="147"/>
      <c r="EC112" s="147"/>
      <c r="EG112" s="147"/>
      <c r="EK112" s="147"/>
      <c r="EO112" s="147"/>
      <c r="ES112" s="147"/>
      <c r="EW112" s="147"/>
      <c r="FA112" s="147"/>
      <c r="FE112" s="147"/>
      <c r="FI112" s="147"/>
      <c r="FM112" s="147"/>
      <c r="FQ112" s="147"/>
      <c r="FU112" s="147"/>
      <c r="FY112" s="147"/>
      <c r="GC112" s="147"/>
      <c r="GG112" s="147"/>
      <c r="GK112" s="147"/>
      <c r="GO112" s="147"/>
      <c r="GS112" s="147"/>
      <c r="GW112" s="147"/>
      <c r="HA112" s="147"/>
      <c r="HE112" s="147"/>
      <c r="HI112" s="147"/>
      <c r="HM112" s="147"/>
      <c r="HQ112" s="147"/>
      <c r="HU112" s="147"/>
      <c r="HY112" s="147"/>
      <c r="IC112" s="147"/>
      <c r="IG112" s="147"/>
      <c r="IK112" s="147"/>
      <c r="IO112" s="147"/>
      <c r="IS112" s="147"/>
    </row>
    <row r="113" spans="1:254" x14ac:dyDescent="0.2">
      <c r="A113" s="195"/>
      <c r="B113" s="177"/>
      <c r="C113" s="131" t="s">
        <v>336</v>
      </c>
      <c r="D113" s="83">
        <f>D109+D112</f>
        <v>0.41496785260242564</v>
      </c>
      <c r="E113" s="135"/>
      <c r="F113" s="133"/>
      <c r="G113" s="178" t="s">
        <v>12</v>
      </c>
      <c r="H113" s="133" t="s">
        <v>362</v>
      </c>
      <c r="I113" s="198"/>
      <c r="J113" s="202"/>
    </row>
    <row r="114" spans="1:254" x14ac:dyDescent="0.2">
      <c r="A114" s="195"/>
      <c r="B114" s="156"/>
      <c r="C114" s="141"/>
      <c r="D114" s="162"/>
      <c r="E114" s="162"/>
      <c r="F114" s="141"/>
      <c r="G114" s="145"/>
      <c r="H114" s="141"/>
      <c r="I114" s="198"/>
      <c r="J114" s="202"/>
    </row>
    <row r="115" spans="1:254" x14ac:dyDescent="0.2">
      <c r="A115" s="195"/>
      <c r="B115" s="255" t="s">
        <v>409</v>
      </c>
      <c r="C115" s="255"/>
      <c r="D115" s="167"/>
      <c r="E115" s="167"/>
      <c r="F115" s="159"/>
      <c r="G115" s="164"/>
      <c r="H115" s="159"/>
      <c r="I115" s="198"/>
      <c r="J115" s="202"/>
      <c r="M115" s="147"/>
      <c r="Q115" s="147"/>
      <c r="U115" s="147"/>
      <c r="Y115" s="147"/>
      <c r="AC115" s="147"/>
      <c r="AG115" s="147"/>
      <c r="AK115" s="147"/>
      <c r="AO115" s="147"/>
      <c r="AS115" s="147"/>
      <c r="AW115" s="147"/>
      <c r="BA115" s="147"/>
      <c r="BE115" s="147"/>
      <c r="BI115" s="147"/>
      <c r="BM115" s="147"/>
      <c r="BQ115" s="147"/>
      <c r="BU115" s="147"/>
      <c r="BY115" s="147"/>
      <c r="CC115" s="147"/>
      <c r="CG115" s="147"/>
      <c r="CK115" s="147"/>
      <c r="CO115" s="147"/>
      <c r="CS115" s="147"/>
      <c r="CW115" s="147"/>
      <c r="DA115" s="147"/>
      <c r="DE115" s="147"/>
      <c r="DI115" s="147"/>
      <c r="DM115" s="147"/>
      <c r="DQ115" s="147"/>
      <c r="DU115" s="147"/>
      <c r="DY115" s="147"/>
      <c r="EC115" s="147"/>
      <c r="EG115" s="147"/>
      <c r="EK115" s="147"/>
      <c r="EO115" s="147"/>
      <c r="ES115" s="147"/>
      <c r="EW115" s="147"/>
      <c r="FA115" s="147"/>
      <c r="FE115" s="147"/>
      <c r="FI115" s="147"/>
      <c r="FM115" s="147"/>
      <c r="FQ115" s="147"/>
      <c r="FU115" s="147"/>
      <c r="FY115" s="147"/>
      <c r="GC115" s="147"/>
      <c r="GG115" s="147"/>
      <c r="GK115" s="147"/>
      <c r="GO115" s="147"/>
      <c r="GS115" s="147"/>
      <c r="GW115" s="147"/>
      <c r="HA115" s="147"/>
      <c r="HE115" s="147"/>
      <c r="HI115" s="147"/>
      <c r="HM115" s="147"/>
      <c r="HQ115" s="147"/>
      <c r="HU115" s="147"/>
      <c r="HY115" s="147"/>
      <c r="IC115" s="147"/>
      <c r="IG115" s="147"/>
      <c r="IK115" s="147"/>
      <c r="IO115" s="147"/>
      <c r="IS115" s="147"/>
    </row>
    <row r="116" spans="1:254" x14ac:dyDescent="0.2">
      <c r="A116" s="195"/>
      <c r="B116" s="177">
        <v>25</v>
      </c>
      <c r="C116" s="131" t="s">
        <v>223</v>
      </c>
      <c r="D116" s="83">
        <f>Idrive_ls+Idrive_hs</f>
        <v>1.575E-2</v>
      </c>
      <c r="E116" s="136"/>
      <c r="F116" s="133"/>
      <c r="G116" s="178" t="s">
        <v>2</v>
      </c>
      <c r="H116" s="133" t="s">
        <v>387</v>
      </c>
      <c r="I116" s="198"/>
      <c r="J116" s="202"/>
      <c r="M116" s="147"/>
      <c r="Q116" s="147"/>
      <c r="U116" s="147"/>
      <c r="Y116" s="147"/>
      <c r="AC116" s="147"/>
      <c r="AG116" s="147"/>
      <c r="AK116" s="147"/>
      <c r="AO116" s="147"/>
      <c r="AS116" s="147"/>
      <c r="AW116" s="147"/>
      <c r="BA116" s="147"/>
      <c r="BE116" s="147"/>
      <c r="BI116" s="147"/>
      <c r="BM116" s="147"/>
      <c r="BQ116" s="147"/>
      <c r="BU116" s="147"/>
      <c r="BY116" s="147"/>
      <c r="CC116" s="147"/>
      <c r="CG116" s="147"/>
      <c r="CK116" s="147"/>
      <c r="CO116" s="147"/>
      <c r="CS116" s="147"/>
      <c r="CW116" s="147"/>
      <c r="DA116" s="147"/>
      <c r="DE116" s="147"/>
      <c r="DI116" s="147"/>
      <c r="DM116" s="147"/>
      <c r="DQ116" s="147"/>
      <c r="DU116" s="147"/>
      <c r="DY116" s="147"/>
      <c r="EC116" s="147"/>
      <c r="EG116" s="147"/>
      <c r="EK116" s="147"/>
      <c r="EO116" s="147"/>
      <c r="ES116" s="147"/>
      <c r="EW116" s="147"/>
      <c r="FA116" s="147"/>
      <c r="FE116" s="147"/>
      <c r="FI116" s="147"/>
      <c r="FM116" s="147"/>
      <c r="FQ116" s="147"/>
      <c r="FU116" s="147"/>
      <c r="FY116" s="147"/>
      <c r="GC116" s="147"/>
      <c r="GG116" s="147"/>
      <c r="GK116" s="147"/>
      <c r="GO116" s="147"/>
      <c r="GS116" s="147"/>
      <c r="GW116" s="147"/>
      <c r="HA116" s="147"/>
      <c r="HE116" s="147"/>
      <c r="HI116" s="147"/>
      <c r="HM116" s="147"/>
      <c r="HQ116" s="147"/>
      <c r="HU116" s="147"/>
      <c r="HY116" s="147"/>
      <c r="IC116" s="147"/>
      <c r="IG116" s="147"/>
      <c r="IK116" s="147"/>
      <c r="IO116" s="147"/>
      <c r="IS116" s="147"/>
    </row>
    <row r="117" spans="1:254" x14ac:dyDescent="0.2">
      <c r="A117" s="195"/>
      <c r="B117" s="177"/>
      <c r="C117" s="131" t="s">
        <v>379</v>
      </c>
      <c r="D117" s="100">
        <v>5.5999999999999997E-6</v>
      </c>
      <c r="E117" s="136"/>
      <c r="F117" s="133"/>
      <c r="G117" s="178" t="s">
        <v>7</v>
      </c>
      <c r="H117" s="133" t="s">
        <v>444</v>
      </c>
      <c r="I117" s="198"/>
      <c r="J117" s="202"/>
      <c r="M117" s="147"/>
      <c r="Q117" s="147"/>
      <c r="U117" s="147"/>
      <c r="Y117" s="147"/>
      <c r="AC117" s="147"/>
      <c r="AG117" s="147"/>
      <c r="AK117" s="147"/>
      <c r="AO117" s="147"/>
      <c r="AS117" s="147"/>
      <c r="AW117" s="147"/>
      <c r="BA117" s="147"/>
      <c r="BE117" s="147"/>
      <c r="BI117" s="147"/>
      <c r="BM117" s="147"/>
      <c r="BQ117" s="147"/>
      <c r="BU117" s="147"/>
      <c r="BY117" s="147"/>
      <c r="CC117" s="147"/>
      <c r="CG117" s="147"/>
      <c r="CK117" s="147"/>
      <c r="CO117" s="147"/>
      <c r="CS117" s="147"/>
      <c r="CW117" s="147"/>
      <c r="DA117" s="147"/>
      <c r="DE117" s="147"/>
      <c r="DI117" s="147"/>
      <c r="DM117" s="147"/>
      <c r="DQ117" s="147"/>
      <c r="DU117" s="147"/>
      <c r="DY117" s="147"/>
      <c r="EC117" s="147"/>
      <c r="EG117" s="147"/>
      <c r="EK117" s="147"/>
      <c r="EO117" s="147"/>
      <c r="ES117" s="147"/>
      <c r="EW117" s="147"/>
      <c r="FA117" s="147"/>
      <c r="FE117" s="147"/>
      <c r="FI117" s="147"/>
      <c r="FM117" s="147"/>
      <c r="FQ117" s="147"/>
      <c r="FU117" s="147"/>
      <c r="FY117" s="147"/>
      <c r="GC117" s="147"/>
      <c r="GG117" s="147"/>
      <c r="GK117" s="147"/>
      <c r="GO117" s="147"/>
      <c r="GS117" s="147"/>
      <c r="GW117" s="147"/>
      <c r="HA117" s="147"/>
      <c r="HE117" s="147"/>
      <c r="HI117" s="147"/>
      <c r="HM117" s="147"/>
      <c r="HQ117" s="147"/>
      <c r="HU117" s="147"/>
      <c r="HY117" s="147"/>
      <c r="IC117" s="147"/>
      <c r="IG117" s="147"/>
      <c r="IK117" s="147"/>
      <c r="IO117" s="147"/>
      <c r="IS117" s="147"/>
    </row>
    <row r="118" spans="1:254" x14ac:dyDescent="0.2">
      <c r="A118" s="195"/>
      <c r="B118" s="175"/>
      <c r="C118" s="131" t="s">
        <v>366</v>
      </c>
      <c r="D118" s="121" t="str">
        <f>IF(Vfboot_int=0.75,"n/a","MBR1H100SFT3G")</f>
        <v>n/a</v>
      </c>
      <c r="E118" s="136"/>
      <c r="F118" s="133"/>
      <c r="G118" s="178"/>
      <c r="H118" s="133" t="s">
        <v>388</v>
      </c>
      <c r="I118" s="198"/>
      <c r="J118" s="202"/>
      <c r="M118" s="147"/>
      <c r="Q118" s="147"/>
      <c r="U118" s="147"/>
      <c r="Y118" s="147"/>
      <c r="AC118" s="147"/>
      <c r="AG118" s="147"/>
      <c r="AK118" s="147"/>
      <c r="AO118" s="147"/>
      <c r="AS118" s="147"/>
      <c r="AW118" s="147"/>
      <c r="BA118" s="147"/>
      <c r="BE118" s="147"/>
      <c r="BI118" s="147"/>
      <c r="BM118" s="147"/>
      <c r="BQ118" s="147"/>
      <c r="BU118" s="147"/>
      <c r="BY118" s="147"/>
      <c r="CC118" s="147"/>
      <c r="CG118" s="147"/>
      <c r="CK118" s="147"/>
      <c r="CO118" s="147"/>
      <c r="CS118" s="147"/>
      <c r="CW118" s="147"/>
      <c r="DA118" s="147"/>
      <c r="DE118" s="147"/>
      <c r="DI118" s="147"/>
      <c r="DM118" s="147"/>
      <c r="DQ118" s="147"/>
      <c r="DU118" s="147"/>
      <c r="DY118" s="147"/>
      <c r="EC118" s="147"/>
      <c r="EG118" s="147"/>
      <c r="EK118" s="147"/>
      <c r="EO118" s="147"/>
      <c r="ES118" s="147"/>
      <c r="EW118" s="147"/>
      <c r="FA118" s="147"/>
      <c r="FE118" s="147"/>
      <c r="FI118" s="147"/>
      <c r="FM118" s="147"/>
      <c r="FQ118" s="147"/>
      <c r="FU118" s="147"/>
      <c r="FY118" s="147"/>
      <c r="GC118" s="147"/>
      <c r="GG118" s="147"/>
      <c r="GK118" s="147"/>
      <c r="GO118" s="147"/>
      <c r="GS118" s="147"/>
      <c r="GW118" s="147"/>
      <c r="HA118" s="147"/>
      <c r="HE118" s="147"/>
      <c r="HI118" s="147"/>
      <c r="HM118" s="147"/>
      <c r="HQ118" s="147"/>
      <c r="HU118" s="147"/>
      <c r="HY118" s="147"/>
      <c r="IC118" s="147"/>
      <c r="IG118" s="147"/>
      <c r="IK118" s="147"/>
      <c r="IO118" s="147"/>
      <c r="IS118" s="147"/>
    </row>
    <row r="119" spans="1:254" x14ac:dyDescent="0.2">
      <c r="A119" s="195"/>
      <c r="B119" s="175"/>
      <c r="C119" s="131" t="s">
        <v>224</v>
      </c>
      <c r="D119" s="101">
        <f>IF(Vfboot_int=0.75,0.75,0.7)</f>
        <v>0.75</v>
      </c>
      <c r="E119" s="136"/>
      <c r="F119" s="133"/>
      <c r="G119" s="178" t="s">
        <v>3</v>
      </c>
      <c r="H119" s="133" t="s">
        <v>226</v>
      </c>
      <c r="I119" s="198"/>
      <c r="J119" s="202"/>
      <c r="M119" s="147"/>
      <c r="Q119" s="147"/>
      <c r="U119" s="147"/>
      <c r="Y119" s="147"/>
      <c r="AC119" s="147"/>
      <c r="AG119" s="147"/>
      <c r="AK119" s="147"/>
      <c r="AO119" s="147"/>
      <c r="AS119" s="147"/>
      <c r="AW119" s="147"/>
      <c r="BA119" s="147"/>
      <c r="BE119" s="147"/>
      <c r="BI119" s="147"/>
      <c r="BM119" s="147"/>
      <c r="BQ119" s="147"/>
      <c r="BU119" s="147"/>
      <c r="BY119" s="147"/>
      <c r="CC119" s="147"/>
      <c r="CG119" s="147"/>
      <c r="CK119" s="147"/>
      <c r="CO119" s="147"/>
      <c r="CS119" s="147"/>
      <c r="CW119" s="147"/>
      <c r="DA119" s="147"/>
      <c r="DE119" s="147"/>
      <c r="DI119" s="147"/>
      <c r="DM119" s="147"/>
      <c r="DQ119" s="147"/>
      <c r="DU119" s="147"/>
      <c r="DY119" s="147"/>
      <c r="EC119" s="147"/>
      <c r="EG119" s="147"/>
      <c r="EK119" s="147"/>
      <c r="EO119" s="147"/>
      <c r="ES119" s="147"/>
      <c r="EW119" s="147"/>
      <c r="FA119" s="147"/>
      <c r="FE119" s="147"/>
      <c r="FI119" s="147"/>
      <c r="FM119" s="147"/>
      <c r="FQ119" s="147"/>
      <c r="FU119" s="147"/>
      <c r="FY119" s="147"/>
      <c r="GC119" s="147"/>
      <c r="GG119" s="147"/>
      <c r="GK119" s="147"/>
      <c r="GO119" s="147"/>
      <c r="GS119" s="147"/>
      <c r="GW119" s="147"/>
      <c r="HA119" s="147"/>
      <c r="HE119" s="147"/>
      <c r="HI119" s="147"/>
      <c r="HM119" s="147"/>
      <c r="HQ119" s="147"/>
      <c r="HU119" s="147"/>
      <c r="HY119" s="147"/>
      <c r="IC119" s="147"/>
      <c r="IG119" s="147"/>
      <c r="IK119" s="147"/>
      <c r="IO119" s="147"/>
      <c r="IS119" s="147"/>
    </row>
    <row r="120" spans="1:254" ht="12.75" hidden="1" customHeight="1" x14ac:dyDescent="0.2">
      <c r="A120" s="195"/>
      <c r="B120" s="175"/>
      <c r="C120" s="131" t="s">
        <v>242</v>
      </c>
      <c r="D120" s="82">
        <f>Idrive_ls*Vcc_typ+Idrive_hs*(Vcc_typ-Vfboot)</f>
        <v>8.0718750000000006E-2</v>
      </c>
      <c r="E120" s="136"/>
      <c r="F120" s="133"/>
      <c r="G120" s="178" t="s">
        <v>12</v>
      </c>
      <c r="H120" s="133" t="s">
        <v>316</v>
      </c>
      <c r="I120" s="198"/>
      <c r="J120" s="202"/>
      <c r="M120" s="147"/>
      <c r="Q120" s="147"/>
      <c r="U120" s="147"/>
      <c r="Y120" s="147"/>
      <c r="AC120" s="147"/>
      <c r="AG120" s="147"/>
      <c r="AK120" s="147"/>
      <c r="AO120" s="147"/>
      <c r="AS120" s="147"/>
      <c r="AW120" s="147"/>
      <c r="BA120" s="147"/>
      <c r="BE120" s="147"/>
      <c r="BI120" s="147"/>
      <c r="BM120" s="147"/>
      <c r="BQ120" s="147"/>
      <c r="BU120" s="147"/>
      <c r="BY120" s="147"/>
      <c r="CC120" s="147"/>
      <c r="CG120" s="147"/>
      <c r="CK120" s="147"/>
      <c r="CO120" s="147"/>
      <c r="CS120" s="147"/>
      <c r="CW120" s="147"/>
      <c r="DA120" s="147"/>
      <c r="DE120" s="147"/>
      <c r="DI120" s="147"/>
      <c r="DM120" s="147"/>
      <c r="DQ120" s="147"/>
      <c r="DU120" s="147"/>
      <c r="DY120" s="147"/>
      <c r="EC120" s="147"/>
      <c r="EG120" s="147"/>
      <c r="EK120" s="147"/>
      <c r="EO120" s="147"/>
      <c r="ES120" s="147"/>
      <c r="EW120" s="147"/>
      <c r="FA120" s="147"/>
      <c r="FE120" s="147"/>
      <c r="FI120" s="147"/>
      <c r="FM120" s="147"/>
      <c r="FQ120" s="147"/>
      <c r="FU120" s="147"/>
      <c r="FY120" s="147"/>
      <c r="GC120" s="147"/>
      <c r="GG120" s="147"/>
      <c r="GK120" s="147"/>
      <c r="GO120" s="147"/>
      <c r="GS120" s="147"/>
      <c r="GW120" s="147"/>
      <c r="HA120" s="147"/>
      <c r="HE120" s="147"/>
      <c r="HI120" s="147"/>
      <c r="HM120" s="147"/>
      <c r="HQ120" s="147"/>
      <c r="HU120" s="147"/>
      <c r="HY120" s="147"/>
      <c r="IC120" s="147"/>
      <c r="IG120" s="147"/>
      <c r="IK120" s="147"/>
      <c r="IO120" s="147"/>
      <c r="IS120" s="147"/>
    </row>
    <row r="121" spans="1:254" ht="12.75" hidden="1" customHeight="1" x14ac:dyDescent="0.2">
      <c r="A121" s="195"/>
      <c r="B121" s="175"/>
      <c r="C121" s="131" t="s">
        <v>222</v>
      </c>
      <c r="D121" s="85">
        <v>0</v>
      </c>
      <c r="E121" s="136"/>
      <c r="F121" s="133"/>
      <c r="G121" s="178" t="s">
        <v>29</v>
      </c>
      <c r="H121" s="133" t="s">
        <v>292</v>
      </c>
      <c r="I121" s="198"/>
      <c r="J121" s="202"/>
      <c r="M121" s="147"/>
      <c r="Q121" s="147"/>
      <c r="U121" s="147"/>
      <c r="Y121" s="147"/>
      <c r="AC121" s="147"/>
      <c r="AG121" s="147"/>
      <c r="AK121" s="147"/>
      <c r="AO121" s="147"/>
      <c r="AS121" s="147"/>
      <c r="AW121" s="147"/>
      <c r="BA121" s="147"/>
      <c r="BE121" s="147"/>
      <c r="BI121" s="147"/>
      <c r="BM121" s="147"/>
      <c r="BQ121" s="147"/>
      <c r="BU121" s="147"/>
      <c r="BY121" s="147"/>
      <c r="CC121" s="147"/>
      <c r="CG121" s="147"/>
      <c r="CK121" s="147"/>
      <c r="CO121" s="147"/>
      <c r="CS121" s="147"/>
      <c r="CW121" s="147"/>
      <c r="DA121" s="147"/>
      <c r="DE121" s="147"/>
      <c r="DI121" s="147"/>
      <c r="DM121" s="147"/>
      <c r="DQ121" s="147"/>
      <c r="DU121" s="147"/>
      <c r="DY121" s="147"/>
      <c r="EC121" s="147"/>
      <c r="EG121" s="147"/>
      <c r="EK121" s="147"/>
      <c r="EO121" s="147"/>
      <c r="ES121" s="147"/>
      <c r="EW121" s="147"/>
      <c r="FA121" s="147"/>
      <c r="FE121" s="147"/>
      <c r="FI121" s="147"/>
      <c r="FM121" s="147"/>
      <c r="FQ121" s="147"/>
      <c r="FU121" s="147"/>
      <c r="FY121" s="147"/>
      <c r="GC121" s="147"/>
      <c r="GG121" s="147"/>
      <c r="GK121" s="147"/>
      <c r="GO121" s="147"/>
      <c r="GS121" s="147"/>
      <c r="GW121" s="147"/>
      <c r="HA121" s="147"/>
      <c r="HE121" s="147"/>
      <c r="HI121" s="147"/>
      <c r="HM121" s="147"/>
      <c r="HQ121" s="147"/>
      <c r="HU121" s="147"/>
      <c r="HY121" s="147"/>
      <c r="IC121" s="147"/>
      <c r="IG121" s="147"/>
      <c r="IK121" s="147"/>
      <c r="IO121" s="147"/>
      <c r="IS121" s="147"/>
    </row>
    <row r="122" spans="1:254" ht="12.75" hidden="1" customHeight="1" x14ac:dyDescent="0.2">
      <c r="A122" s="195"/>
      <c r="B122" s="175"/>
      <c r="C122" s="131" t="s">
        <v>228</v>
      </c>
      <c r="D122" s="85">
        <v>0</v>
      </c>
      <c r="E122" s="136"/>
      <c r="F122" s="133"/>
      <c r="G122" s="178" t="s">
        <v>29</v>
      </c>
      <c r="H122" s="133" t="s">
        <v>293</v>
      </c>
      <c r="I122" s="198"/>
      <c r="J122" s="202"/>
      <c r="M122" s="147"/>
      <c r="Q122" s="147"/>
      <c r="U122" s="147"/>
      <c r="Y122" s="147"/>
      <c r="AC122" s="147"/>
      <c r="AG122" s="147"/>
      <c r="AK122" s="147"/>
      <c r="AO122" s="147"/>
      <c r="AS122" s="147"/>
      <c r="AW122" s="147"/>
      <c r="BA122" s="147"/>
      <c r="BE122" s="147"/>
      <c r="BI122" s="147"/>
      <c r="BM122" s="147"/>
      <c r="BQ122" s="147"/>
      <c r="BU122" s="147"/>
      <c r="BY122" s="147"/>
      <c r="CC122" s="147"/>
      <c r="CG122" s="147"/>
      <c r="CK122" s="147"/>
      <c r="CO122" s="147"/>
      <c r="CS122" s="147"/>
      <c r="CW122" s="147"/>
      <c r="DA122" s="147"/>
      <c r="DE122" s="147"/>
      <c r="DI122" s="147"/>
      <c r="DM122" s="147"/>
      <c r="DQ122" s="147"/>
      <c r="DU122" s="147"/>
      <c r="DY122" s="147"/>
      <c r="EC122" s="147"/>
      <c r="EG122" s="147"/>
      <c r="EK122" s="147"/>
      <c r="EO122" s="147"/>
      <c r="ES122" s="147"/>
      <c r="EW122" s="147"/>
      <c r="FA122" s="147"/>
      <c r="FE122" s="147"/>
      <c r="FI122" s="147"/>
      <c r="FM122" s="147"/>
      <c r="FQ122" s="147"/>
      <c r="FU122" s="147"/>
      <c r="FY122" s="147"/>
      <c r="GC122" s="147"/>
      <c r="GG122" s="147"/>
      <c r="GK122" s="147"/>
      <c r="GO122" s="147"/>
      <c r="GS122" s="147"/>
      <c r="GW122" s="147"/>
      <c r="HA122" s="147"/>
      <c r="HE122" s="147"/>
      <c r="HI122" s="147"/>
      <c r="HM122" s="147"/>
      <c r="HQ122" s="147"/>
      <c r="HU122" s="147"/>
      <c r="HY122" s="147"/>
      <c r="IC122" s="147"/>
      <c r="IG122" s="147"/>
      <c r="IK122" s="147"/>
      <c r="IO122" s="147"/>
      <c r="IS122" s="147"/>
    </row>
    <row r="123" spans="1:254" x14ac:dyDescent="0.2">
      <c r="A123" s="195"/>
      <c r="B123" s="175"/>
      <c r="C123" s="131" t="s">
        <v>242</v>
      </c>
      <c r="D123" s="82">
        <f>(Vcc_typ-Vfboot)*Qg_hs*fsw/2*(Rhdrv_pu/(Rhdrv_pu+Rg_hs+Rgd_hs)+Rhdrv_pd/(Rhdrv_pd+Rg_hs+Rgd_hs))+Vcc_typ*Qg_ls*fsw/2*(Rldrv_pu/(Rldrv_pu+Rg_ls+Rgd_ls)+Rldrv_pd/(Rldrv_pd+Rg_ls+Rgd_ls))</f>
        <v>6.0863678299312621E-2</v>
      </c>
      <c r="E123" s="136"/>
      <c r="F123" s="133"/>
      <c r="G123" s="178" t="s">
        <v>12</v>
      </c>
      <c r="H123" s="133" t="s">
        <v>315</v>
      </c>
      <c r="I123" s="198"/>
      <c r="J123" s="202"/>
      <c r="M123" s="147"/>
      <c r="Q123" s="147"/>
      <c r="U123" s="147"/>
      <c r="Y123" s="147"/>
      <c r="AC123" s="147"/>
      <c r="AG123" s="147"/>
      <c r="AK123" s="147"/>
      <c r="AO123" s="147"/>
      <c r="AS123" s="147"/>
      <c r="AW123" s="147"/>
      <c r="BA123" s="147"/>
      <c r="BE123" s="147"/>
      <c r="BI123" s="147"/>
      <c r="BM123" s="147"/>
      <c r="BQ123" s="147"/>
      <c r="BU123" s="147"/>
      <c r="BY123" s="147"/>
      <c r="CC123" s="147"/>
      <c r="CG123" s="147"/>
      <c r="CK123" s="147"/>
      <c r="CO123" s="147"/>
      <c r="CS123" s="147"/>
      <c r="CW123" s="147"/>
      <c r="DA123" s="147"/>
      <c r="DE123" s="147"/>
      <c r="DI123" s="147"/>
      <c r="DM123" s="147"/>
      <c r="DQ123" s="147"/>
      <c r="DU123" s="147"/>
      <c r="DY123" s="147"/>
      <c r="EC123" s="147"/>
      <c r="EG123" s="147"/>
      <c r="EK123" s="147"/>
      <c r="EO123" s="147"/>
      <c r="ES123" s="147"/>
      <c r="EW123" s="147"/>
      <c r="FA123" s="147"/>
      <c r="FE123" s="147"/>
      <c r="FI123" s="147"/>
      <c r="FM123" s="147"/>
      <c r="FQ123" s="147"/>
      <c r="FU123" s="147"/>
      <c r="FY123" s="147"/>
      <c r="GC123" s="147"/>
      <c r="GG123" s="147"/>
      <c r="GK123" s="147"/>
      <c r="GO123" s="147"/>
      <c r="GS123" s="147"/>
      <c r="GW123" s="147"/>
      <c r="HA123" s="147"/>
      <c r="HE123" s="147"/>
      <c r="HI123" s="147"/>
      <c r="HM123" s="147"/>
      <c r="HQ123" s="147"/>
      <c r="HU123" s="147"/>
      <c r="HY123" s="147"/>
      <c r="IC123" s="147"/>
      <c r="IG123" s="147"/>
      <c r="IK123" s="147"/>
      <c r="IO123" s="147"/>
      <c r="IS123" s="147"/>
    </row>
    <row r="124" spans="1:254" x14ac:dyDescent="0.2">
      <c r="A124" s="195"/>
      <c r="B124" s="175"/>
      <c r="C124" s="131" t="s">
        <v>363</v>
      </c>
      <c r="D124" s="82">
        <f>(Vin_Max-Vcc_typ)*(Idrive_ls+Idrive_ls)</f>
        <v>0</v>
      </c>
      <c r="E124" s="136"/>
      <c r="F124" s="133"/>
      <c r="G124" s="178" t="s">
        <v>12</v>
      </c>
      <c r="H124" s="133" t="s">
        <v>364</v>
      </c>
      <c r="I124" s="198"/>
      <c r="J124" s="202"/>
      <c r="M124" s="147"/>
      <c r="Q124" s="147"/>
      <c r="U124" s="147"/>
      <c r="Y124" s="147"/>
      <c r="AC124" s="147"/>
      <c r="AG124" s="147"/>
      <c r="AK124" s="147"/>
      <c r="AO124" s="147"/>
      <c r="AS124" s="147"/>
      <c r="AW124" s="147"/>
      <c r="BA124" s="147"/>
      <c r="BE124" s="147"/>
      <c r="BI124" s="147"/>
      <c r="BM124" s="147"/>
      <c r="BQ124" s="147"/>
      <c r="BU124" s="147"/>
      <c r="BY124" s="147"/>
      <c r="CC124" s="147"/>
      <c r="CG124" s="147"/>
      <c r="CK124" s="147"/>
      <c r="CO124" s="147"/>
      <c r="CS124" s="147"/>
      <c r="CW124" s="147"/>
      <c r="DA124" s="147"/>
      <c r="DE124" s="147"/>
      <c r="DI124" s="147"/>
      <c r="DM124" s="147"/>
      <c r="DQ124" s="147"/>
      <c r="DU124" s="147"/>
      <c r="DY124" s="147"/>
      <c r="EC124" s="147"/>
      <c r="EG124" s="147"/>
      <c r="EK124" s="147"/>
      <c r="EO124" s="147"/>
      <c r="ES124" s="147"/>
      <c r="EW124" s="147"/>
      <c r="FA124" s="147"/>
      <c r="FE124" s="147"/>
      <c r="FI124" s="147"/>
      <c r="FM124" s="147"/>
      <c r="FQ124" s="147"/>
      <c r="FU124" s="147"/>
      <c r="FY124" s="147"/>
      <c r="GC124" s="147"/>
      <c r="GG124" s="147"/>
      <c r="GK124" s="147"/>
      <c r="GO124" s="147"/>
      <c r="GS124" s="147"/>
      <c r="GW124" s="147"/>
      <c r="HA124" s="147"/>
      <c r="HE124" s="147"/>
      <c r="HI124" s="147"/>
      <c r="HM124" s="147"/>
      <c r="HQ124" s="147"/>
      <c r="HU124" s="147"/>
      <c r="HY124" s="147"/>
      <c r="IC124" s="147"/>
      <c r="IG124" s="147"/>
      <c r="IK124" s="147"/>
      <c r="IO124" s="147"/>
      <c r="IS124" s="147"/>
    </row>
    <row r="125" spans="1:254" x14ac:dyDescent="0.2">
      <c r="A125" s="195"/>
      <c r="B125" s="175"/>
      <c r="C125" s="131" t="s">
        <v>234</v>
      </c>
      <c r="D125" s="82">
        <f>Vin_Nom*Iq</f>
        <v>3.2999999999999995E-3</v>
      </c>
      <c r="E125" s="136"/>
      <c r="F125" s="133"/>
      <c r="G125" s="178" t="s">
        <v>12</v>
      </c>
      <c r="H125" s="133" t="s">
        <v>294</v>
      </c>
      <c r="I125" s="198"/>
      <c r="J125" s="202"/>
      <c r="M125" s="147"/>
      <c r="Q125" s="147"/>
      <c r="U125" s="147"/>
      <c r="Y125" s="147"/>
      <c r="AC125" s="147"/>
      <c r="AG125" s="147"/>
      <c r="AK125" s="147"/>
      <c r="AO125" s="147"/>
      <c r="AS125" s="147"/>
      <c r="AW125" s="147"/>
      <c r="BA125" s="147"/>
      <c r="BE125" s="147"/>
      <c r="BI125" s="147"/>
      <c r="BM125" s="147"/>
      <c r="BQ125" s="147"/>
      <c r="BU125" s="147"/>
      <c r="BY125" s="147"/>
      <c r="CC125" s="147"/>
      <c r="CG125" s="147"/>
      <c r="CK125" s="147"/>
      <c r="CO125" s="147"/>
      <c r="CS125" s="147"/>
      <c r="CW125" s="147"/>
      <c r="DA125" s="147"/>
      <c r="DE125" s="147"/>
      <c r="DI125" s="147"/>
      <c r="DM125" s="147"/>
      <c r="DQ125" s="147"/>
      <c r="DU125" s="147"/>
      <c r="DY125" s="147"/>
      <c r="EC125" s="147"/>
      <c r="EG125" s="147"/>
      <c r="EK125" s="147"/>
      <c r="EO125" s="147"/>
      <c r="ES125" s="147"/>
      <c r="EW125" s="147"/>
      <c r="FA125" s="147"/>
      <c r="FE125" s="147"/>
      <c r="FI125" s="147"/>
      <c r="FM125" s="147"/>
      <c r="FQ125" s="147"/>
      <c r="FU125" s="147"/>
      <c r="FY125" s="147"/>
      <c r="GC125" s="147"/>
      <c r="GG125" s="147"/>
      <c r="GK125" s="147"/>
      <c r="GO125" s="147"/>
      <c r="GS125" s="147"/>
      <c r="GW125" s="147"/>
      <c r="HA125" s="147"/>
      <c r="HE125" s="147"/>
      <c r="HI125" s="147"/>
      <c r="HM125" s="147"/>
      <c r="HQ125" s="147"/>
      <c r="HU125" s="147"/>
      <c r="HY125" s="147"/>
      <c r="IC125" s="147"/>
      <c r="IG125" s="147"/>
      <c r="IK125" s="147"/>
      <c r="IO125" s="147"/>
      <c r="IS125" s="147"/>
    </row>
    <row r="126" spans="1:254" x14ac:dyDescent="0.2">
      <c r="A126" s="195"/>
      <c r="B126" s="156"/>
      <c r="C126" s="141"/>
      <c r="D126" s="162"/>
      <c r="E126" s="162"/>
      <c r="F126" s="141"/>
      <c r="G126" s="145"/>
      <c r="H126" s="141"/>
      <c r="I126" s="198"/>
      <c r="J126" s="202"/>
    </row>
    <row r="127" spans="1:254" x14ac:dyDescent="0.2">
      <c r="A127" s="195"/>
      <c r="B127" s="255" t="s">
        <v>112</v>
      </c>
      <c r="C127" s="255"/>
      <c r="D127" s="158"/>
      <c r="E127" s="158"/>
      <c r="F127" s="158"/>
      <c r="G127" s="160"/>
      <c r="H127" s="158"/>
      <c r="I127" s="212"/>
      <c r="J127" s="213"/>
      <c r="L127" s="168"/>
      <c r="M127" s="157"/>
      <c r="N127" s="157"/>
      <c r="P127" s="157"/>
      <c r="Q127" s="157"/>
      <c r="R127" s="157"/>
      <c r="T127" s="157"/>
      <c r="U127" s="157"/>
      <c r="V127" s="157"/>
      <c r="X127" s="157"/>
      <c r="Y127" s="157"/>
      <c r="Z127" s="157"/>
      <c r="AB127" s="157"/>
      <c r="AC127" s="157"/>
      <c r="AD127" s="157"/>
      <c r="AF127" s="157"/>
      <c r="AG127" s="157"/>
      <c r="AH127" s="157"/>
      <c r="AJ127" s="157"/>
      <c r="AK127" s="157"/>
      <c r="AL127" s="157"/>
      <c r="AN127" s="157"/>
      <c r="AO127" s="157"/>
      <c r="AP127" s="157"/>
      <c r="AR127" s="157"/>
      <c r="AS127" s="157"/>
      <c r="AT127" s="157"/>
      <c r="AV127" s="157"/>
      <c r="AW127" s="157"/>
      <c r="AX127" s="157"/>
      <c r="AZ127" s="157"/>
      <c r="BA127" s="157"/>
      <c r="BB127" s="157"/>
      <c r="BD127" s="157"/>
      <c r="BE127" s="157"/>
      <c r="BF127" s="157"/>
      <c r="BH127" s="157"/>
      <c r="BI127" s="157"/>
      <c r="BJ127" s="157"/>
      <c r="BL127" s="157"/>
      <c r="BM127" s="157"/>
      <c r="BN127" s="157"/>
      <c r="BP127" s="157"/>
      <c r="BQ127" s="157"/>
      <c r="BR127" s="157"/>
      <c r="BT127" s="157"/>
      <c r="BU127" s="157"/>
      <c r="BV127" s="157"/>
      <c r="BX127" s="157"/>
      <c r="BY127" s="157"/>
      <c r="BZ127" s="157"/>
      <c r="CB127" s="157"/>
      <c r="CC127" s="157"/>
      <c r="CD127" s="157"/>
      <c r="CF127" s="157"/>
      <c r="CG127" s="157"/>
      <c r="CH127" s="157"/>
      <c r="CJ127" s="157"/>
      <c r="CK127" s="157"/>
      <c r="CL127" s="157"/>
      <c r="CN127" s="157"/>
      <c r="CO127" s="157"/>
      <c r="CP127" s="157"/>
      <c r="CR127" s="157"/>
      <c r="CS127" s="157"/>
      <c r="CT127" s="157"/>
      <c r="CV127" s="157"/>
      <c r="CW127" s="157"/>
      <c r="CX127" s="157"/>
      <c r="CZ127" s="157"/>
      <c r="DA127" s="157"/>
      <c r="DB127" s="157"/>
      <c r="DD127" s="157"/>
      <c r="DE127" s="157"/>
      <c r="DF127" s="157"/>
      <c r="DH127" s="157"/>
      <c r="DI127" s="157"/>
      <c r="DJ127" s="157"/>
      <c r="DL127" s="157"/>
      <c r="DM127" s="157"/>
      <c r="DN127" s="157"/>
      <c r="DP127" s="157"/>
      <c r="DQ127" s="157"/>
      <c r="DR127" s="157"/>
      <c r="DT127" s="157"/>
      <c r="DU127" s="157"/>
      <c r="DV127" s="157"/>
      <c r="DX127" s="157"/>
      <c r="DY127" s="157"/>
      <c r="DZ127" s="157"/>
      <c r="EB127" s="157"/>
      <c r="EC127" s="157"/>
      <c r="ED127" s="157"/>
      <c r="EF127" s="157"/>
      <c r="EG127" s="157"/>
      <c r="EH127" s="157"/>
      <c r="EJ127" s="157"/>
      <c r="EK127" s="157"/>
      <c r="EL127" s="157"/>
      <c r="EN127" s="157"/>
      <c r="EO127" s="157"/>
      <c r="EP127" s="157"/>
      <c r="ER127" s="157"/>
      <c r="ES127" s="157"/>
      <c r="ET127" s="157"/>
      <c r="EV127" s="157"/>
      <c r="EW127" s="157"/>
      <c r="EX127" s="157"/>
      <c r="EZ127" s="157"/>
      <c r="FA127" s="157"/>
      <c r="FB127" s="157"/>
      <c r="FD127" s="157"/>
      <c r="FE127" s="157"/>
      <c r="FF127" s="157"/>
      <c r="FH127" s="157"/>
      <c r="FI127" s="157"/>
      <c r="FJ127" s="157"/>
      <c r="FL127" s="157"/>
      <c r="FM127" s="157"/>
      <c r="FN127" s="157"/>
      <c r="FP127" s="157"/>
      <c r="FQ127" s="157"/>
      <c r="FR127" s="157"/>
      <c r="FT127" s="157"/>
      <c r="FU127" s="157"/>
      <c r="FV127" s="157"/>
      <c r="FX127" s="157"/>
      <c r="FY127" s="157"/>
      <c r="FZ127" s="157"/>
      <c r="GB127" s="157"/>
      <c r="GC127" s="157"/>
      <c r="GD127" s="157"/>
      <c r="GF127" s="157"/>
      <c r="GG127" s="157"/>
      <c r="GH127" s="157"/>
      <c r="GJ127" s="157"/>
      <c r="GK127" s="157"/>
      <c r="GL127" s="157"/>
      <c r="GN127" s="157"/>
      <c r="GO127" s="157"/>
      <c r="GP127" s="157"/>
      <c r="GR127" s="157"/>
      <c r="GS127" s="157"/>
      <c r="GT127" s="157"/>
      <c r="GV127" s="157"/>
      <c r="GW127" s="157"/>
      <c r="GX127" s="157"/>
      <c r="GZ127" s="157"/>
      <c r="HA127" s="157"/>
      <c r="HB127" s="157"/>
      <c r="HD127" s="157"/>
      <c r="HE127" s="157"/>
      <c r="HF127" s="157"/>
      <c r="HH127" s="157"/>
      <c r="HI127" s="157"/>
      <c r="HJ127" s="157"/>
      <c r="HL127" s="157"/>
      <c r="HM127" s="157"/>
      <c r="HN127" s="157"/>
      <c r="HP127" s="157"/>
      <c r="HQ127" s="157"/>
      <c r="HR127" s="157"/>
      <c r="HT127" s="157"/>
      <c r="HU127" s="157"/>
      <c r="HV127" s="157"/>
      <c r="HX127" s="157"/>
      <c r="HY127" s="157"/>
      <c r="HZ127" s="157"/>
      <c r="IB127" s="157"/>
      <c r="IC127" s="157"/>
      <c r="ID127" s="157"/>
      <c r="IF127" s="157"/>
      <c r="IG127" s="157"/>
      <c r="IH127" s="157"/>
      <c r="IJ127" s="157"/>
      <c r="IK127" s="157"/>
      <c r="IL127" s="157"/>
      <c r="IN127" s="157"/>
      <c r="IO127" s="157"/>
      <c r="IP127" s="157"/>
      <c r="IR127" s="157"/>
      <c r="IS127" s="157"/>
      <c r="IT127" s="157"/>
    </row>
    <row r="128" spans="1:254" x14ac:dyDescent="0.2">
      <c r="A128" s="195"/>
      <c r="B128" s="177">
        <v>31</v>
      </c>
      <c r="C128" s="131" t="s">
        <v>424</v>
      </c>
      <c r="D128" s="81">
        <f>Iripple/(4*fsw*Viripple)</f>
        <v>7.2892040977147369E-6</v>
      </c>
      <c r="E128" s="136"/>
      <c r="F128" s="133"/>
      <c r="G128" s="178" t="s">
        <v>3</v>
      </c>
      <c r="H128" s="181" t="s">
        <v>227</v>
      </c>
      <c r="I128" s="198"/>
      <c r="J128" s="202"/>
      <c r="M128" s="147"/>
      <c r="Q128" s="147"/>
      <c r="U128" s="147"/>
      <c r="Y128" s="147"/>
      <c r="AC128" s="147"/>
      <c r="AG128" s="147"/>
      <c r="AK128" s="147"/>
      <c r="AO128" s="147"/>
      <c r="AS128" s="147"/>
      <c r="AW128" s="147"/>
      <c r="BA128" s="147"/>
      <c r="BE128" s="147"/>
      <c r="BI128" s="147"/>
      <c r="BM128" s="147"/>
      <c r="BQ128" s="147"/>
      <c r="BU128" s="147"/>
      <c r="BY128" s="147"/>
      <c r="CC128" s="147"/>
      <c r="CG128" s="147"/>
      <c r="CK128" s="147"/>
      <c r="CO128" s="147"/>
      <c r="CS128" s="147"/>
      <c r="CW128" s="147"/>
      <c r="DA128" s="147"/>
      <c r="DE128" s="147"/>
      <c r="DI128" s="147"/>
      <c r="DM128" s="147"/>
      <c r="DQ128" s="147"/>
      <c r="DU128" s="147"/>
      <c r="DY128" s="147"/>
      <c r="EC128" s="147"/>
      <c r="EG128" s="147"/>
      <c r="EK128" s="147"/>
      <c r="EO128" s="147"/>
      <c r="ES128" s="147"/>
      <c r="EW128" s="147"/>
      <c r="FA128" s="147"/>
      <c r="FE128" s="147"/>
      <c r="FI128" s="147"/>
      <c r="FM128" s="147"/>
      <c r="FQ128" s="147"/>
      <c r="FU128" s="147"/>
      <c r="FY128" s="147"/>
      <c r="GC128" s="147"/>
      <c r="GG128" s="147"/>
      <c r="GK128" s="147"/>
      <c r="GO128" s="147"/>
      <c r="GS128" s="147"/>
      <c r="GW128" s="147"/>
      <c r="HA128" s="147"/>
      <c r="HE128" s="147"/>
      <c r="HI128" s="147"/>
      <c r="HM128" s="147"/>
      <c r="HQ128" s="147"/>
      <c r="HU128" s="147"/>
      <c r="HY128" s="147"/>
      <c r="IC128" s="147"/>
      <c r="IG128" s="147"/>
      <c r="IK128" s="147"/>
      <c r="IO128" s="147"/>
      <c r="IS128" s="147"/>
    </row>
    <row r="129" spans="1:253" x14ac:dyDescent="0.2">
      <c r="A129" s="195"/>
      <c r="B129" s="130"/>
      <c r="C129" s="131" t="s">
        <v>425</v>
      </c>
      <c r="D129" s="93">
        <v>1.1199999999999999E-5</v>
      </c>
      <c r="E129" s="133"/>
      <c r="F129" s="133"/>
      <c r="G129" s="178" t="s">
        <v>7</v>
      </c>
      <c r="H129" s="133" t="s">
        <v>431</v>
      </c>
      <c r="I129" s="198"/>
      <c r="J129" s="202"/>
      <c r="M129" s="147"/>
      <c r="Q129" s="147"/>
      <c r="U129" s="147"/>
      <c r="Y129" s="147"/>
      <c r="AC129" s="147"/>
      <c r="AG129" s="147"/>
      <c r="AK129" s="147"/>
      <c r="AO129" s="147"/>
      <c r="AS129" s="147"/>
      <c r="AW129" s="147"/>
      <c r="BA129" s="147"/>
      <c r="BE129" s="147"/>
      <c r="BI129" s="147"/>
      <c r="BM129" s="147"/>
      <c r="BQ129" s="147"/>
      <c r="BU129" s="147"/>
      <c r="BY129" s="147"/>
      <c r="CC129" s="147"/>
      <c r="CG129" s="147"/>
      <c r="CK129" s="147"/>
      <c r="CO129" s="147"/>
      <c r="CS129" s="147"/>
      <c r="CW129" s="147"/>
      <c r="DA129" s="147"/>
      <c r="DE129" s="147"/>
      <c r="DI129" s="147"/>
      <c r="DM129" s="147"/>
      <c r="DQ129" s="147"/>
      <c r="DU129" s="147"/>
      <c r="DY129" s="147"/>
      <c r="EC129" s="147"/>
      <c r="EG129" s="147"/>
      <c r="EK129" s="147"/>
      <c r="EO129" s="147"/>
      <c r="ES129" s="147"/>
      <c r="EW129" s="147"/>
      <c r="FA129" s="147"/>
      <c r="FE129" s="147"/>
      <c r="FI129" s="147"/>
      <c r="FM129" s="147"/>
      <c r="FQ129" s="147"/>
      <c r="FU129" s="147"/>
      <c r="FY129" s="147"/>
      <c r="GC129" s="147"/>
      <c r="GG129" s="147"/>
      <c r="GK129" s="147"/>
      <c r="GO129" s="147"/>
      <c r="GS129" s="147"/>
      <c r="GW129" s="147"/>
      <c r="HA129" s="147"/>
      <c r="HE129" s="147"/>
      <c r="HI129" s="147"/>
      <c r="HM129" s="147"/>
      <c r="HQ129" s="147"/>
      <c r="HU129" s="147"/>
      <c r="HY129" s="147"/>
      <c r="IC129" s="147"/>
      <c r="IG129" s="147"/>
      <c r="IK129" s="147"/>
      <c r="IO129" s="147"/>
      <c r="IS129" s="147"/>
    </row>
    <row r="130" spans="1:253" x14ac:dyDescent="0.2">
      <c r="A130" s="195"/>
      <c r="B130" s="177">
        <v>32</v>
      </c>
      <c r="C130" s="131" t="s">
        <v>67</v>
      </c>
      <c r="D130" s="83">
        <f>Iripple/SQRT(12)</f>
        <v>0.34719497570948243</v>
      </c>
      <c r="E130" s="136"/>
      <c r="F130" s="133"/>
      <c r="G130" s="178" t="s">
        <v>2</v>
      </c>
      <c r="H130" s="181" t="s">
        <v>91</v>
      </c>
      <c r="I130" s="198"/>
      <c r="J130" s="202"/>
      <c r="M130" s="147"/>
      <c r="Q130" s="147"/>
      <c r="U130" s="147"/>
      <c r="Y130" s="147"/>
      <c r="AC130" s="147"/>
      <c r="AG130" s="147"/>
      <c r="AK130" s="147"/>
      <c r="AO130" s="147"/>
      <c r="AS130" s="147"/>
      <c r="AW130" s="147"/>
      <c r="BA130" s="147"/>
      <c r="BE130" s="147"/>
      <c r="BI130" s="147"/>
      <c r="BM130" s="147"/>
      <c r="BQ130" s="147"/>
      <c r="BU130" s="147"/>
      <c r="BY130" s="147"/>
      <c r="CC130" s="147"/>
      <c r="CG130" s="147"/>
      <c r="CK130" s="147"/>
      <c r="CO130" s="147"/>
      <c r="CS130" s="147"/>
      <c r="CW130" s="147"/>
      <c r="DA130" s="147"/>
      <c r="DE130" s="147"/>
      <c r="DI130" s="147"/>
      <c r="DM130" s="147"/>
      <c r="DQ130" s="147"/>
      <c r="DU130" s="147"/>
      <c r="DY130" s="147"/>
      <c r="EC130" s="147"/>
      <c r="EG130" s="147"/>
      <c r="EK130" s="147"/>
      <c r="EO130" s="147"/>
      <c r="ES130" s="147"/>
      <c r="EW130" s="147"/>
      <c r="FA130" s="147"/>
      <c r="FE130" s="147"/>
      <c r="FI130" s="147"/>
      <c r="FM130" s="147"/>
      <c r="FQ130" s="147"/>
      <c r="FU130" s="147"/>
      <c r="FY130" s="147"/>
      <c r="GC130" s="147"/>
      <c r="GG130" s="147"/>
      <c r="GK130" s="147"/>
      <c r="GO130" s="147"/>
      <c r="GS130" s="147"/>
      <c r="GW130" s="147"/>
      <c r="HA130" s="147"/>
      <c r="HE130" s="147"/>
      <c r="HI130" s="147"/>
      <c r="HM130" s="147"/>
      <c r="HQ130" s="147"/>
      <c r="HU130" s="147"/>
      <c r="HY130" s="147"/>
      <c r="IC130" s="147"/>
      <c r="IG130" s="147"/>
      <c r="IK130" s="147"/>
      <c r="IO130" s="147"/>
      <c r="IS130" s="147"/>
    </row>
    <row r="131" spans="1:253" x14ac:dyDescent="0.2">
      <c r="A131" s="195"/>
      <c r="B131" s="156"/>
      <c r="C131" s="141"/>
      <c r="D131" s="162"/>
      <c r="E131" s="162"/>
      <c r="F131" s="141"/>
      <c r="G131" s="145"/>
      <c r="H131" s="141"/>
      <c r="I131" s="198"/>
      <c r="J131" s="202"/>
    </row>
    <row r="132" spans="1:253" ht="15" x14ac:dyDescent="0.25">
      <c r="A132" s="198"/>
      <c r="B132" s="119" t="s">
        <v>120</v>
      </c>
      <c r="C132" s="118" t="s">
        <v>57</v>
      </c>
      <c r="D132" s="259" t="s">
        <v>9</v>
      </c>
      <c r="E132" s="260"/>
      <c r="F132" s="261"/>
      <c r="G132" s="118" t="s">
        <v>8</v>
      </c>
      <c r="H132" s="126" t="s">
        <v>422</v>
      </c>
      <c r="I132" s="216"/>
      <c r="J132" s="202"/>
      <c r="M132" s="147"/>
    </row>
    <row r="133" spans="1:253" x14ac:dyDescent="0.2">
      <c r="A133" s="195"/>
      <c r="B133" s="156"/>
      <c r="C133" s="141"/>
      <c r="D133" s="162"/>
      <c r="E133" s="162"/>
      <c r="F133" s="141"/>
      <c r="G133" s="145"/>
      <c r="H133" s="141"/>
      <c r="I133" s="198"/>
      <c r="J133" s="202"/>
    </row>
    <row r="134" spans="1:253" x14ac:dyDescent="0.2">
      <c r="A134" s="195"/>
      <c r="B134" s="255" t="s">
        <v>410</v>
      </c>
      <c r="C134" s="255"/>
      <c r="D134" s="159"/>
      <c r="E134" s="159"/>
      <c r="F134" s="159"/>
      <c r="G134" s="164"/>
      <c r="H134" s="159"/>
      <c r="I134" s="198"/>
      <c r="J134" s="202"/>
    </row>
    <row r="135" spans="1:253" x14ac:dyDescent="0.2">
      <c r="A135" s="195"/>
      <c r="B135" s="177"/>
      <c r="C135" s="131" t="s">
        <v>445</v>
      </c>
      <c r="D135" s="93">
        <v>11000</v>
      </c>
      <c r="E135" s="133"/>
      <c r="F135" s="133"/>
      <c r="G135" s="178" t="s">
        <v>29</v>
      </c>
      <c r="H135" s="133" t="s">
        <v>266</v>
      </c>
      <c r="I135" s="198"/>
      <c r="J135" s="202"/>
    </row>
    <row r="136" spans="1:253" x14ac:dyDescent="0.2">
      <c r="A136" s="195"/>
      <c r="B136" s="177">
        <v>33</v>
      </c>
      <c r="C136" s="131" t="s">
        <v>367</v>
      </c>
      <c r="D136" s="82">
        <f>Rsl*(Vout/Vref-1)</f>
        <v>205393.44262295082</v>
      </c>
      <c r="E136" s="94">
        <f>(IF((10^(LOG(D136)-INT(LOG(D136)))*100)-VLOOKUP((10^(LOG(D136)-INT(LOG(D136)))*100),E96_s:E96_f,1)&lt;VLOOKUP((10^(LOG(D136)-INT(LOG(D136)))*100),E96_s:E96_f,2)-(10^(LOG(D136)-INT(LOG(D136)))*100),VLOOKUP((10^(LOG(D136)-INT(LOG(D136)))*100),E96_s:E96_f,1),VLOOKUP((10^(LOG(D136)-INT(LOG(D136)))*100),E96_s:E96_f,2)))*10^INT(LOG(D136))/100</f>
        <v>205000</v>
      </c>
      <c r="F136" s="133"/>
      <c r="G136" s="178" t="s">
        <v>29</v>
      </c>
      <c r="H136" s="133" t="s">
        <v>265</v>
      </c>
      <c r="I136" s="198"/>
      <c r="J136" s="202"/>
    </row>
    <row r="137" spans="1:253" x14ac:dyDescent="0.2">
      <c r="A137" s="195"/>
      <c r="B137" s="177"/>
      <c r="C137" s="131" t="s">
        <v>368</v>
      </c>
      <c r="D137" s="93">
        <f>E136</f>
        <v>205000</v>
      </c>
      <c r="E137" s="136"/>
      <c r="F137" s="133"/>
      <c r="G137" s="178" t="s">
        <v>29</v>
      </c>
      <c r="H137" s="133" t="s">
        <v>106</v>
      </c>
      <c r="I137" s="198"/>
      <c r="J137" s="202"/>
    </row>
    <row r="138" spans="1:253" x14ac:dyDescent="0.2">
      <c r="A138" s="195"/>
      <c r="B138" s="148"/>
      <c r="C138" s="141"/>
      <c r="D138" s="163"/>
      <c r="E138" s="163"/>
      <c r="F138" s="163"/>
      <c r="G138" s="145"/>
      <c r="H138" s="141"/>
      <c r="I138" s="198"/>
      <c r="J138" s="202"/>
    </row>
    <row r="139" spans="1:253" x14ac:dyDescent="0.2">
      <c r="A139" s="195"/>
      <c r="B139" s="255" t="s">
        <v>411</v>
      </c>
      <c r="C139" s="255"/>
      <c r="D139" s="159"/>
      <c r="E139" s="159"/>
      <c r="F139" s="159"/>
      <c r="G139" s="164"/>
      <c r="H139" s="159"/>
      <c r="I139" s="198"/>
      <c r="J139" s="202"/>
      <c r="M139" s="147"/>
    </row>
    <row r="140" spans="1:253" x14ac:dyDescent="0.2">
      <c r="A140" s="195"/>
      <c r="B140" s="175"/>
      <c r="C140" s="131" t="s">
        <v>243</v>
      </c>
      <c r="D140" s="93">
        <v>2.5000000000000001E-2</v>
      </c>
      <c r="E140" s="133"/>
      <c r="F140" s="133"/>
      <c r="G140" s="178" t="s">
        <v>42</v>
      </c>
      <c r="H140" s="133" t="s">
        <v>244</v>
      </c>
      <c r="I140" s="198"/>
      <c r="J140" s="202"/>
      <c r="M140" s="147"/>
    </row>
    <row r="141" spans="1:253" x14ac:dyDescent="0.2">
      <c r="A141" s="195"/>
      <c r="B141" s="177">
        <v>34</v>
      </c>
      <c r="C141" s="131" t="s">
        <v>261</v>
      </c>
      <c r="D141" s="95">
        <f>tss*Iss/Vref</f>
        <v>1.0245901639344264E-7</v>
      </c>
      <c r="E141" s="97">
        <f>IF(D141*10^12&lt;10000,IF((10^(LOG(D141*10^12)-INT(LOG(D141*10^12))))-VLOOKUP((10^(LOG(D141*10^12)-INT(LOG(D141*10^12)))),c_s1:C_f1,1)&lt;VLOOKUP((10^(LOG(D141*10^12)-INT(LOG(D141*10^12)))),c_s1:C_f1,2)-(10^(LOG(D141*10^12)-INT(LOG(D141*10^12)))),VLOOKUP((10^(LOG(D141*10^12)-INT(LOG(D141*10^12)))),c_s1:C_f1,1),VLOOKUP((10^(LOG(D141*10^12)-INT(LOG(D141*10^12)))),c_s1:C_f1,2))*10^INT(LOG(D141*10^12)),IF((10^(LOG(D141*10^12)-INT(LOG(D141*10^12))))-VLOOKUP((10^(LOG(D141*10^12)-INT(LOG(D141*10^12)))),C_s2:C_f2,1)&lt;VLOOKUP((10^(LOG(D141*10^12)-INT(LOG(D141*10^12)))),C_s2:C_f2,2)-(10^(LOG(D141*10^12)-INT(LOG(D141*10^12)))),VLOOKUP((10^(LOG(D141*10^12)-INT(LOG(D141*10^12)))),C_s2:C_f2,1),VLOOKUP((10^(LOG(D141*10^12)-INT(LOG(D141*10^12)))),C_s2:C_f2,2))*10^INT(LOG(D141*10^12)))*10^-12</f>
        <v>9.9999999999999995E-8</v>
      </c>
      <c r="F141" s="133"/>
      <c r="G141" s="178" t="s">
        <v>7</v>
      </c>
      <c r="H141" s="133" t="s">
        <v>262</v>
      </c>
      <c r="I141" s="198"/>
      <c r="J141" s="202"/>
      <c r="M141" s="147"/>
    </row>
    <row r="142" spans="1:253" x14ac:dyDescent="0.2">
      <c r="A142" s="195"/>
      <c r="B142" s="177"/>
      <c r="C142" s="131" t="s">
        <v>446</v>
      </c>
      <c r="D142" s="93">
        <f>E141</f>
        <v>9.9999999999999995E-8</v>
      </c>
      <c r="E142" s="132"/>
      <c r="F142" s="133"/>
      <c r="G142" s="178" t="s">
        <v>7</v>
      </c>
      <c r="H142" s="133" t="s">
        <v>263</v>
      </c>
      <c r="I142" s="198"/>
      <c r="J142" s="202"/>
      <c r="M142" s="147"/>
    </row>
    <row r="143" spans="1:253" x14ac:dyDescent="0.2">
      <c r="A143" s="195"/>
      <c r="B143" s="156"/>
      <c r="C143" s="157"/>
      <c r="D143" s="157"/>
      <c r="E143" s="157"/>
      <c r="F143" s="141"/>
      <c r="G143" s="156"/>
      <c r="H143" s="157"/>
      <c r="I143" s="212"/>
      <c r="J143" s="202"/>
      <c r="M143" s="147"/>
    </row>
    <row r="144" spans="1:253" x14ac:dyDescent="0.2">
      <c r="A144" s="195"/>
      <c r="B144" s="255" t="s">
        <v>412</v>
      </c>
      <c r="C144" s="255"/>
      <c r="D144" s="159"/>
      <c r="E144" s="159"/>
      <c r="F144" s="159"/>
      <c r="G144" s="164"/>
      <c r="H144" s="159"/>
      <c r="I144" s="198"/>
      <c r="J144" s="202"/>
    </row>
    <row r="145" spans="1:13" x14ac:dyDescent="0.2">
      <c r="A145" s="195"/>
      <c r="B145" s="177">
        <v>35</v>
      </c>
      <c r="C145" s="131" t="s">
        <v>416</v>
      </c>
      <c r="D145" s="82">
        <f>(Vstart*(Ven_dis/Ven_on)-Vstop)/(Ien_pup*(1-Ven_dis/Ven_on)+Ien_hys)</f>
        <v>6753.3766883439685</v>
      </c>
      <c r="E145" s="94">
        <f>(IF((10^(LOG(D145)-INT(LOG(D145)))*100)-VLOOKUP((10^(LOG(D145)-INT(LOG(D145)))*100),E96_s:E96_f,1)&lt;VLOOKUP((10^(LOG(D145)-INT(LOG(D145)))*100),E96_s:E96_f,2)-(10^(LOG(D145)-INT(LOG(D145)))*100),VLOOKUP((10^(LOG(D145)-INT(LOG(D145)))*100),E96_s:E96_f,1),VLOOKUP((10^(LOG(D145)-INT(LOG(D145)))*100),E96_s:E96_f,2)))*10^INT(LOG(D145))/100</f>
        <v>6810</v>
      </c>
      <c r="F145" s="133"/>
      <c r="G145" s="178" t="s">
        <v>29</v>
      </c>
      <c r="H145" s="133" t="s">
        <v>267</v>
      </c>
      <c r="I145" s="198"/>
      <c r="J145" s="202"/>
    </row>
    <row r="146" spans="1:13" x14ac:dyDescent="0.2">
      <c r="A146" s="195"/>
      <c r="B146" s="177"/>
      <c r="C146" s="131" t="s">
        <v>447</v>
      </c>
      <c r="D146" s="93">
        <f>E145</f>
        <v>6810</v>
      </c>
      <c r="E146" s="133"/>
      <c r="F146" s="133"/>
      <c r="G146" s="178" t="s">
        <v>29</v>
      </c>
      <c r="H146" s="133" t="s">
        <v>268</v>
      </c>
      <c r="I146" s="198"/>
      <c r="J146" s="202"/>
    </row>
    <row r="147" spans="1:13" x14ac:dyDescent="0.2">
      <c r="A147" s="195"/>
      <c r="B147" s="177">
        <v>36</v>
      </c>
      <c r="C147" s="131" t="s">
        <v>417</v>
      </c>
      <c r="D147" s="82">
        <f>Ruvloh*Ven_dis/(Vstop-Ven_dis+Ruvloh*(Ien_pup+Ien_hys)+Ien_hys)</f>
        <v>2287.353657273256</v>
      </c>
      <c r="E147" s="94">
        <f>(IF((10^(LOG(D147)-INT(LOG(D147)))*100)-VLOOKUP((10^(LOG(D147)-INT(LOG(D147)))*100),E96_s:E96_f,1)&lt;VLOOKUP((10^(LOG(D147)-INT(LOG(D147)))*100),E96_s:E96_f,2)-(10^(LOG(D147)-INT(LOG(D147)))*100),VLOOKUP((10^(LOG(D147)-INT(LOG(D147)))*100),E96_s:E96_f,1),VLOOKUP((10^(LOG(D147)-INT(LOG(D147)))*100),E96_s:E96_f,2)))*10^INT(LOG(D147))/100</f>
        <v>2260</v>
      </c>
      <c r="F147" s="133"/>
      <c r="G147" s="178" t="s">
        <v>29</v>
      </c>
      <c r="H147" s="133" t="s">
        <v>270</v>
      </c>
      <c r="I147" s="198"/>
      <c r="J147" s="202"/>
    </row>
    <row r="148" spans="1:13" x14ac:dyDescent="0.2">
      <c r="A148" s="195"/>
      <c r="B148" s="177"/>
      <c r="C148" s="131" t="s">
        <v>448</v>
      </c>
      <c r="D148" s="93">
        <f>E147</f>
        <v>2260</v>
      </c>
      <c r="E148" s="136"/>
      <c r="F148" s="133"/>
      <c r="G148" s="178" t="s">
        <v>29</v>
      </c>
      <c r="H148" s="133" t="s">
        <v>269</v>
      </c>
      <c r="I148" s="198"/>
      <c r="J148" s="202"/>
    </row>
    <row r="149" spans="1:13" x14ac:dyDescent="0.2">
      <c r="A149" s="195"/>
      <c r="B149" s="130"/>
      <c r="C149" s="131" t="s">
        <v>369</v>
      </c>
      <c r="D149" s="99">
        <f>Ven_on-Ien_pup*Ruvloh-Ien_hys*Ven_on/Ven_dis+Ruvloh*Ven_on/Ruvlol</f>
        <v>4.8438005504114265</v>
      </c>
      <c r="E149" s="135"/>
      <c r="F149" s="133"/>
      <c r="G149" s="178" t="s">
        <v>3</v>
      </c>
      <c r="H149" s="133" t="s">
        <v>296</v>
      </c>
      <c r="I149" s="198"/>
      <c r="J149" s="202"/>
    </row>
    <row r="150" spans="1:13" x14ac:dyDescent="0.2">
      <c r="A150" s="195"/>
      <c r="B150" s="130"/>
      <c r="C150" s="131" t="s">
        <v>370</v>
      </c>
      <c r="D150" s="99">
        <f>Ven_dis-Ien_hys-Ien_hys*Ruvloh-Ien_pup*Ruvloh+Ruvloh*Ven_dis/Ruvlol</f>
        <v>4.541079543362831</v>
      </c>
      <c r="E150" s="135"/>
      <c r="F150" s="133"/>
      <c r="G150" s="178" t="s">
        <v>3</v>
      </c>
      <c r="H150" s="133" t="s">
        <v>295</v>
      </c>
      <c r="I150" s="198"/>
      <c r="J150" s="202"/>
    </row>
    <row r="151" spans="1:13" x14ac:dyDescent="0.2">
      <c r="A151" s="195"/>
      <c r="B151" s="148"/>
      <c r="C151" s="141"/>
      <c r="D151" s="162"/>
      <c r="E151" s="162"/>
      <c r="F151" s="141"/>
      <c r="G151" s="145"/>
      <c r="H151" s="141"/>
      <c r="I151" s="198"/>
      <c r="J151" s="202"/>
    </row>
    <row r="152" spans="1:13" x14ac:dyDescent="0.2">
      <c r="A152" s="195"/>
      <c r="B152" s="255" t="s">
        <v>449</v>
      </c>
      <c r="C152" s="255"/>
      <c r="D152" s="159"/>
      <c r="E152" s="159"/>
      <c r="F152" s="159"/>
      <c r="G152" s="164"/>
      <c r="H152" s="159"/>
      <c r="I152" s="198"/>
      <c r="J152" s="202"/>
    </row>
    <row r="153" spans="1:13" x14ac:dyDescent="0.2">
      <c r="A153" s="195"/>
      <c r="B153" s="177"/>
      <c r="C153" s="131" t="s">
        <v>450</v>
      </c>
      <c r="D153" s="93">
        <v>100000</v>
      </c>
      <c r="E153" s="133"/>
      <c r="F153" s="133"/>
      <c r="G153" s="178" t="s">
        <v>29</v>
      </c>
      <c r="H153" s="133" t="s">
        <v>451</v>
      </c>
      <c r="I153" s="198"/>
      <c r="J153" s="202"/>
    </row>
    <row r="154" spans="1:13" x14ac:dyDescent="0.2">
      <c r="A154" s="195"/>
      <c r="B154" s="148"/>
      <c r="C154" s="141"/>
      <c r="D154" s="163"/>
      <c r="E154" s="163"/>
      <c r="F154" s="163"/>
      <c r="G154" s="145"/>
      <c r="H154" s="141"/>
      <c r="I154" s="198"/>
      <c r="J154" s="202"/>
    </row>
    <row r="155" spans="1:13" ht="15" x14ac:dyDescent="0.25">
      <c r="A155" s="195"/>
      <c r="B155" s="119" t="s">
        <v>120</v>
      </c>
      <c r="C155" s="118" t="s">
        <v>31</v>
      </c>
      <c r="D155" s="259" t="s">
        <v>9</v>
      </c>
      <c r="E155" s="260"/>
      <c r="F155" s="261"/>
      <c r="G155" s="118" t="s">
        <v>8</v>
      </c>
      <c r="H155" s="126" t="s">
        <v>422</v>
      </c>
      <c r="I155" s="198"/>
      <c r="J155" s="202"/>
    </row>
    <row r="156" spans="1:13" x14ac:dyDescent="0.2">
      <c r="A156" s="195"/>
      <c r="B156" s="156"/>
      <c r="C156" s="157"/>
      <c r="D156" s="157"/>
      <c r="E156" s="157"/>
      <c r="F156" s="141"/>
      <c r="G156" s="156"/>
      <c r="H156" s="157"/>
      <c r="I156" s="198"/>
      <c r="J156" s="202"/>
    </row>
    <row r="157" spans="1:13" x14ac:dyDescent="0.2">
      <c r="A157" s="198"/>
      <c r="B157" s="255" t="s">
        <v>37</v>
      </c>
      <c r="C157" s="255"/>
      <c r="D157" s="158"/>
      <c r="E157" s="158"/>
      <c r="F157" s="159"/>
      <c r="G157" s="160"/>
      <c r="H157" s="158"/>
      <c r="I157" s="216"/>
      <c r="J157" s="202"/>
      <c r="M157" s="147"/>
    </row>
    <row r="158" spans="1:13" x14ac:dyDescent="0.2">
      <c r="A158" s="195"/>
      <c r="B158" s="177"/>
      <c r="C158" s="131" t="s">
        <v>10</v>
      </c>
      <c r="D158" s="98">
        <f>Vout/(Iout)</f>
        <v>13.090909090909092</v>
      </c>
      <c r="E158" s="134"/>
      <c r="F158" s="133"/>
      <c r="G158" s="178" t="s">
        <v>29</v>
      </c>
      <c r="H158" s="133" t="s">
        <v>64</v>
      </c>
      <c r="I158" s="212"/>
      <c r="J158" s="202"/>
      <c r="M158" s="147"/>
    </row>
    <row r="159" spans="1:13" x14ac:dyDescent="0.2">
      <c r="A159" s="195"/>
      <c r="B159" s="177">
        <v>37</v>
      </c>
      <c r="C159" s="131" t="s">
        <v>241</v>
      </c>
      <c r="D159" s="98">
        <f>20*LOG(Vin_Min/(2*40/3*Rsense*Iout))</f>
        <v>27.04365036222725</v>
      </c>
      <c r="E159" s="98">
        <f>Vin_Min/(2*40/3*Rsense*Iout)</f>
        <v>22.5</v>
      </c>
      <c r="F159" s="133"/>
      <c r="G159" s="178" t="s">
        <v>11</v>
      </c>
      <c r="H159" s="133" t="s">
        <v>297</v>
      </c>
      <c r="I159" s="212"/>
      <c r="J159" s="202"/>
      <c r="M159" s="147"/>
    </row>
    <row r="160" spans="1:13" x14ac:dyDescent="0.2">
      <c r="A160" s="195"/>
      <c r="B160" s="177">
        <v>38</v>
      </c>
      <c r="C160" s="131" t="s">
        <v>21</v>
      </c>
      <c r="D160" s="81">
        <f>2/(2*PI()*Ro*Co)</f>
        <v>931.22573085683416</v>
      </c>
      <c r="E160" s="134"/>
      <c r="F160" s="133"/>
      <c r="G160" s="182" t="s">
        <v>5</v>
      </c>
      <c r="H160" s="133" t="s">
        <v>65</v>
      </c>
      <c r="I160" s="212"/>
      <c r="J160" s="202"/>
      <c r="M160" s="147"/>
    </row>
    <row r="161" spans="1:13" x14ac:dyDescent="0.2">
      <c r="A161" s="195"/>
      <c r="B161" s="177">
        <v>39</v>
      </c>
      <c r="C161" s="131" t="s">
        <v>20</v>
      </c>
      <c r="D161" s="81">
        <f>(Ro/(2*PI()*L))*(Vin_Min/Vout)^2</f>
        <v>23280.64327142086</v>
      </c>
      <c r="E161" s="134"/>
      <c r="F161" s="134"/>
      <c r="G161" s="182" t="s">
        <v>5</v>
      </c>
      <c r="H161" s="133" t="s">
        <v>66</v>
      </c>
      <c r="I161" s="212"/>
      <c r="J161" s="202"/>
      <c r="M161" s="147"/>
    </row>
    <row r="162" spans="1:13" x14ac:dyDescent="0.2">
      <c r="A162" s="195"/>
      <c r="B162" s="177">
        <v>40</v>
      </c>
      <c r="C162" s="131" t="s">
        <v>92</v>
      </c>
      <c r="D162" s="81">
        <f>1/(2*PI()*Co_esr*Co)</f>
        <v>717093.61092718795</v>
      </c>
      <c r="E162" s="134"/>
      <c r="F162" s="134"/>
      <c r="G162" s="178" t="s">
        <v>5</v>
      </c>
      <c r="H162" s="133" t="s">
        <v>298</v>
      </c>
      <c r="I162" s="212"/>
      <c r="J162" s="202"/>
      <c r="M162" s="147"/>
    </row>
    <row r="163" spans="1:13" x14ac:dyDescent="0.2">
      <c r="A163" s="195"/>
      <c r="B163" s="148"/>
      <c r="C163" s="157"/>
      <c r="D163" s="157"/>
      <c r="E163" s="141"/>
      <c r="F163" s="141"/>
      <c r="G163" s="156"/>
      <c r="H163" s="157"/>
      <c r="I163" s="212"/>
      <c r="J163" s="202"/>
      <c r="M163" s="147"/>
    </row>
    <row r="164" spans="1:13" x14ac:dyDescent="0.2">
      <c r="A164" s="195"/>
      <c r="B164" s="255" t="s">
        <v>413</v>
      </c>
      <c r="C164" s="255"/>
      <c r="D164" s="158"/>
      <c r="E164" s="158"/>
      <c r="F164" s="159"/>
      <c r="G164" s="160"/>
      <c r="H164" s="158"/>
      <c r="I164" s="212"/>
      <c r="J164" s="202"/>
      <c r="M164" s="147"/>
    </row>
    <row r="165" spans="1:13" x14ac:dyDescent="0.2">
      <c r="A165" s="195"/>
      <c r="B165" s="177">
        <v>41</v>
      </c>
      <c r="C165" s="131" t="s">
        <v>256</v>
      </c>
      <c r="D165" s="81">
        <f>frhpz/4</f>
        <v>5820.1608178552151</v>
      </c>
      <c r="E165" s="177"/>
      <c r="F165" s="177"/>
      <c r="G165" s="178" t="s">
        <v>5</v>
      </c>
      <c r="H165" s="133" t="s">
        <v>281</v>
      </c>
      <c r="I165" s="212"/>
      <c r="J165" s="202"/>
      <c r="M165" s="147"/>
    </row>
    <row r="166" spans="1:13" ht="12" customHeight="1" x14ac:dyDescent="0.2">
      <c r="A166" s="195"/>
      <c r="B166" s="177">
        <v>42</v>
      </c>
      <c r="C166" s="131" t="s">
        <v>257</v>
      </c>
      <c r="D166" s="81">
        <f>fsw/5</f>
        <v>150000</v>
      </c>
      <c r="E166" s="133"/>
      <c r="F166" s="133"/>
      <c r="G166" s="178" t="s">
        <v>5</v>
      </c>
      <c r="H166" s="133" t="s">
        <v>339</v>
      </c>
      <c r="I166" s="212"/>
      <c r="J166" s="202"/>
      <c r="M166" s="147"/>
    </row>
    <row r="167" spans="1:13" x14ac:dyDescent="0.2">
      <c r="A167" s="195"/>
      <c r="B167" s="177"/>
      <c r="C167" s="131" t="s">
        <v>371</v>
      </c>
      <c r="D167" s="100">
        <f>MIN(D166,D165)</f>
        <v>5820.1608178552151</v>
      </c>
      <c r="E167" s="133"/>
      <c r="F167" s="133"/>
      <c r="G167" s="178" t="s">
        <v>5</v>
      </c>
      <c r="H167" s="133" t="s">
        <v>69</v>
      </c>
      <c r="I167" s="198"/>
      <c r="J167" s="202"/>
      <c r="M167" s="147"/>
    </row>
    <row r="168" spans="1:13" x14ac:dyDescent="0.2">
      <c r="A168" s="195"/>
      <c r="B168" s="177"/>
      <c r="C168" s="131" t="s">
        <v>58</v>
      </c>
      <c r="D168" s="99">
        <f>VLOOKUP(MIN('Small Signal'!M4:M404),'Small Signal'!M4:AB404,16,FALSE)</f>
        <v>10.207148496047251</v>
      </c>
      <c r="E168" s="137"/>
      <c r="F168" s="133"/>
      <c r="G168" s="178" t="s">
        <v>11</v>
      </c>
      <c r="H168" s="133" t="s">
        <v>258</v>
      </c>
      <c r="I168" s="198"/>
      <c r="J168" s="202"/>
      <c r="M168" s="147"/>
    </row>
    <row r="169" spans="1:13" x14ac:dyDescent="0.2">
      <c r="A169" s="195"/>
      <c r="B169" s="177"/>
      <c r="C169" s="131" t="s">
        <v>58</v>
      </c>
      <c r="D169" s="101">
        <f>D168</f>
        <v>10.207148496047251</v>
      </c>
      <c r="E169" s="137"/>
      <c r="F169" s="133"/>
      <c r="G169" s="178" t="s">
        <v>11</v>
      </c>
      <c r="H169" s="133" t="s">
        <v>259</v>
      </c>
      <c r="I169" s="198"/>
      <c r="J169" s="202"/>
      <c r="M169" s="147"/>
    </row>
    <row r="170" spans="1:13" x14ac:dyDescent="0.2">
      <c r="A170" s="195"/>
      <c r="B170" s="177">
        <v>43</v>
      </c>
      <c r="C170" s="131" t="s">
        <v>114</v>
      </c>
      <c r="D170" s="81">
        <f>2*PI()*Co*40/3*Rsense*Vout*Fco_target*(Rsh+Rsl)/(Rsl*Vin_Min*gea)</f>
        <v>4958.6776859504134</v>
      </c>
      <c r="E170" s="94">
        <f>(IF((10^(LOG(D170)-INT(LOG(D170)))*100)-VLOOKUP((10^(LOG(D170)-INT(LOG(D170)))*100),E96_s:E96_f,1)&lt;VLOOKUP((10^(LOG(D170)-INT(LOG(D170)))*100),E96_s:E96_f,2)-(10^(LOG(D170)-INT(LOG(D170)))*100),VLOOKUP((10^(LOG(D170)-INT(LOG(D170)))*100),E96_s:E96_f,1),VLOOKUP((10^(LOG(D170)-INT(LOG(D170)))*100),E96_s:E96_f,2)))*10^INT(LOG(D170))/100</f>
        <v>4990</v>
      </c>
      <c r="F170" s="133"/>
      <c r="G170" s="178" t="s">
        <v>29</v>
      </c>
      <c r="H170" s="133" t="s">
        <v>372</v>
      </c>
      <c r="I170" s="198"/>
      <c r="J170" s="202"/>
      <c r="M170" s="147"/>
    </row>
    <row r="171" spans="1:13" x14ac:dyDescent="0.2">
      <c r="A171" s="195"/>
      <c r="B171" s="177"/>
      <c r="C171" s="131" t="s">
        <v>114</v>
      </c>
      <c r="D171" s="81">
        <f>1/(gea*Rsl/(Rsh+Rsl)*10^(PSgain_fco/20))</f>
        <v>5512.0221743871516</v>
      </c>
      <c r="E171" s="94">
        <f>(IF((10^(LOG(D171)-INT(LOG(D171)))*100)-VLOOKUP((10^(LOG(D171)-INT(LOG(D171)))*100),E96_s:E96_f,1)&lt;VLOOKUP((10^(LOG(D171)-INT(LOG(D171)))*100),E96_s:E96_f,2)-(10^(LOG(D171)-INT(LOG(D171)))*100),VLOOKUP((10^(LOG(D171)-INT(LOG(D171)))*100),E96_s:E96_f,1),VLOOKUP((10^(LOG(D171)-INT(LOG(D171)))*100),E96_s:E96_f,2)))*10^INT(LOG(D171))/100</f>
        <v>5490</v>
      </c>
      <c r="F171" s="133"/>
      <c r="G171" s="178" t="s">
        <v>29</v>
      </c>
      <c r="H171" s="133" t="s">
        <v>373</v>
      </c>
      <c r="I171" s="198"/>
      <c r="J171" s="202"/>
      <c r="M171" s="147"/>
    </row>
    <row r="172" spans="1:13" x14ac:dyDescent="0.2">
      <c r="A172" s="195"/>
      <c r="B172" s="177"/>
      <c r="C172" s="131" t="s">
        <v>282</v>
      </c>
      <c r="D172" s="100">
        <f>MIN(E170:E171)</f>
        <v>4990</v>
      </c>
      <c r="E172" s="133"/>
      <c r="F172" s="133"/>
      <c r="G172" s="178" t="s">
        <v>29</v>
      </c>
      <c r="H172" s="133" t="s">
        <v>86</v>
      </c>
      <c r="I172" s="198"/>
      <c r="J172" s="202"/>
      <c r="M172" s="147"/>
    </row>
    <row r="173" spans="1:13" x14ac:dyDescent="0.2">
      <c r="A173" s="195"/>
      <c r="B173" s="177">
        <v>44</v>
      </c>
      <c r="C173" s="131" t="s">
        <v>115</v>
      </c>
      <c r="D173" s="81">
        <f>1/(2*PI()*Rcomp*Fco_target/10)</f>
        <v>5.4800510111131356E-8</v>
      </c>
      <c r="E173" s="97">
        <f>IF(D173*10^12&lt;10000,IF((10^(LOG(D173*10^12)-INT(LOG(D173*10^12))))-VLOOKUP((10^(LOG(D173*10^12)-INT(LOG(D173*10^12)))),c_s1:C_f1,1)&lt;VLOOKUP((10^(LOG(D173*10^12)-INT(LOG(D173*10^12)))),c_s1:C_f1,2)-(10^(LOG(D173*10^12)-INT(LOG(D173*10^12)))),VLOOKUP((10^(LOG(D173*10^12)-INT(LOG(D173*10^12)))),c_s1:C_f1,1),VLOOKUP((10^(LOG(D173*10^12)-INT(LOG(D173*10^12)))),c_s1:C_f1,2))*10^INT(LOG(D173*10^12)),IF((10^(LOG(D173*10^12)-INT(LOG(D173*10^12))))-VLOOKUP((10^(LOG(D173*10^12)-INT(LOG(D173*10^12)))),C_s2:C_f2,1)&lt;VLOOKUP((10^(LOG(D173*10^12)-INT(LOG(D173*10^12)))),C_s2:C_f2,2)-(10^(LOG(D173*10^12)-INT(LOG(D173*10^12)))),VLOOKUP((10^(LOG(D173*10^12)-INT(LOG(D173*10^12)))),C_s2:C_f2,1),VLOOKUP((10^(LOG(D173*10^12)-INT(LOG(D173*10^12)))),C_s2:C_f2,2))*10^INT(LOG(D173*10^12)))*10^-12</f>
        <v>4.6999999999999997E-8</v>
      </c>
      <c r="F173" s="133"/>
      <c r="G173" s="178" t="s">
        <v>7</v>
      </c>
      <c r="H173" s="133" t="s">
        <v>87</v>
      </c>
      <c r="I173" s="198"/>
      <c r="J173" s="202"/>
      <c r="M173" s="147"/>
    </row>
    <row r="174" spans="1:13" x14ac:dyDescent="0.2">
      <c r="A174" s="195"/>
      <c r="B174" s="177"/>
      <c r="C174" s="131" t="s">
        <v>283</v>
      </c>
      <c r="D174" s="100">
        <f>E173</f>
        <v>4.6999999999999997E-8</v>
      </c>
      <c r="E174" s="133"/>
      <c r="F174" s="133"/>
      <c r="G174" s="178" t="s">
        <v>7</v>
      </c>
      <c r="H174" s="133" t="s">
        <v>88</v>
      </c>
      <c r="I174" s="198"/>
      <c r="J174" s="202"/>
      <c r="M174" s="147"/>
    </row>
    <row r="175" spans="1:13" x14ac:dyDescent="0.2">
      <c r="A175" s="195"/>
      <c r="B175" s="177">
        <v>46</v>
      </c>
      <c r="C175" s="131" t="s">
        <v>116</v>
      </c>
      <c r="D175" s="81">
        <f>1/(2*PI()*Rcomp*10*Fco_target)</f>
        <v>5.4800510111131358E-10</v>
      </c>
      <c r="E175" s="97">
        <f>IF(D175*10^12&lt;10000,IF((10^(LOG(D175*10^12)-INT(LOG(D175*10^12))))-VLOOKUP((10^(LOG(D175*10^12)-INT(LOG(D175*10^12)))),c_s1:C_f1,1)&lt;VLOOKUP((10^(LOG(D175*10^12)-INT(LOG(D175*10^12)))),c_s1:C_f1,2)-(10^(LOG(D175*10^12)-INT(LOG(D175*10^12)))),VLOOKUP((10^(LOG(D175*10^12)-INT(LOG(D175*10^12)))),c_s1:C_f1,1),VLOOKUP((10^(LOG(D175*10^12)-INT(LOG(D175*10^12)))),c_s1:C_f1,2))*10^INT(LOG(D175*10^12)),IF((10^(LOG(D175*10^12)-INT(LOG(D175*10^12))))-VLOOKUP((10^(LOG(D175*10^12)-INT(LOG(D175*10^12)))),C_s2:C_f2,1)&lt;VLOOKUP((10^(LOG(D175*10^12)-INT(LOG(D175*10^12)))),C_s2:C_f2,2)-(10^(LOG(D175*10^12)-INT(LOG(D175*10^12)))),VLOOKUP((10^(LOG(D175*10^12)-INT(LOG(D175*10^12)))),C_s2:C_f2,1),VLOOKUP((10^(LOG(D175*10^12)-INT(LOG(D175*10^12)))),C_s2:C_f2,2))*10^INT(LOG(D175*10^12)))*10^-12</f>
        <v>5.6000000000000003E-10</v>
      </c>
      <c r="F175" s="133"/>
      <c r="G175" s="178" t="s">
        <v>7</v>
      </c>
      <c r="H175" s="183" t="s">
        <v>89</v>
      </c>
      <c r="I175" s="198"/>
      <c r="J175" s="202"/>
      <c r="M175" s="147"/>
    </row>
    <row r="176" spans="1:13" x14ac:dyDescent="0.2">
      <c r="A176" s="195"/>
      <c r="B176" s="177">
        <v>45</v>
      </c>
      <c r="C176" s="131" t="s">
        <v>117</v>
      </c>
      <c r="D176" s="81">
        <f>Co*Co_esr/Rcomp</f>
        <v>4.4477844578044986E-11</v>
      </c>
      <c r="E176" s="97">
        <f>IF(D176*10^12&lt;10000,IF((10^(LOG(D176*10^12)-INT(LOG(D176*10^12))))-VLOOKUP((10^(LOG(D176*10^12)-INT(LOG(D176*10^12)))),c_s1:C_f1,1)&lt;VLOOKUP((10^(LOG(D176*10^12)-INT(LOG(D176*10^12)))),c_s1:C_f1,2)-(10^(LOG(D176*10^12)-INT(LOG(D176*10^12)))),VLOOKUP((10^(LOG(D176*10^12)-INT(LOG(D176*10^12)))),c_s1:C_f1,1),VLOOKUP((10^(LOG(D176*10^12)-INT(LOG(D176*10^12)))),c_s1:C_f1,2))*10^INT(LOG(D176*10^12)),IF((10^(LOG(D176*10^12)-INT(LOG(D176*10^12))))-VLOOKUP((10^(LOG(D176*10^12)-INT(LOG(D176*10^12)))),C_s2:C_f2,1)&lt;VLOOKUP((10^(LOG(D176*10^12)-INT(LOG(D176*10^12)))),C_s2:C_f2,2)-(10^(LOG(D176*10^12)-INT(LOG(D176*10^12)))),VLOOKUP((10^(LOG(D176*10^12)-INT(LOG(D176*10^12)))),C_s2:C_f2,1),VLOOKUP((10^(LOG(D176*10^12)-INT(LOG(D176*10^12)))),C_s2:C_f2,2))*10^INT(LOG(D176*10^12)))*10^-12</f>
        <v>4.6999999999999999E-11</v>
      </c>
      <c r="F176" s="133"/>
      <c r="G176" s="178" t="s">
        <v>7</v>
      </c>
      <c r="H176" s="183" t="s">
        <v>90</v>
      </c>
      <c r="I176" s="198"/>
      <c r="J176" s="202"/>
      <c r="M176" s="147"/>
    </row>
    <row r="177" spans="1:13" ht="12.75" customHeight="1" x14ac:dyDescent="0.2">
      <c r="A177" s="195"/>
      <c r="B177" s="177"/>
      <c r="C177" s="131" t="s">
        <v>284</v>
      </c>
      <c r="D177" s="100">
        <f>MAX(E175:E176)</f>
        <v>5.6000000000000003E-10</v>
      </c>
      <c r="E177" s="134"/>
      <c r="F177" s="133"/>
      <c r="G177" s="178"/>
      <c r="H177" s="183" t="s">
        <v>129</v>
      </c>
      <c r="I177" s="198"/>
      <c r="J177" s="202"/>
      <c r="M177" s="147"/>
    </row>
    <row r="178" spans="1:13" ht="12.75" customHeight="1" x14ac:dyDescent="0.2">
      <c r="A178" s="195"/>
      <c r="B178" s="177"/>
      <c r="C178" s="131" t="s">
        <v>38</v>
      </c>
      <c r="D178" s="81">
        <f>1/(2*PI()*Rea*Ccomp)</f>
        <v>0.33862753849339433</v>
      </c>
      <c r="E178" s="134"/>
      <c r="F178" s="134"/>
      <c r="G178" s="178" t="s">
        <v>5</v>
      </c>
      <c r="H178" s="133" t="s">
        <v>127</v>
      </c>
      <c r="I178" s="198"/>
      <c r="J178" s="202"/>
      <c r="M178" s="147"/>
    </row>
    <row r="179" spans="1:13" x14ac:dyDescent="0.2">
      <c r="A179" s="195"/>
      <c r="B179" s="177"/>
      <c r="C179" s="131" t="s">
        <v>39</v>
      </c>
      <c r="D179" s="81">
        <f>1/(2*PI()*Rcomp*Ccomp)</f>
        <v>678.61230158996864</v>
      </c>
      <c r="E179" s="134"/>
      <c r="F179" s="134"/>
      <c r="G179" s="178" t="s">
        <v>5</v>
      </c>
      <c r="H179" s="133" t="s">
        <v>128</v>
      </c>
      <c r="I179" s="198"/>
      <c r="J179" s="202"/>
      <c r="M179" s="147"/>
    </row>
    <row r="180" spans="1:13" x14ac:dyDescent="0.2">
      <c r="A180" s="195"/>
      <c r="B180" s="177"/>
      <c r="C180" s="131" t="s">
        <v>40</v>
      </c>
      <c r="D180" s="81">
        <f>(1/(2*PI()*Chf*Rcomp))</f>
        <v>56954.961026300931</v>
      </c>
      <c r="E180" s="134"/>
      <c r="F180" s="134"/>
      <c r="G180" s="178" t="s">
        <v>5</v>
      </c>
      <c r="H180" s="133" t="s">
        <v>260</v>
      </c>
      <c r="I180" s="198"/>
      <c r="J180" s="202"/>
      <c r="M180" s="147"/>
    </row>
    <row r="181" spans="1:13" ht="15" x14ac:dyDescent="0.25">
      <c r="A181" s="195"/>
      <c r="B181" s="169" t="s">
        <v>313</v>
      </c>
      <c r="C181" s="141"/>
      <c r="D181" s="141"/>
      <c r="E181" s="141"/>
      <c r="F181" s="141"/>
      <c r="G181" s="145"/>
      <c r="H181" s="141"/>
      <c r="I181" s="198"/>
      <c r="J181" s="202"/>
      <c r="M181" s="147"/>
    </row>
    <row r="182" spans="1:13" ht="15" x14ac:dyDescent="0.25">
      <c r="A182" s="195"/>
      <c r="B182" s="260" t="s">
        <v>48</v>
      </c>
      <c r="C182" s="261"/>
      <c r="D182" s="259" t="s">
        <v>9</v>
      </c>
      <c r="E182" s="260"/>
      <c r="F182" s="261"/>
      <c r="G182" s="118" t="s">
        <v>8</v>
      </c>
      <c r="H182" s="126" t="s">
        <v>422</v>
      </c>
      <c r="I182" s="198"/>
      <c r="J182" s="202"/>
      <c r="M182" s="147"/>
    </row>
    <row r="183" spans="1:13" ht="15" x14ac:dyDescent="0.25">
      <c r="A183" s="195"/>
      <c r="B183" s="170"/>
      <c r="C183" s="171"/>
      <c r="D183" s="184" t="s">
        <v>43</v>
      </c>
      <c r="E183" s="185" t="s">
        <v>44</v>
      </c>
      <c r="F183" s="186" t="s">
        <v>45</v>
      </c>
      <c r="G183" s="172"/>
      <c r="H183" s="173"/>
      <c r="I183" s="198"/>
      <c r="J183" s="202"/>
    </row>
    <row r="184" spans="1:13" ht="15" x14ac:dyDescent="0.25">
      <c r="A184" s="196"/>
      <c r="B184" s="156"/>
      <c r="C184" s="131" t="s">
        <v>23</v>
      </c>
      <c r="D184" s="187" t="s">
        <v>53</v>
      </c>
      <c r="E184" s="88"/>
      <c r="F184" s="88">
        <v>58</v>
      </c>
      <c r="G184" s="178" t="s">
        <v>3</v>
      </c>
      <c r="H184" s="133" t="s">
        <v>0</v>
      </c>
      <c r="I184" s="217"/>
      <c r="J184" s="207"/>
    </row>
    <row r="185" spans="1:13" ht="15" x14ac:dyDescent="0.25">
      <c r="A185" s="197"/>
      <c r="B185" s="156"/>
      <c r="C185" s="131" t="s">
        <v>53</v>
      </c>
      <c r="D185" s="88">
        <v>4.5</v>
      </c>
      <c r="E185" s="88"/>
      <c r="F185" s="88">
        <v>38</v>
      </c>
      <c r="G185" s="178" t="s">
        <v>3</v>
      </c>
      <c r="H185" s="133" t="s">
        <v>46</v>
      </c>
      <c r="I185" s="218"/>
      <c r="J185" s="207"/>
    </row>
    <row r="186" spans="1:13" x14ac:dyDescent="0.2">
      <c r="A186" s="195"/>
      <c r="B186" s="156"/>
      <c r="C186" s="131" t="s">
        <v>35</v>
      </c>
      <c r="D186" s="90">
        <v>50000</v>
      </c>
      <c r="E186" s="89"/>
      <c r="F186" s="89">
        <v>1200000</v>
      </c>
      <c r="G186" s="178" t="s">
        <v>5</v>
      </c>
      <c r="H186" s="133" t="s">
        <v>47</v>
      </c>
      <c r="I186" s="198"/>
      <c r="J186" s="213"/>
    </row>
    <row r="187" spans="1:13" x14ac:dyDescent="0.2">
      <c r="A187" s="195"/>
      <c r="B187" s="156"/>
      <c r="C187" s="131" t="s">
        <v>174</v>
      </c>
      <c r="D187" s="188"/>
      <c r="E187" s="89">
        <f>0.0011</f>
        <v>1.1000000000000001E-3</v>
      </c>
      <c r="F187" s="90"/>
      <c r="G187" s="178" t="s">
        <v>1</v>
      </c>
      <c r="H187" s="133" t="s">
        <v>16</v>
      </c>
      <c r="I187" s="198"/>
      <c r="J187" s="213"/>
    </row>
    <row r="188" spans="1:13" x14ac:dyDescent="0.2">
      <c r="A188" s="195"/>
      <c r="B188" s="156"/>
      <c r="C188" s="131" t="s">
        <v>54</v>
      </c>
      <c r="D188" s="188"/>
      <c r="E188" s="90">
        <f>10*10^6</f>
        <v>10000000</v>
      </c>
      <c r="F188" s="188"/>
      <c r="G188" s="178" t="s">
        <v>29</v>
      </c>
      <c r="H188" s="133" t="s">
        <v>17</v>
      </c>
      <c r="I188" s="198"/>
      <c r="J188" s="213"/>
    </row>
    <row r="189" spans="1:13" x14ac:dyDescent="0.2">
      <c r="A189" s="195"/>
      <c r="B189" s="156"/>
      <c r="C189" s="131" t="s">
        <v>55</v>
      </c>
      <c r="D189" s="188"/>
      <c r="E189" s="88">
        <v>1.22</v>
      </c>
      <c r="F189" s="188"/>
      <c r="G189" s="178" t="s">
        <v>3</v>
      </c>
      <c r="H189" s="133" t="s">
        <v>18</v>
      </c>
      <c r="I189" s="198"/>
      <c r="J189" s="202"/>
    </row>
    <row r="190" spans="1:13" x14ac:dyDescent="0.2">
      <c r="A190" s="195"/>
      <c r="B190" s="156"/>
      <c r="C190" s="131" t="s">
        <v>232</v>
      </c>
      <c r="D190" s="188"/>
      <c r="E190" s="90">
        <v>9.9999999999999995E-8</v>
      </c>
      <c r="F190" s="188"/>
      <c r="G190" s="178" t="s">
        <v>42</v>
      </c>
      <c r="H190" s="133" t="s">
        <v>32</v>
      </c>
      <c r="I190" s="198"/>
      <c r="J190" s="202"/>
    </row>
    <row r="191" spans="1:13" x14ac:dyDescent="0.2">
      <c r="A191" s="195"/>
      <c r="B191" s="156"/>
      <c r="C191" s="131" t="s">
        <v>233</v>
      </c>
      <c r="D191" s="188"/>
      <c r="E191" s="90">
        <v>2.4999999999999999E-7</v>
      </c>
      <c r="F191" s="188"/>
      <c r="G191" s="178" t="s">
        <v>42</v>
      </c>
      <c r="H191" s="133" t="s">
        <v>193</v>
      </c>
      <c r="I191" s="198"/>
      <c r="J191" s="202"/>
    </row>
    <row r="192" spans="1:13" x14ac:dyDescent="0.2">
      <c r="A192" s="195"/>
      <c r="B192" s="156"/>
      <c r="C192" s="131" t="s">
        <v>341</v>
      </c>
      <c r="D192" s="91">
        <v>6.4000000000000001E-2</v>
      </c>
      <c r="E192" s="91">
        <v>7.2999999999999995E-2</v>
      </c>
      <c r="F192" s="91">
        <v>8.2000000000000003E-2</v>
      </c>
      <c r="G192" s="178" t="s">
        <v>3</v>
      </c>
      <c r="H192" s="133" t="s">
        <v>247</v>
      </c>
      <c r="I192" s="198"/>
      <c r="J192" s="202"/>
    </row>
    <row r="193" spans="1:10" x14ac:dyDescent="0.2">
      <c r="A193" s="195"/>
      <c r="B193" s="156"/>
      <c r="C193" s="131" t="s">
        <v>342</v>
      </c>
      <c r="D193" s="91">
        <v>5.0999999999999997E-2</v>
      </c>
      <c r="E193" s="91">
        <v>6.0999999999999999E-2</v>
      </c>
      <c r="F193" s="91">
        <v>7.1999999999999995E-2</v>
      </c>
      <c r="G193" s="178" t="s">
        <v>3</v>
      </c>
      <c r="H193" s="133" t="s">
        <v>246</v>
      </c>
      <c r="I193" s="198"/>
      <c r="J193" s="202"/>
    </row>
    <row r="194" spans="1:10" x14ac:dyDescent="0.2">
      <c r="A194" s="195"/>
      <c r="B194" s="156"/>
      <c r="C194" s="131" t="s">
        <v>229</v>
      </c>
      <c r="D194" s="91"/>
      <c r="E194" s="106">
        <f>LOOKUP($D$4,partdata!A4:A5,partdata!B4:B5)</f>
        <v>5.5</v>
      </c>
      <c r="F194" s="91"/>
      <c r="G194" s="178" t="s">
        <v>3</v>
      </c>
      <c r="H194" s="133" t="s">
        <v>248</v>
      </c>
      <c r="I194" s="198"/>
      <c r="J194" s="202"/>
    </row>
    <row r="195" spans="1:10" x14ac:dyDescent="0.2">
      <c r="A195" s="195"/>
      <c r="B195" s="156"/>
      <c r="C195" s="131" t="s">
        <v>224</v>
      </c>
      <c r="D195" s="91"/>
      <c r="E195" s="91">
        <f>LOOKUP($D$4,partdata!A4:A5,partdata!C4:C5)</f>
        <v>0.75</v>
      </c>
      <c r="F195" s="91"/>
      <c r="G195" s="178" t="s">
        <v>3</v>
      </c>
      <c r="H195" s="133" t="s">
        <v>249</v>
      </c>
      <c r="I195" s="198"/>
      <c r="J195" s="202"/>
    </row>
    <row r="196" spans="1:10" x14ac:dyDescent="0.2">
      <c r="A196" s="195"/>
      <c r="B196" s="156"/>
      <c r="C196" s="131" t="s">
        <v>323</v>
      </c>
      <c r="D196" s="91"/>
      <c r="E196" s="90">
        <v>6.5E-8</v>
      </c>
      <c r="F196" s="91"/>
      <c r="G196" s="178" t="s">
        <v>42</v>
      </c>
      <c r="H196" s="133" t="s">
        <v>322</v>
      </c>
      <c r="I196" s="198"/>
      <c r="J196" s="202"/>
    </row>
    <row r="197" spans="1:10" x14ac:dyDescent="0.2">
      <c r="A197" s="195"/>
      <c r="B197" s="156"/>
      <c r="C197" s="131" t="s">
        <v>275</v>
      </c>
      <c r="D197" s="91"/>
      <c r="E197" s="106">
        <f>LOOKUP($D$4,partdata!A4:A5,partdata!D4:D5)</f>
        <v>2.5</v>
      </c>
      <c r="F197" s="91"/>
      <c r="G197" s="178" t="s">
        <v>29</v>
      </c>
      <c r="H197" s="133" t="s">
        <v>273</v>
      </c>
      <c r="I197" s="198"/>
      <c r="J197" s="202"/>
    </row>
    <row r="198" spans="1:10" x14ac:dyDescent="0.2">
      <c r="A198" s="195"/>
      <c r="B198" s="156"/>
      <c r="C198" s="131" t="s">
        <v>274</v>
      </c>
      <c r="D198" s="91"/>
      <c r="E198" s="106">
        <f>LOOKUP($D$4,partdata!A4:A5,partdata!E4:E5)</f>
        <v>1.6</v>
      </c>
      <c r="F198" s="91"/>
      <c r="G198" s="178" t="s">
        <v>29</v>
      </c>
      <c r="H198" s="133" t="s">
        <v>278</v>
      </c>
      <c r="I198" s="198"/>
      <c r="J198" s="202"/>
    </row>
    <row r="199" spans="1:10" x14ac:dyDescent="0.2">
      <c r="A199" s="195"/>
      <c r="B199" s="156"/>
      <c r="C199" s="131" t="s">
        <v>276</v>
      </c>
      <c r="D199" s="91"/>
      <c r="E199" s="106">
        <f>LOOKUP($D$4,partdata!A4:A5,partdata!F4:F5)</f>
        <v>5</v>
      </c>
      <c r="F199" s="91"/>
      <c r="G199" s="178" t="s">
        <v>29</v>
      </c>
      <c r="H199" s="133" t="s">
        <v>279</v>
      </c>
      <c r="I199" s="198"/>
      <c r="J199" s="202"/>
    </row>
    <row r="200" spans="1:10" x14ac:dyDescent="0.2">
      <c r="A200" s="195"/>
      <c r="B200" s="156"/>
      <c r="C200" s="131" t="s">
        <v>277</v>
      </c>
      <c r="D200" s="91"/>
      <c r="E200" s="106">
        <f>LOOKUP($D$4,partdata!A4:A5,partdata!G4:G5)</f>
        <v>3</v>
      </c>
      <c r="F200" s="91"/>
      <c r="G200" s="178" t="s">
        <v>29</v>
      </c>
      <c r="H200" s="133" t="s">
        <v>280</v>
      </c>
      <c r="I200" s="198"/>
      <c r="J200" s="202"/>
    </row>
    <row r="201" spans="1:10" x14ac:dyDescent="0.2">
      <c r="A201" s="195"/>
      <c r="B201" s="156"/>
      <c r="C201" s="131" t="s">
        <v>236</v>
      </c>
      <c r="D201" s="91"/>
      <c r="E201" s="96">
        <v>1.21</v>
      </c>
      <c r="F201" s="91"/>
      <c r="G201" s="178" t="s">
        <v>3</v>
      </c>
      <c r="H201" s="133" t="s">
        <v>250</v>
      </c>
      <c r="I201" s="198"/>
      <c r="J201" s="202"/>
    </row>
    <row r="202" spans="1:10" x14ac:dyDescent="0.2">
      <c r="A202" s="195"/>
      <c r="B202" s="156"/>
      <c r="C202" s="131" t="s">
        <v>239</v>
      </c>
      <c r="D202" s="91"/>
      <c r="E202" s="96">
        <v>1.1399999999999999</v>
      </c>
      <c r="F202" s="91"/>
      <c r="G202" s="178" t="s">
        <v>3</v>
      </c>
      <c r="H202" s="133" t="s">
        <v>251</v>
      </c>
      <c r="I202" s="198"/>
      <c r="J202" s="202"/>
    </row>
    <row r="203" spans="1:10" x14ac:dyDescent="0.2">
      <c r="A203" s="195"/>
      <c r="B203" s="156"/>
      <c r="C203" s="131" t="s">
        <v>237</v>
      </c>
      <c r="D203" s="91"/>
      <c r="E203" s="89">
        <v>1.7999999999999999E-6</v>
      </c>
      <c r="F203" s="91"/>
      <c r="G203" s="178" t="s">
        <v>42</v>
      </c>
      <c r="H203" s="133" t="s">
        <v>252</v>
      </c>
      <c r="I203" s="198"/>
      <c r="J203" s="202"/>
    </row>
    <row r="204" spans="1:10" x14ac:dyDescent="0.2">
      <c r="A204" s="195"/>
      <c r="B204" s="156"/>
      <c r="C204" s="131" t="s">
        <v>238</v>
      </c>
      <c r="D204" s="91"/>
      <c r="E204" s="89">
        <v>3.1999999999999999E-6</v>
      </c>
      <c r="F204" s="91"/>
      <c r="G204" s="178" t="s">
        <v>42</v>
      </c>
      <c r="H204" s="133" t="s">
        <v>253</v>
      </c>
      <c r="I204" s="198"/>
      <c r="J204" s="202"/>
    </row>
    <row r="205" spans="1:10" x14ac:dyDescent="0.2">
      <c r="A205" s="195"/>
      <c r="B205" s="156"/>
      <c r="C205" s="131" t="s">
        <v>240</v>
      </c>
      <c r="D205" s="91"/>
      <c r="E205" s="90">
        <v>5.9999999999999995E-4</v>
      </c>
      <c r="F205" s="91"/>
      <c r="G205" s="178" t="s">
        <v>2</v>
      </c>
      <c r="H205" s="133" t="s">
        <v>254</v>
      </c>
      <c r="I205" s="198"/>
      <c r="J205" s="202"/>
    </row>
    <row r="206" spans="1:10" x14ac:dyDescent="0.2">
      <c r="A206" s="195"/>
      <c r="B206" s="156"/>
      <c r="C206" s="131" t="s">
        <v>245</v>
      </c>
      <c r="D206" s="91"/>
      <c r="E206" s="90">
        <v>5.0000000000000004E-6</v>
      </c>
      <c r="F206" s="91"/>
      <c r="G206" s="178" t="s">
        <v>2</v>
      </c>
      <c r="H206" s="133" t="s">
        <v>255</v>
      </c>
      <c r="I206" s="198"/>
      <c r="J206" s="202"/>
    </row>
    <row r="207" spans="1:10" x14ac:dyDescent="0.2">
      <c r="A207" s="195"/>
      <c r="B207" s="199"/>
      <c r="C207" s="193"/>
      <c r="D207" s="193"/>
      <c r="E207" s="193"/>
      <c r="F207" s="193"/>
      <c r="G207" s="200"/>
      <c r="H207" s="193"/>
      <c r="I207" s="198"/>
      <c r="J207" s="202"/>
    </row>
    <row r="208" spans="1:10" x14ac:dyDescent="0.2">
      <c r="A208" s="195"/>
      <c r="B208" s="203"/>
      <c r="C208" s="204"/>
      <c r="D208" s="204"/>
      <c r="E208" s="204"/>
      <c r="F208" s="204"/>
      <c r="G208" s="205"/>
      <c r="H208" s="204"/>
      <c r="I208" s="198"/>
      <c r="J208" s="202"/>
    </row>
    <row r="209" spans="1:10" x14ac:dyDescent="0.2">
      <c r="A209" s="141"/>
      <c r="B209" s="156"/>
      <c r="C209" s="141"/>
      <c r="D209" s="141"/>
      <c r="E209" s="141"/>
      <c r="F209" s="141"/>
      <c r="G209" s="145"/>
      <c r="H209" s="141"/>
      <c r="I209" s="141"/>
      <c r="J209" s="146"/>
    </row>
    <row r="210" spans="1:10" x14ac:dyDescent="0.2">
      <c r="A210" s="141"/>
      <c r="B210" s="156"/>
      <c r="C210" s="141"/>
      <c r="D210" s="141"/>
      <c r="E210" s="141"/>
      <c r="F210" s="141"/>
      <c r="G210" s="145"/>
      <c r="H210" s="141"/>
      <c r="I210" s="141"/>
      <c r="J210" s="146"/>
    </row>
    <row r="211" spans="1:10" x14ac:dyDescent="0.2">
      <c r="A211" s="141"/>
      <c r="B211" s="156"/>
      <c r="C211" s="141"/>
      <c r="D211" s="141"/>
      <c r="E211" s="141"/>
      <c r="F211" s="141"/>
      <c r="G211" s="145"/>
      <c r="H211" s="141"/>
      <c r="I211" s="141"/>
      <c r="J211" s="146"/>
    </row>
    <row r="212" spans="1:10" x14ac:dyDescent="0.2">
      <c r="A212" s="141"/>
      <c r="B212" s="156"/>
      <c r="C212" s="141"/>
      <c r="D212" s="141"/>
      <c r="E212" s="141"/>
      <c r="F212" s="141"/>
      <c r="G212" s="145"/>
      <c r="H212" s="141"/>
      <c r="I212" s="141"/>
      <c r="J212" s="146"/>
    </row>
    <row r="213" spans="1:10" x14ac:dyDescent="0.2">
      <c r="A213" s="141"/>
      <c r="B213" s="156"/>
      <c r="C213" s="141"/>
      <c r="D213" s="141"/>
      <c r="E213" s="141"/>
      <c r="F213" s="141"/>
      <c r="G213" s="145"/>
      <c r="H213" s="141"/>
      <c r="I213" s="141"/>
      <c r="J213" s="146"/>
    </row>
    <row r="214" spans="1:10" x14ac:dyDescent="0.2">
      <c r="A214" s="141"/>
      <c r="B214" s="156"/>
      <c r="C214" s="141"/>
      <c r="D214" s="141"/>
      <c r="E214" s="141"/>
      <c r="F214" s="141"/>
      <c r="G214" s="145"/>
      <c r="H214" s="141"/>
      <c r="I214" s="141"/>
      <c r="J214" s="146"/>
    </row>
    <row r="215" spans="1:10" x14ac:dyDescent="0.2">
      <c r="A215" s="141"/>
      <c r="B215" s="156"/>
      <c r="C215" s="141"/>
      <c r="D215" s="141"/>
      <c r="E215" s="141"/>
      <c r="F215" s="141"/>
      <c r="G215" s="145"/>
      <c r="H215" s="141"/>
      <c r="I215" s="141"/>
      <c r="J215" s="146"/>
    </row>
    <row r="216" spans="1:10" x14ac:dyDescent="0.2">
      <c r="A216" s="141"/>
      <c r="B216" s="156"/>
      <c r="C216" s="141"/>
      <c r="D216" s="141"/>
      <c r="E216" s="141"/>
      <c r="F216" s="141"/>
      <c r="G216" s="145"/>
      <c r="H216" s="141"/>
      <c r="I216" s="141"/>
      <c r="J216" s="146"/>
    </row>
    <row r="217" spans="1:10" x14ac:dyDescent="0.2">
      <c r="A217" s="141"/>
      <c r="B217" s="156"/>
      <c r="C217" s="141"/>
      <c r="D217" s="141"/>
      <c r="E217" s="141"/>
      <c r="F217" s="141"/>
      <c r="G217" s="145"/>
      <c r="H217" s="141"/>
      <c r="I217" s="141"/>
      <c r="J217" s="146"/>
    </row>
    <row r="218" spans="1:10" x14ac:dyDescent="0.2">
      <c r="A218" s="141"/>
      <c r="B218" s="156"/>
      <c r="C218" s="141"/>
      <c r="D218" s="141"/>
      <c r="E218" s="141"/>
      <c r="F218" s="141"/>
      <c r="G218" s="145"/>
      <c r="H218" s="141"/>
      <c r="I218" s="141"/>
      <c r="J218" s="146"/>
    </row>
    <row r="219" spans="1:10" x14ac:dyDescent="0.2">
      <c r="A219" s="141"/>
      <c r="B219" s="156"/>
      <c r="C219" s="141"/>
      <c r="D219" s="141"/>
      <c r="E219" s="141"/>
      <c r="F219" s="141"/>
      <c r="G219" s="145"/>
      <c r="H219" s="141"/>
      <c r="I219" s="141"/>
      <c r="J219" s="146"/>
    </row>
    <row r="220" spans="1:10" x14ac:dyDescent="0.2">
      <c r="A220" s="141"/>
      <c r="B220" s="156"/>
      <c r="C220" s="141"/>
      <c r="D220" s="141"/>
      <c r="E220" s="141"/>
      <c r="F220" s="141"/>
      <c r="G220" s="145"/>
      <c r="H220" s="141"/>
      <c r="I220" s="141"/>
      <c r="J220" s="146"/>
    </row>
    <row r="221" spans="1:10" x14ac:dyDescent="0.2">
      <c r="A221" s="141"/>
      <c r="B221" s="156"/>
      <c r="C221" s="141"/>
      <c r="D221" s="141"/>
      <c r="E221" s="141"/>
      <c r="F221" s="141"/>
      <c r="G221" s="145"/>
      <c r="H221" s="141"/>
      <c r="I221" s="141"/>
      <c r="J221" s="146"/>
    </row>
    <row r="222" spans="1:10" x14ac:dyDescent="0.2">
      <c r="A222" s="141"/>
      <c r="B222" s="156"/>
      <c r="C222" s="141"/>
      <c r="D222" s="141"/>
      <c r="E222" s="141"/>
      <c r="F222" s="141"/>
      <c r="G222" s="145"/>
      <c r="H222" s="141"/>
      <c r="I222" s="141"/>
      <c r="J222" s="146"/>
    </row>
    <row r="223" spans="1:10" x14ac:dyDescent="0.2">
      <c r="A223" s="141"/>
      <c r="B223" s="156"/>
      <c r="C223" s="141"/>
      <c r="D223" s="141"/>
      <c r="E223" s="141"/>
      <c r="F223" s="141"/>
      <c r="G223" s="145"/>
      <c r="H223" s="141"/>
      <c r="I223" s="141"/>
      <c r="J223" s="146"/>
    </row>
    <row r="224" spans="1:10" x14ac:dyDescent="0.2">
      <c r="A224" s="141"/>
      <c r="B224" s="156"/>
      <c r="C224" s="141"/>
      <c r="D224" s="141"/>
      <c r="E224" s="141"/>
      <c r="F224" s="141"/>
      <c r="G224" s="145"/>
      <c r="H224" s="141"/>
      <c r="I224" s="141"/>
      <c r="J224" s="146"/>
    </row>
    <row r="225" spans="1:10" x14ac:dyDescent="0.2">
      <c r="A225" s="141"/>
      <c r="B225" s="156"/>
      <c r="C225" s="141"/>
      <c r="D225" s="141"/>
      <c r="E225" s="141"/>
      <c r="F225" s="141"/>
      <c r="G225" s="145"/>
      <c r="H225" s="141"/>
      <c r="I225" s="141"/>
      <c r="J225" s="146"/>
    </row>
    <row r="226" spans="1:10" x14ac:dyDescent="0.2">
      <c r="A226" s="141"/>
      <c r="B226" s="156"/>
      <c r="C226" s="141"/>
      <c r="D226" s="141"/>
      <c r="E226" s="141"/>
      <c r="F226" s="141"/>
      <c r="G226" s="145"/>
      <c r="H226" s="141"/>
      <c r="I226" s="141"/>
      <c r="J226" s="146"/>
    </row>
    <row r="227" spans="1:10" x14ac:dyDescent="0.2">
      <c r="A227" s="141"/>
      <c r="B227" s="156"/>
      <c r="C227" s="141"/>
      <c r="D227" s="141"/>
      <c r="E227" s="141"/>
      <c r="F227" s="141"/>
      <c r="G227" s="145"/>
      <c r="H227" s="141"/>
      <c r="I227" s="141"/>
      <c r="J227" s="146"/>
    </row>
    <row r="228" spans="1:10" x14ac:dyDescent="0.2">
      <c r="A228" s="141"/>
      <c r="B228" s="156"/>
      <c r="C228" s="141"/>
      <c r="D228" s="141"/>
      <c r="E228" s="141"/>
      <c r="F228" s="141"/>
      <c r="G228" s="145"/>
      <c r="H228" s="141"/>
      <c r="I228" s="141"/>
      <c r="J228" s="146"/>
    </row>
    <row r="229" spans="1:10" x14ac:dyDescent="0.2">
      <c r="A229" s="141"/>
      <c r="B229" s="156"/>
      <c r="C229" s="141"/>
      <c r="D229" s="141"/>
      <c r="E229" s="141"/>
      <c r="F229" s="141"/>
      <c r="G229" s="145"/>
      <c r="H229" s="141"/>
      <c r="I229" s="141"/>
      <c r="J229" s="146"/>
    </row>
    <row r="230" spans="1:10" x14ac:dyDescent="0.2">
      <c r="A230" s="141"/>
      <c r="B230" s="156"/>
      <c r="C230" s="141"/>
      <c r="D230" s="141"/>
      <c r="E230" s="141"/>
      <c r="F230" s="141"/>
      <c r="G230" s="145"/>
      <c r="H230" s="141"/>
      <c r="I230" s="141"/>
      <c r="J230" s="146"/>
    </row>
    <row r="231" spans="1:10" x14ac:dyDescent="0.2">
      <c r="A231" s="141"/>
      <c r="B231" s="156"/>
      <c r="C231" s="141"/>
      <c r="D231" s="141"/>
      <c r="E231" s="141"/>
      <c r="F231" s="141"/>
      <c r="G231" s="145"/>
      <c r="H231" s="141"/>
      <c r="I231" s="141"/>
      <c r="J231" s="146"/>
    </row>
    <row r="232" spans="1:10" x14ac:dyDescent="0.2">
      <c r="A232" s="141"/>
      <c r="B232" s="156"/>
      <c r="C232" s="141"/>
      <c r="D232" s="141"/>
      <c r="E232" s="141"/>
      <c r="F232" s="141"/>
      <c r="G232" s="145"/>
      <c r="H232" s="141"/>
      <c r="I232" s="141"/>
      <c r="J232" s="146"/>
    </row>
    <row r="233" spans="1:10" x14ac:dyDescent="0.2">
      <c r="A233" s="141"/>
      <c r="B233" s="156"/>
      <c r="C233" s="141"/>
      <c r="D233" s="141"/>
      <c r="E233" s="141"/>
      <c r="F233" s="141"/>
      <c r="G233" s="145"/>
      <c r="H233" s="141"/>
      <c r="I233" s="141"/>
      <c r="J233" s="146"/>
    </row>
    <row r="234" spans="1:10" x14ac:dyDescent="0.2">
      <c r="A234" s="141"/>
      <c r="B234" s="156"/>
      <c r="C234" s="141"/>
      <c r="D234" s="141"/>
      <c r="E234" s="141"/>
      <c r="F234" s="141"/>
      <c r="G234" s="145"/>
      <c r="H234" s="141"/>
      <c r="I234" s="141"/>
      <c r="J234" s="146"/>
    </row>
    <row r="235" spans="1:10" x14ac:dyDescent="0.2">
      <c r="A235" s="141"/>
      <c r="B235" s="156"/>
      <c r="C235" s="141"/>
      <c r="D235" s="141"/>
      <c r="E235" s="141"/>
      <c r="F235" s="141"/>
      <c r="G235" s="145"/>
      <c r="H235" s="141"/>
      <c r="I235" s="141"/>
      <c r="J235" s="146"/>
    </row>
    <row r="236" spans="1:10" x14ac:dyDescent="0.2">
      <c r="A236" s="141"/>
      <c r="B236" s="156"/>
      <c r="C236" s="141"/>
      <c r="D236" s="141"/>
      <c r="E236" s="141"/>
      <c r="F236" s="141"/>
      <c r="G236" s="145"/>
      <c r="H236" s="141"/>
      <c r="I236" s="141"/>
      <c r="J236" s="146"/>
    </row>
    <row r="237" spans="1:10" x14ac:dyDescent="0.2">
      <c r="A237" s="141"/>
      <c r="B237" s="156"/>
      <c r="C237" s="141"/>
      <c r="D237" s="141"/>
      <c r="E237" s="141"/>
      <c r="F237" s="141"/>
      <c r="G237" s="145"/>
      <c r="H237" s="141"/>
      <c r="I237" s="141"/>
      <c r="J237" s="146"/>
    </row>
    <row r="238" spans="1:10" x14ac:dyDescent="0.2">
      <c r="A238" s="141"/>
      <c r="B238" s="156"/>
      <c r="C238" s="141"/>
      <c r="D238" s="141"/>
      <c r="E238" s="141"/>
      <c r="F238" s="141"/>
      <c r="G238" s="145"/>
      <c r="H238" s="141"/>
      <c r="I238" s="141"/>
      <c r="J238" s="146"/>
    </row>
    <row r="239" spans="1:10" x14ac:dyDescent="0.2">
      <c r="A239" s="141"/>
      <c r="B239" s="156"/>
      <c r="C239" s="141"/>
      <c r="D239" s="141"/>
      <c r="E239" s="141"/>
      <c r="F239" s="141"/>
      <c r="G239" s="145"/>
      <c r="H239" s="141"/>
      <c r="I239" s="141"/>
      <c r="J239" s="146"/>
    </row>
    <row r="240" spans="1:10" x14ac:dyDescent="0.2">
      <c r="A240" s="141"/>
      <c r="B240" s="156"/>
      <c r="C240" s="141"/>
      <c r="D240" s="141"/>
      <c r="E240" s="141"/>
      <c r="F240" s="141"/>
      <c r="G240" s="145"/>
      <c r="H240" s="141"/>
      <c r="I240" s="141"/>
      <c r="J240" s="146"/>
    </row>
    <row r="241" spans="1:10" x14ac:dyDescent="0.2">
      <c r="A241" s="141"/>
      <c r="B241" s="156"/>
      <c r="C241" s="141"/>
      <c r="D241" s="141"/>
      <c r="E241" s="141"/>
      <c r="F241" s="141"/>
      <c r="G241" s="145"/>
      <c r="H241" s="141"/>
      <c r="I241" s="141"/>
      <c r="J241" s="146"/>
    </row>
    <row r="242" spans="1:10" x14ac:dyDescent="0.2">
      <c r="A242" s="141"/>
      <c r="B242" s="156"/>
      <c r="C242" s="141"/>
      <c r="D242" s="141"/>
      <c r="E242" s="141"/>
      <c r="F242" s="141"/>
      <c r="G242" s="145"/>
      <c r="H242" s="141"/>
      <c r="I242" s="141"/>
      <c r="J242" s="146"/>
    </row>
    <row r="243" spans="1:10" x14ac:dyDescent="0.2">
      <c r="A243" s="141"/>
      <c r="B243" s="156"/>
      <c r="C243" s="141"/>
      <c r="D243" s="141"/>
      <c r="E243" s="141"/>
      <c r="F243" s="141"/>
      <c r="G243" s="145"/>
      <c r="H243" s="141"/>
      <c r="I243" s="141"/>
      <c r="J243" s="146"/>
    </row>
    <row r="244" spans="1:10" x14ac:dyDescent="0.2">
      <c r="A244" s="141"/>
      <c r="B244" s="156"/>
      <c r="C244" s="141"/>
      <c r="D244" s="141"/>
      <c r="E244" s="141"/>
      <c r="F244" s="141"/>
      <c r="G244" s="145"/>
      <c r="H244" s="141"/>
      <c r="I244" s="141"/>
      <c r="J244" s="146"/>
    </row>
    <row r="245" spans="1:10" x14ac:dyDescent="0.2">
      <c r="A245" s="141"/>
      <c r="B245" s="156"/>
      <c r="C245" s="141"/>
      <c r="D245" s="141"/>
      <c r="E245" s="141"/>
      <c r="F245" s="141"/>
      <c r="G245" s="145"/>
      <c r="H245" s="141"/>
      <c r="I245" s="141"/>
      <c r="J245" s="146"/>
    </row>
    <row r="246" spans="1:10" x14ac:dyDescent="0.2">
      <c r="A246" s="141"/>
      <c r="B246" s="156"/>
      <c r="C246" s="141"/>
      <c r="D246" s="141"/>
      <c r="E246" s="141"/>
      <c r="F246" s="141"/>
      <c r="G246" s="145"/>
      <c r="H246" s="141"/>
      <c r="I246" s="141"/>
      <c r="J246" s="146"/>
    </row>
    <row r="247" spans="1:10" x14ac:dyDescent="0.2">
      <c r="A247" s="141"/>
      <c r="B247" s="156"/>
      <c r="C247" s="141"/>
      <c r="D247" s="141"/>
      <c r="E247" s="141"/>
      <c r="F247" s="141"/>
      <c r="G247" s="145"/>
      <c r="H247" s="141"/>
      <c r="I247" s="141"/>
      <c r="J247" s="146"/>
    </row>
    <row r="248" spans="1:10" x14ac:dyDescent="0.2">
      <c r="A248" s="141"/>
      <c r="B248" s="156"/>
      <c r="C248" s="141"/>
      <c r="D248" s="141"/>
      <c r="E248" s="141"/>
      <c r="F248" s="141"/>
      <c r="G248" s="145"/>
      <c r="H248" s="141"/>
      <c r="I248" s="141"/>
      <c r="J248" s="146"/>
    </row>
    <row r="249" spans="1:10" x14ac:dyDescent="0.2">
      <c r="A249" s="141"/>
      <c r="B249" s="156"/>
      <c r="C249" s="141"/>
      <c r="D249" s="141"/>
      <c r="E249" s="141"/>
      <c r="F249" s="141"/>
      <c r="G249" s="145"/>
      <c r="H249" s="141"/>
      <c r="I249" s="141"/>
      <c r="J249" s="146"/>
    </row>
    <row r="250" spans="1:10" x14ac:dyDescent="0.2">
      <c r="A250" s="141"/>
      <c r="B250" s="156"/>
      <c r="C250" s="141"/>
      <c r="D250" s="141"/>
      <c r="E250" s="141"/>
      <c r="F250" s="141"/>
      <c r="G250" s="145"/>
      <c r="H250" s="141"/>
      <c r="I250" s="141"/>
      <c r="J250" s="146"/>
    </row>
    <row r="251" spans="1:10" x14ac:dyDescent="0.2">
      <c r="A251" s="141"/>
      <c r="B251" s="156"/>
      <c r="C251" s="141"/>
      <c r="D251" s="141"/>
      <c r="E251" s="141"/>
      <c r="F251" s="141"/>
      <c r="G251" s="145"/>
      <c r="H251" s="141"/>
      <c r="I251" s="141"/>
      <c r="J251" s="146"/>
    </row>
    <row r="252" spans="1:10" x14ac:dyDescent="0.2">
      <c r="A252" s="141"/>
      <c r="B252" s="156"/>
      <c r="C252" s="141"/>
      <c r="D252" s="141"/>
      <c r="E252" s="141"/>
      <c r="F252" s="141"/>
      <c r="G252" s="145"/>
      <c r="H252" s="141"/>
      <c r="I252" s="141"/>
      <c r="J252" s="146"/>
    </row>
    <row r="253" spans="1:10" x14ac:dyDescent="0.2">
      <c r="A253" s="141"/>
      <c r="B253" s="156"/>
      <c r="C253" s="141"/>
      <c r="D253" s="141"/>
      <c r="E253" s="141"/>
      <c r="F253" s="141"/>
      <c r="G253" s="145"/>
      <c r="H253" s="141"/>
      <c r="I253" s="141"/>
      <c r="J253" s="146"/>
    </row>
    <row r="254" spans="1:10" x14ac:dyDescent="0.2">
      <c r="A254" s="141"/>
      <c r="B254" s="156"/>
      <c r="C254" s="141"/>
      <c r="D254" s="141"/>
      <c r="E254" s="141"/>
      <c r="F254" s="141"/>
      <c r="G254" s="145"/>
      <c r="H254" s="141"/>
      <c r="I254" s="141"/>
      <c r="J254" s="146"/>
    </row>
    <row r="255" spans="1:10" x14ac:dyDescent="0.2">
      <c r="A255" s="141"/>
      <c r="B255" s="156"/>
      <c r="C255" s="141"/>
      <c r="D255" s="141"/>
      <c r="E255" s="141"/>
      <c r="F255" s="141"/>
      <c r="G255" s="145"/>
      <c r="H255" s="141"/>
      <c r="I255" s="141"/>
      <c r="J255" s="146"/>
    </row>
    <row r="256" spans="1:10" x14ac:dyDescent="0.2">
      <c r="A256" s="141"/>
      <c r="B256" s="156"/>
      <c r="C256" s="141"/>
      <c r="D256" s="141"/>
      <c r="E256" s="141"/>
      <c r="F256" s="141"/>
      <c r="G256" s="145"/>
      <c r="H256" s="141"/>
      <c r="I256" s="141"/>
      <c r="J256" s="146"/>
    </row>
    <row r="257" spans="1:10" x14ac:dyDescent="0.2">
      <c r="A257" s="141"/>
      <c r="B257" s="156"/>
      <c r="C257" s="141"/>
      <c r="D257" s="141"/>
      <c r="E257" s="141"/>
      <c r="F257" s="141"/>
      <c r="G257" s="145"/>
      <c r="H257" s="141"/>
      <c r="I257" s="141"/>
      <c r="J257" s="146"/>
    </row>
    <row r="258" spans="1:10" x14ac:dyDescent="0.2">
      <c r="A258" s="141"/>
      <c r="B258" s="156"/>
      <c r="C258" s="141"/>
      <c r="D258" s="141"/>
      <c r="E258" s="141"/>
      <c r="F258" s="141"/>
      <c r="G258" s="145"/>
      <c r="H258" s="141"/>
      <c r="I258" s="141"/>
      <c r="J258" s="146"/>
    </row>
    <row r="259" spans="1:10" x14ac:dyDescent="0.2">
      <c r="A259" s="141"/>
      <c r="B259" s="156"/>
      <c r="C259" s="141"/>
      <c r="D259" s="141"/>
      <c r="E259" s="141"/>
      <c r="F259" s="141"/>
      <c r="G259" s="145"/>
      <c r="H259" s="141"/>
      <c r="I259" s="141"/>
      <c r="J259" s="146"/>
    </row>
    <row r="260" spans="1:10" x14ac:dyDescent="0.2">
      <c r="A260" s="141"/>
      <c r="B260" s="156"/>
      <c r="C260" s="141"/>
      <c r="D260" s="141"/>
      <c r="E260" s="141"/>
      <c r="F260" s="141"/>
      <c r="G260" s="145"/>
      <c r="H260" s="141"/>
      <c r="I260" s="141"/>
      <c r="J260" s="146"/>
    </row>
    <row r="261" spans="1:10" x14ac:dyDescent="0.2">
      <c r="A261" s="141"/>
      <c r="B261" s="156"/>
      <c r="C261" s="141"/>
      <c r="D261" s="141"/>
      <c r="E261" s="141"/>
      <c r="F261" s="141"/>
      <c r="G261" s="145"/>
      <c r="H261" s="141"/>
      <c r="I261" s="141"/>
      <c r="J261" s="146"/>
    </row>
    <row r="262" spans="1:10" x14ac:dyDescent="0.2">
      <c r="A262" s="141"/>
      <c r="B262" s="156"/>
      <c r="C262" s="141"/>
      <c r="D262" s="141"/>
      <c r="E262" s="141"/>
      <c r="F262" s="141"/>
      <c r="G262" s="145"/>
      <c r="H262" s="141"/>
      <c r="I262" s="141"/>
      <c r="J262" s="146"/>
    </row>
    <row r="263" spans="1:10" x14ac:dyDescent="0.2">
      <c r="A263" s="141"/>
      <c r="B263" s="156"/>
      <c r="C263" s="141"/>
      <c r="D263" s="141"/>
      <c r="E263" s="141"/>
      <c r="F263" s="141"/>
      <c r="G263" s="145"/>
      <c r="H263" s="141"/>
      <c r="I263" s="141"/>
      <c r="J263" s="146"/>
    </row>
    <row r="264" spans="1:10" x14ac:dyDescent="0.2">
      <c r="A264" s="141"/>
      <c r="B264" s="156"/>
      <c r="C264" s="141"/>
      <c r="D264" s="141"/>
      <c r="E264" s="141"/>
      <c r="F264" s="141"/>
      <c r="G264" s="145"/>
      <c r="H264" s="141"/>
      <c r="I264" s="141"/>
      <c r="J264" s="146"/>
    </row>
    <row r="265" spans="1:10" x14ac:dyDescent="0.2">
      <c r="A265" s="141"/>
      <c r="B265" s="156"/>
      <c r="C265" s="141"/>
      <c r="D265" s="141"/>
      <c r="E265" s="141"/>
      <c r="F265" s="141"/>
      <c r="G265" s="145"/>
      <c r="H265" s="141"/>
      <c r="I265" s="141"/>
      <c r="J265" s="146"/>
    </row>
    <row r="266" spans="1:10" x14ac:dyDescent="0.2">
      <c r="A266" s="141"/>
      <c r="B266" s="156"/>
      <c r="C266" s="141"/>
      <c r="D266" s="141"/>
      <c r="E266" s="141"/>
      <c r="F266" s="141"/>
      <c r="G266" s="145"/>
      <c r="H266" s="141"/>
      <c r="I266" s="141"/>
      <c r="J266" s="146"/>
    </row>
    <row r="267" spans="1:10" x14ac:dyDescent="0.2">
      <c r="A267" s="141"/>
      <c r="B267" s="156"/>
      <c r="C267" s="141"/>
      <c r="D267" s="141"/>
      <c r="E267" s="141"/>
      <c r="F267" s="141"/>
      <c r="G267" s="145"/>
      <c r="H267" s="141"/>
      <c r="I267" s="141"/>
      <c r="J267" s="146"/>
    </row>
    <row r="268" spans="1:10" x14ac:dyDescent="0.2">
      <c r="A268" s="141"/>
      <c r="B268" s="156"/>
      <c r="C268" s="141"/>
      <c r="D268" s="141"/>
      <c r="E268" s="141"/>
      <c r="F268" s="141"/>
      <c r="G268" s="145"/>
      <c r="H268" s="141"/>
      <c r="I268" s="141"/>
      <c r="J268" s="146"/>
    </row>
    <row r="269" spans="1:10" x14ac:dyDescent="0.2">
      <c r="A269" s="141"/>
      <c r="B269" s="156"/>
      <c r="C269" s="141"/>
      <c r="D269" s="141"/>
      <c r="E269" s="141"/>
      <c r="F269" s="141"/>
      <c r="G269" s="145"/>
      <c r="H269" s="141"/>
      <c r="I269" s="141"/>
      <c r="J269" s="146"/>
    </row>
    <row r="270" spans="1:10" x14ac:dyDescent="0.2">
      <c r="A270" s="141"/>
      <c r="B270" s="156"/>
      <c r="C270" s="141"/>
      <c r="D270" s="141"/>
      <c r="E270" s="141"/>
      <c r="F270" s="141"/>
      <c r="G270" s="145"/>
      <c r="H270" s="141"/>
      <c r="I270" s="141"/>
      <c r="J270" s="146"/>
    </row>
    <row r="271" spans="1:10" x14ac:dyDescent="0.2">
      <c r="A271" s="141"/>
      <c r="B271" s="156"/>
      <c r="C271" s="141"/>
      <c r="D271" s="141"/>
      <c r="E271" s="141"/>
      <c r="F271" s="141"/>
      <c r="G271" s="145"/>
      <c r="H271" s="141"/>
      <c r="I271" s="141"/>
      <c r="J271" s="146"/>
    </row>
    <row r="272" spans="1:10" x14ac:dyDescent="0.2">
      <c r="A272" s="141"/>
      <c r="B272" s="156"/>
      <c r="C272" s="141"/>
      <c r="D272" s="141"/>
      <c r="E272" s="141"/>
      <c r="F272" s="141"/>
      <c r="G272" s="145"/>
      <c r="H272" s="141"/>
      <c r="I272" s="141"/>
      <c r="J272" s="146"/>
    </row>
    <row r="273" spans="1:10" x14ac:dyDescent="0.2">
      <c r="A273" s="141"/>
      <c r="B273" s="156"/>
      <c r="C273" s="141"/>
      <c r="D273" s="141"/>
      <c r="E273" s="141"/>
      <c r="F273" s="141"/>
      <c r="G273" s="145"/>
      <c r="H273" s="141"/>
      <c r="I273" s="141"/>
      <c r="J273" s="146"/>
    </row>
    <row r="274" spans="1:10" x14ac:dyDescent="0.2">
      <c r="A274" s="141"/>
      <c r="B274" s="156"/>
      <c r="C274" s="141"/>
      <c r="D274" s="141"/>
      <c r="E274" s="141"/>
      <c r="F274" s="141"/>
      <c r="G274" s="145"/>
      <c r="H274" s="141"/>
      <c r="I274" s="141"/>
      <c r="J274" s="146"/>
    </row>
    <row r="275" spans="1:10" x14ac:dyDescent="0.2">
      <c r="A275" s="141"/>
      <c r="B275" s="156"/>
      <c r="C275" s="141"/>
      <c r="D275" s="141"/>
      <c r="E275" s="141"/>
      <c r="F275" s="141"/>
      <c r="G275" s="145"/>
      <c r="H275" s="141"/>
      <c r="I275" s="141"/>
      <c r="J275" s="146"/>
    </row>
    <row r="276" spans="1:10" x14ac:dyDescent="0.2">
      <c r="A276" s="141"/>
      <c r="B276" s="156"/>
      <c r="C276" s="141"/>
      <c r="D276" s="141"/>
      <c r="E276" s="141"/>
      <c r="F276" s="141"/>
      <c r="G276" s="145"/>
      <c r="H276" s="141"/>
      <c r="I276" s="141"/>
      <c r="J276" s="146"/>
    </row>
    <row r="277" spans="1:10" x14ac:dyDescent="0.2">
      <c r="A277" s="141"/>
      <c r="B277" s="156"/>
      <c r="C277" s="141"/>
      <c r="D277" s="141"/>
      <c r="E277" s="141"/>
      <c r="F277" s="141"/>
      <c r="G277" s="145"/>
      <c r="H277" s="141"/>
      <c r="I277" s="141"/>
      <c r="J277" s="146"/>
    </row>
    <row r="278" spans="1:10" x14ac:dyDescent="0.2">
      <c r="A278" s="141"/>
      <c r="B278" s="156"/>
      <c r="C278" s="141"/>
      <c r="D278" s="141"/>
      <c r="E278" s="141"/>
      <c r="F278" s="141"/>
      <c r="G278" s="145"/>
      <c r="H278" s="141"/>
      <c r="I278" s="141"/>
      <c r="J278" s="146"/>
    </row>
    <row r="279" spans="1:10" x14ac:dyDescent="0.2">
      <c r="A279" s="141"/>
      <c r="B279" s="156"/>
      <c r="C279" s="141"/>
      <c r="D279" s="141"/>
      <c r="E279" s="141"/>
      <c r="F279" s="141"/>
      <c r="G279" s="145"/>
      <c r="H279" s="141"/>
      <c r="I279" s="141"/>
      <c r="J279" s="146"/>
    </row>
    <row r="280" spans="1:10" x14ac:dyDescent="0.2">
      <c r="A280" s="141"/>
      <c r="B280" s="156"/>
      <c r="C280" s="141"/>
      <c r="D280" s="141"/>
      <c r="E280" s="141"/>
      <c r="F280" s="141"/>
      <c r="G280" s="145"/>
      <c r="H280" s="141"/>
      <c r="I280" s="141"/>
      <c r="J280" s="146"/>
    </row>
    <row r="281" spans="1:10" x14ac:dyDescent="0.2">
      <c r="A281" s="141"/>
      <c r="B281" s="156"/>
      <c r="C281" s="141"/>
      <c r="D281" s="141"/>
      <c r="E281" s="141"/>
      <c r="F281" s="141"/>
      <c r="G281" s="145"/>
      <c r="H281" s="141"/>
      <c r="I281" s="141"/>
      <c r="J281" s="146"/>
    </row>
    <row r="282" spans="1:10" x14ac:dyDescent="0.2">
      <c r="A282" s="141"/>
      <c r="B282" s="156"/>
      <c r="C282" s="141"/>
      <c r="D282" s="141"/>
      <c r="E282" s="141"/>
      <c r="F282" s="141"/>
      <c r="G282" s="145"/>
      <c r="H282" s="141"/>
      <c r="I282" s="141"/>
      <c r="J282" s="146"/>
    </row>
    <row r="283" spans="1:10" x14ac:dyDescent="0.2">
      <c r="A283" s="141"/>
      <c r="B283" s="156"/>
      <c r="C283" s="141"/>
      <c r="D283" s="141"/>
      <c r="E283" s="141"/>
      <c r="F283" s="141"/>
      <c r="G283" s="145"/>
      <c r="H283" s="141"/>
      <c r="I283" s="141"/>
      <c r="J283" s="146"/>
    </row>
    <row r="284" spans="1:10" x14ac:dyDescent="0.2">
      <c r="A284" s="141"/>
      <c r="B284" s="156"/>
      <c r="C284" s="141"/>
      <c r="D284" s="141"/>
      <c r="E284" s="141"/>
      <c r="F284" s="141"/>
      <c r="G284" s="145"/>
      <c r="H284" s="141"/>
      <c r="I284" s="141"/>
      <c r="J284" s="146"/>
    </row>
    <row r="285" spans="1:10" x14ac:dyDescent="0.2">
      <c r="A285" s="141"/>
      <c r="B285" s="156"/>
      <c r="C285" s="141"/>
      <c r="D285" s="141"/>
      <c r="E285" s="141"/>
      <c r="F285" s="141"/>
      <c r="G285" s="145"/>
      <c r="H285" s="141"/>
      <c r="I285" s="141"/>
      <c r="J285" s="146"/>
    </row>
    <row r="286" spans="1:10" x14ac:dyDescent="0.2">
      <c r="A286" s="141"/>
      <c r="B286" s="156"/>
      <c r="C286" s="141"/>
      <c r="D286" s="141"/>
      <c r="E286" s="141"/>
      <c r="F286" s="141"/>
      <c r="G286" s="145"/>
      <c r="H286" s="141"/>
      <c r="I286" s="141"/>
      <c r="J286" s="146"/>
    </row>
    <row r="287" spans="1:10" x14ac:dyDescent="0.2">
      <c r="A287" s="141"/>
      <c r="B287" s="156"/>
      <c r="C287" s="141"/>
      <c r="D287" s="141"/>
      <c r="E287" s="141"/>
      <c r="F287" s="141"/>
      <c r="G287" s="145"/>
      <c r="H287" s="141"/>
      <c r="I287" s="141"/>
      <c r="J287" s="146"/>
    </row>
    <row r="288" spans="1:10" x14ac:dyDescent="0.2">
      <c r="A288" s="141"/>
      <c r="B288" s="156"/>
      <c r="C288" s="141"/>
      <c r="D288" s="141"/>
      <c r="E288" s="141"/>
      <c r="F288" s="141"/>
      <c r="G288" s="145"/>
      <c r="H288" s="141"/>
      <c r="I288" s="141"/>
      <c r="J288" s="146"/>
    </row>
    <row r="289" spans="1:10" x14ac:dyDescent="0.2">
      <c r="A289" s="141"/>
      <c r="B289" s="156"/>
      <c r="C289" s="141"/>
      <c r="D289" s="141"/>
      <c r="E289" s="141"/>
      <c r="F289" s="141"/>
      <c r="G289" s="145"/>
      <c r="H289" s="141"/>
      <c r="I289" s="141"/>
      <c r="J289" s="146"/>
    </row>
    <row r="290" spans="1:10" x14ac:dyDescent="0.2">
      <c r="A290" s="141"/>
      <c r="B290" s="156"/>
      <c r="C290" s="141"/>
      <c r="D290" s="141"/>
      <c r="E290" s="141"/>
      <c r="F290" s="141"/>
      <c r="G290" s="145"/>
      <c r="H290" s="141"/>
      <c r="I290" s="141"/>
      <c r="J290" s="146"/>
    </row>
    <row r="291" spans="1:10" x14ac:dyDescent="0.2">
      <c r="A291" s="141"/>
      <c r="B291" s="156"/>
      <c r="C291" s="141"/>
      <c r="D291" s="141"/>
      <c r="E291" s="141"/>
      <c r="F291" s="141"/>
      <c r="G291" s="145"/>
      <c r="H291" s="141"/>
      <c r="I291" s="141"/>
      <c r="J291" s="146"/>
    </row>
    <row r="292" spans="1:10" x14ac:dyDescent="0.2">
      <c r="A292" s="141"/>
      <c r="B292" s="156"/>
      <c r="C292" s="141"/>
      <c r="D292" s="141"/>
      <c r="E292" s="141"/>
      <c r="F292" s="141"/>
      <c r="G292" s="145"/>
      <c r="H292" s="141"/>
      <c r="I292" s="141"/>
      <c r="J292" s="146"/>
    </row>
    <row r="293" spans="1:10" x14ac:dyDescent="0.2">
      <c r="A293" s="141"/>
      <c r="B293" s="156"/>
      <c r="C293" s="141"/>
      <c r="D293" s="141"/>
      <c r="E293" s="141"/>
      <c r="F293" s="141"/>
      <c r="G293" s="145"/>
      <c r="H293" s="141"/>
      <c r="I293" s="141"/>
      <c r="J293" s="146"/>
    </row>
    <row r="294" spans="1:10" x14ac:dyDescent="0.2">
      <c r="A294" s="141"/>
      <c r="B294" s="156"/>
      <c r="C294" s="141"/>
      <c r="D294" s="141"/>
      <c r="E294" s="141"/>
      <c r="F294" s="141"/>
      <c r="G294" s="145"/>
      <c r="H294" s="141"/>
      <c r="I294" s="141"/>
      <c r="J294" s="146"/>
    </row>
    <row r="295" spans="1:10" x14ac:dyDescent="0.2">
      <c r="A295" s="141"/>
      <c r="B295" s="156"/>
      <c r="C295" s="141"/>
      <c r="D295" s="141"/>
      <c r="E295" s="141"/>
      <c r="F295" s="141"/>
      <c r="G295" s="145"/>
      <c r="H295" s="141"/>
      <c r="I295" s="141"/>
      <c r="J295" s="146"/>
    </row>
    <row r="296" spans="1:10" x14ac:dyDescent="0.2">
      <c r="A296" s="141"/>
      <c r="B296" s="156"/>
      <c r="C296" s="141"/>
      <c r="D296" s="141"/>
      <c r="E296" s="141"/>
      <c r="F296" s="141"/>
      <c r="G296" s="145"/>
      <c r="H296" s="141"/>
      <c r="I296" s="141"/>
      <c r="J296" s="146"/>
    </row>
    <row r="297" spans="1:10" x14ac:dyDescent="0.2">
      <c r="A297" s="141"/>
      <c r="B297" s="156"/>
      <c r="C297" s="141"/>
      <c r="D297" s="141"/>
      <c r="E297" s="141"/>
      <c r="F297" s="141"/>
      <c r="G297" s="145"/>
      <c r="H297" s="141"/>
      <c r="I297" s="141"/>
      <c r="J297" s="146"/>
    </row>
    <row r="298" spans="1:10" x14ac:dyDescent="0.2">
      <c r="A298" s="141"/>
      <c r="B298" s="156"/>
      <c r="C298" s="141"/>
      <c r="D298" s="141"/>
      <c r="E298" s="141"/>
      <c r="F298" s="141"/>
      <c r="G298" s="145"/>
      <c r="H298" s="141"/>
      <c r="I298" s="141"/>
      <c r="J298" s="146"/>
    </row>
    <row r="299" spans="1:10" x14ac:dyDescent="0.2">
      <c r="A299" s="141"/>
      <c r="B299" s="156"/>
      <c r="C299" s="141"/>
      <c r="D299" s="141"/>
      <c r="E299" s="141"/>
      <c r="F299" s="141"/>
      <c r="G299" s="145"/>
      <c r="H299" s="141"/>
      <c r="I299" s="141"/>
      <c r="J299" s="146"/>
    </row>
    <row r="300" spans="1:10" x14ac:dyDescent="0.2">
      <c r="A300" s="141"/>
      <c r="B300" s="156"/>
      <c r="C300" s="141"/>
      <c r="D300" s="141"/>
      <c r="E300" s="141"/>
      <c r="F300" s="141"/>
      <c r="G300" s="145"/>
      <c r="H300" s="141"/>
      <c r="I300" s="141"/>
      <c r="J300" s="146"/>
    </row>
    <row r="301" spans="1:10" x14ac:dyDescent="0.2">
      <c r="A301" s="141"/>
      <c r="B301" s="156"/>
      <c r="C301" s="141"/>
      <c r="D301" s="141"/>
      <c r="E301" s="141"/>
      <c r="F301" s="141"/>
      <c r="G301" s="145"/>
      <c r="H301" s="141"/>
      <c r="I301" s="141"/>
      <c r="J301" s="146"/>
    </row>
    <row r="302" spans="1:10" x14ac:dyDescent="0.2">
      <c r="A302" s="141"/>
      <c r="B302" s="156"/>
      <c r="C302" s="141"/>
      <c r="D302" s="141"/>
      <c r="E302" s="141"/>
      <c r="F302" s="141"/>
      <c r="G302" s="145"/>
      <c r="H302" s="141"/>
      <c r="I302" s="141"/>
      <c r="J302" s="146"/>
    </row>
    <row r="303" spans="1:10" x14ac:dyDescent="0.2">
      <c r="A303" s="141"/>
      <c r="B303" s="156"/>
      <c r="C303" s="141"/>
      <c r="D303" s="141"/>
      <c r="E303" s="141"/>
      <c r="F303" s="141"/>
      <c r="G303" s="145"/>
      <c r="H303" s="141"/>
      <c r="I303" s="141"/>
      <c r="J303" s="146"/>
    </row>
    <row r="304" spans="1:10" x14ac:dyDescent="0.2">
      <c r="A304" s="141"/>
      <c r="B304" s="156"/>
      <c r="C304" s="141"/>
      <c r="D304" s="141"/>
      <c r="E304" s="141"/>
      <c r="F304" s="141"/>
      <c r="G304" s="145"/>
      <c r="H304" s="141"/>
      <c r="I304" s="141"/>
      <c r="J304" s="146"/>
    </row>
    <row r="305" spans="1:10" x14ac:dyDescent="0.2">
      <c r="A305" s="141"/>
      <c r="B305" s="156"/>
      <c r="C305" s="141"/>
      <c r="D305" s="141"/>
      <c r="E305" s="141"/>
      <c r="F305" s="141"/>
      <c r="G305" s="145"/>
      <c r="H305" s="141"/>
      <c r="I305" s="141"/>
      <c r="J305" s="146"/>
    </row>
    <row r="306" spans="1:10" x14ac:dyDescent="0.2">
      <c r="A306" s="141"/>
      <c r="B306" s="156"/>
      <c r="C306" s="141"/>
      <c r="D306" s="141"/>
      <c r="E306" s="141"/>
      <c r="F306" s="141"/>
      <c r="G306" s="145"/>
      <c r="H306" s="141"/>
      <c r="I306" s="141"/>
      <c r="J306" s="146"/>
    </row>
    <row r="307" spans="1:10" x14ac:dyDescent="0.2">
      <c r="A307" s="141"/>
      <c r="B307" s="156"/>
      <c r="C307" s="141"/>
      <c r="D307" s="141"/>
      <c r="E307" s="141"/>
      <c r="F307" s="141"/>
      <c r="G307" s="145"/>
      <c r="H307" s="141"/>
      <c r="I307" s="141"/>
      <c r="J307" s="146"/>
    </row>
    <row r="308" spans="1:10" x14ac:dyDescent="0.2">
      <c r="A308" s="141"/>
      <c r="B308" s="156"/>
      <c r="C308" s="141"/>
      <c r="D308" s="141"/>
      <c r="E308" s="141"/>
      <c r="F308" s="141"/>
      <c r="G308" s="145"/>
      <c r="H308" s="141"/>
      <c r="I308" s="141"/>
      <c r="J308" s="146"/>
    </row>
    <row r="309" spans="1:10" x14ac:dyDescent="0.2">
      <c r="A309" s="141"/>
      <c r="B309" s="156"/>
      <c r="C309" s="141"/>
      <c r="D309" s="141"/>
      <c r="E309" s="141"/>
      <c r="F309" s="141"/>
      <c r="G309" s="145"/>
      <c r="H309" s="141"/>
      <c r="I309" s="141"/>
      <c r="J309" s="146"/>
    </row>
    <row r="310" spans="1:10" x14ac:dyDescent="0.2">
      <c r="A310" s="141"/>
      <c r="B310" s="156"/>
      <c r="C310" s="141"/>
      <c r="D310" s="141"/>
      <c r="E310" s="141"/>
      <c r="F310" s="141"/>
      <c r="G310" s="145"/>
      <c r="H310" s="141"/>
      <c r="I310" s="141"/>
      <c r="J310" s="146"/>
    </row>
    <row r="311" spans="1:10" x14ac:dyDescent="0.2">
      <c r="A311" s="141"/>
      <c r="B311" s="156"/>
      <c r="C311" s="141"/>
      <c r="D311" s="141"/>
      <c r="E311" s="141"/>
      <c r="F311" s="141"/>
      <c r="G311" s="145"/>
      <c r="H311" s="141"/>
      <c r="I311" s="141"/>
      <c r="J311" s="146"/>
    </row>
    <row r="312" spans="1:10" x14ac:dyDescent="0.2">
      <c r="A312" s="141"/>
      <c r="B312" s="156"/>
      <c r="C312" s="141"/>
      <c r="D312" s="141"/>
      <c r="E312" s="141"/>
      <c r="F312" s="141"/>
      <c r="G312" s="145"/>
      <c r="H312" s="141"/>
      <c r="I312" s="141"/>
      <c r="J312" s="146"/>
    </row>
    <row r="313" spans="1:10" x14ac:dyDescent="0.2">
      <c r="A313" s="141"/>
      <c r="B313" s="156"/>
      <c r="C313" s="141"/>
      <c r="D313" s="141"/>
      <c r="E313" s="141"/>
      <c r="F313" s="141"/>
      <c r="G313" s="145"/>
      <c r="H313" s="141"/>
      <c r="I313" s="141"/>
      <c r="J313" s="146"/>
    </row>
    <row r="314" spans="1:10" x14ac:dyDescent="0.2">
      <c r="A314" s="141"/>
      <c r="B314" s="156"/>
      <c r="C314" s="141"/>
      <c r="D314" s="141"/>
      <c r="E314" s="141"/>
      <c r="F314" s="141"/>
      <c r="G314" s="145"/>
      <c r="H314" s="141"/>
      <c r="I314" s="141"/>
      <c r="J314" s="146"/>
    </row>
    <row r="315" spans="1:10" x14ac:dyDescent="0.2">
      <c r="A315" s="141"/>
      <c r="B315" s="156"/>
      <c r="C315" s="141"/>
      <c r="D315" s="141"/>
      <c r="E315" s="141"/>
      <c r="F315" s="141"/>
      <c r="G315" s="145"/>
      <c r="H315" s="141"/>
      <c r="I315" s="141"/>
      <c r="J315" s="146"/>
    </row>
    <row r="316" spans="1:10" x14ac:dyDescent="0.2">
      <c r="A316" s="141"/>
      <c r="B316" s="156"/>
      <c r="C316" s="141"/>
      <c r="D316" s="141"/>
      <c r="E316" s="141"/>
      <c r="F316" s="141"/>
      <c r="G316" s="145"/>
      <c r="H316" s="141"/>
      <c r="I316" s="141"/>
      <c r="J316" s="146"/>
    </row>
    <row r="317" spans="1:10" x14ac:dyDescent="0.2">
      <c r="A317" s="141"/>
      <c r="B317" s="156"/>
      <c r="C317" s="141"/>
      <c r="D317" s="141"/>
      <c r="E317" s="141"/>
      <c r="F317" s="141"/>
      <c r="G317" s="145"/>
      <c r="H317" s="141"/>
      <c r="I317" s="141"/>
      <c r="J317" s="146"/>
    </row>
    <row r="318" spans="1:10" x14ac:dyDescent="0.2">
      <c r="A318" s="141"/>
      <c r="B318" s="156"/>
      <c r="C318" s="141"/>
      <c r="D318" s="141"/>
      <c r="E318" s="141"/>
      <c r="F318" s="141"/>
      <c r="G318" s="145"/>
      <c r="H318" s="141"/>
      <c r="I318" s="141"/>
      <c r="J318" s="146"/>
    </row>
    <row r="319" spans="1:10" x14ac:dyDescent="0.2">
      <c r="A319" s="141"/>
      <c r="B319" s="156"/>
      <c r="C319" s="141"/>
      <c r="D319" s="141"/>
      <c r="E319" s="141"/>
      <c r="F319" s="141"/>
      <c r="G319" s="145"/>
      <c r="H319" s="141"/>
      <c r="I319" s="141"/>
      <c r="J319" s="146"/>
    </row>
    <row r="320" spans="1:10" x14ac:dyDescent="0.2">
      <c r="A320" s="141"/>
      <c r="B320" s="156"/>
      <c r="C320" s="141"/>
      <c r="D320" s="141"/>
      <c r="E320" s="141"/>
      <c r="F320" s="141"/>
      <c r="G320" s="145"/>
      <c r="H320" s="141"/>
      <c r="I320" s="141"/>
      <c r="J320" s="146"/>
    </row>
    <row r="321" spans="1:10" x14ac:dyDescent="0.2">
      <c r="A321" s="141"/>
      <c r="B321" s="156"/>
      <c r="C321" s="141"/>
      <c r="D321" s="141"/>
      <c r="E321" s="141"/>
      <c r="F321" s="141"/>
      <c r="G321" s="145"/>
      <c r="H321" s="141"/>
      <c r="I321" s="141"/>
      <c r="J321" s="146"/>
    </row>
    <row r="322" spans="1:10" x14ac:dyDescent="0.2">
      <c r="A322" s="141"/>
      <c r="B322" s="156"/>
      <c r="C322" s="141"/>
      <c r="D322" s="141"/>
      <c r="E322" s="141"/>
      <c r="F322" s="141"/>
      <c r="G322" s="145"/>
      <c r="H322" s="141"/>
      <c r="I322" s="141"/>
      <c r="J322" s="146"/>
    </row>
    <row r="323" spans="1:10" x14ac:dyDescent="0.2">
      <c r="A323" s="141"/>
      <c r="B323" s="156"/>
      <c r="C323" s="141"/>
      <c r="D323" s="141"/>
      <c r="E323" s="141"/>
      <c r="F323" s="141"/>
      <c r="G323" s="145"/>
      <c r="H323" s="141"/>
      <c r="I323" s="141"/>
      <c r="J323" s="146"/>
    </row>
    <row r="324" spans="1:10" x14ac:dyDescent="0.2">
      <c r="A324" s="141"/>
      <c r="B324" s="156"/>
      <c r="C324" s="141"/>
      <c r="D324" s="141"/>
      <c r="E324" s="141"/>
      <c r="F324" s="141"/>
      <c r="G324" s="145"/>
      <c r="H324" s="141"/>
      <c r="I324" s="141"/>
      <c r="J324" s="146"/>
    </row>
    <row r="325" spans="1:10" x14ac:dyDescent="0.2">
      <c r="A325" s="141"/>
      <c r="B325" s="156"/>
      <c r="C325" s="141"/>
      <c r="D325" s="141"/>
      <c r="E325" s="141"/>
      <c r="F325" s="141"/>
      <c r="G325" s="145"/>
      <c r="H325" s="141"/>
      <c r="I325" s="141"/>
      <c r="J325" s="146"/>
    </row>
    <row r="326" spans="1:10" x14ac:dyDescent="0.2">
      <c r="A326" s="141"/>
      <c r="I326" s="141"/>
      <c r="J326" s="146"/>
    </row>
    <row r="327" spans="1:10" x14ac:dyDescent="0.2">
      <c r="A327" s="141"/>
      <c r="I327" s="141"/>
      <c r="J327" s="146"/>
    </row>
  </sheetData>
  <sheetProtection sheet="1"/>
  <mergeCells count="34">
    <mergeCell ref="F6:H6"/>
    <mergeCell ref="B152:C152"/>
    <mergeCell ref="F13:H13"/>
    <mergeCell ref="F14:H14"/>
    <mergeCell ref="F15:H15"/>
    <mergeCell ref="F16:H16"/>
    <mergeCell ref="F17:H17"/>
    <mergeCell ref="F18:H18"/>
    <mergeCell ref="F7:H7"/>
    <mergeCell ref="B127:C127"/>
    <mergeCell ref="B144:C144"/>
    <mergeCell ref="F8:H8"/>
    <mergeCell ref="F9:H9"/>
    <mergeCell ref="F10:H10"/>
    <mergeCell ref="F11:H11"/>
    <mergeCell ref="F12:H12"/>
    <mergeCell ref="D182:F182"/>
    <mergeCell ref="D40:F40"/>
    <mergeCell ref="D132:F132"/>
    <mergeCell ref="B182:C182"/>
    <mergeCell ref="B115:C115"/>
    <mergeCell ref="B67:C67"/>
    <mergeCell ref="B79:C79"/>
    <mergeCell ref="B102:C102"/>
    <mergeCell ref="B139:C139"/>
    <mergeCell ref="B164:C164"/>
    <mergeCell ref="B42:C42"/>
    <mergeCell ref="B51:C51"/>
    <mergeCell ref="B157:C157"/>
    <mergeCell ref="B87:C87"/>
    <mergeCell ref="B134:C134"/>
    <mergeCell ref="B19:H19"/>
    <mergeCell ref="D20:H20"/>
    <mergeCell ref="D155:F155"/>
  </mergeCells>
  <phoneticPr fontId="2" type="noConversion"/>
  <conditionalFormatting sqref="D116">
    <cfRule type="cellIs" dxfId="2" priority="1" stopIfTrue="1" operator="greaterThan">
      <formula>0.05</formula>
    </cfRule>
  </conditionalFormatting>
  <dataValidations count="1">
    <dataValidation type="list" errorStyle="warning" allowBlank="1" showInputMessage="1" showErrorMessage="1" errorTitle="Select" error="Select a device from list" promptTitle="Select" prompt="Please select a device." sqref="D4" xr:uid="{E43FB657-6FC7-4B49-B1A6-06BA72EBEDE2}">
      <formula1>$B$4:$B$5</formula1>
    </dataValidation>
  </dataValidations>
  <pageMargins left="0.75" right="0.75" top="1" bottom="1" header="0.5" footer="0.5"/>
  <pageSetup scale="6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185" r:id="rId4">
          <objectPr defaultSize="0" autoPict="0" r:id="rId5">
            <anchor moveWithCells="1">
              <from>
                <xdr:col>6</xdr:col>
                <xdr:colOff>142875</xdr:colOff>
                <xdr:row>19</xdr:row>
                <xdr:rowOff>9525</xdr:rowOff>
              </from>
              <to>
                <xdr:col>7</xdr:col>
                <xdr:colOff>6477000</xdr:colOff>
                <xdr:row>38</xdr:row>
                <xdr:rowOff>209550</xdr:rowOff>
              </to>
            </anchor>
          </objectPr>
        </oleObject>
      </mc:Choice>
      <mc:Fallback>
        <oleObject progId="Visio.Drawing.11" shapeId="21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8555-6B51-466A-AEA5-64AA010CBD9F}">
  <dimension ref="A2:AJ612"/>
  <sheetViews>
    <sheetView tabSelected="1" zoomScale="85" zoomScaleNormal="85" workbookViewId="0">
      <selection activeCell="M66" sqref="M66"/>
    </sheetView>
  </sheetViews>
  <sheetFormatPr defaultRowHeight="12.75" x14ac:dyDescent="0.2"/>
  <cols>
    <col min="1" max="1" width="2.7109375" style="220" customWidth="1"/>
    <col min="2" max="2" width="9.85546875" style="221" bestFit="1" customWidth="1"/>
    <col min="3" max="3" width="13.5703125" style="220" bestFit="1" customWidth="1"/>
    <col min="4" max="4" width="9.5703125" style="220" bestFit="1" customWidth="1"/>
    <col min="5" max="5" width="7.140625" style="220" customWidth="1"/>
    <col min="6" max="6" width="16.7109375" style="221" customWidth="1"/>
    <col min="7" max="7" width="7.42578125" style="220" bestFit="1" customWidth="1"/>
    <col min="8" max="8" width="3.28515625" style="220" bestFit="1" customWidth="1"/>
    <col min="9" max="9" width="9.28515625" style="227" bestFit="1" customWidth="1"/>
    <col min="10" max="11" width="9.140625" style="227" customWidth="1"/>
    <col min="12" max="12" width="12" style="227" bestFit="1" customWidth="1"/>
    <col min="13" max="13" width="9.140625" style="227" customWidth="1"/>
    <col min="14" max="16" width="14.5703125" style="227" customWidth="1"/>
    <col min="17" max="17" width="9.140625" style="227" customWidth="1"/>
    <col min="18" max="21" width="19.5703125" style="227" customWidth="1"/>
    <col min="22" max="22" width="13.42578125" style="227" bestFit="1" customWidth="1"/>
    <col min="23" max="23" width="15" style="227" bestFit="1" customWidth="1"/>
    <col min="24" max="27" width="19.5703125" style="227" customWidth="1"/>
    <col min="28" max="28" width="13.42578125" style="227" bestFit="1" customWidth="1"/>
    <col min="29" max="29" width="15" style="227" bestFit="1" customWidth="1"/>
    <col min="30" max="30" width="12.85546875" style="227" bestFit="1" customWidth="1"/>
    <col min="31" max="31" width="12.28515625" style="227" bestFit="1" customWidth="1"/>
    <col min="32" max="33" width="12.85546875" style="227" bestFit="1" customWidth="1"/>
    <col min="34" max="34" width="12" style="227" bestFit="1" customWidth="1"/>
    <col min="35" max="36" width="9.140625" style="227"/>
    <col min="37" max="16384" width="9.140625" style="220"/>
  </cols>
  <sheetData>
    <row r="2" spans="2:35" ht="18" x14ac:dyDescent="0.25">
      <c r="B2" s="268" t="s">
        <v>130</v>
      </c>
      <c r="C2" s="268"/>
      <c r="D2" s="268"/>
      <c r="E2" s="268" t="s">
        <v>139</v>
      </c>
      <c r="F2" s="268"/>
      <c r="G2" s="268"/>
      <c r="J2" s="228"/>
    </row>
    <row r="3" spans="2:35" x14ac:dyDescent="0.2">
      <c r="B3" s="221" t="s">
        <v>191</v>
      </c>
      <c r="C3" s="102">
        <f>Vin_Min</f>
        <v>5.5</v>
      </c>
      <c r="D3" s="220" t="s">
        <v>3</v>
      </c>
      <c r="E3" s="221" t="s">
        <v>53</v>
      </c>
      <c r="F3" s="247">
        <f>C3</f>
        <v>5.5</v>
      </c>
      <c r="G3" s="220" t="s">
        <v>3</v>
      </c>
      <c r="K3" s="227" t="s">
        <v>15</v>
      </c>
      <c r="L3" s="227" t="s">
        <v>140</v>
      </c>
      <c r="N3" s="227" t="s">
        <v>167</v>
      </c>
      <c r="O3" s="227" t="s">
        <v>166</v>
      </c>
      <c r="P3" s="227" t="s">
        <v>25</v>
      </c>
      <c r="Q3" s="227" t="s">
        <v>15</v>
      </c>
      <c r="R3" s="227" t="s">
        <v>151</v>
      </c>
      <c r="S3" s="227" t="s">
        <v>152</v>
      </c>
      <c r="T3" s="227" t="s">
        <v>153</v>
      </c>
      <c r="U3" s="227" t="s">
        <v>154</v>
      </c>
      <c r="V3" s="227" t="s">
        <v>144</v>
      </c>
      <c r="W3" s="227" t="s">
        <v>145</v>
      </c>
      <c r="X3" s="227" t="s">
        <v>155</v>
      </c>
      <c r="Y3" s="227" t="s">
        <v>157</v>
      </c>
      <c r="Z3" s="227" t="s">
        <v>156</v>
      </c>
      <c r="AA3" s="227" t="s">
        <v>158</v>
      </c>
      <c r="AB3" s="227" t="s">
        <v>159</v>
      </c>
      <c r="AC3" s="227" t="s">
        <v>160</v>
      </c>
      <c r="AD3" s="227" t="s">
        <v>162</v>
      </c>
      <c r="AE3" s="227" t="s">
        <v>163</v>
      </c>
      <c r="AF3" s="227" t="s">
        <v>164</v>
      </c>
      <c r="AG3" s="227" t="s">
        <v>165</v>
      </c>
      <c r="AH3" s="227" t="s">
        <v>161</v>
      </c>
    </row>
    <row r="4" spans="2:35" x14ac:dyDescent="0.2">
      <c r="B4" s="221" t="s">
        <v>190</v>
      </c>
      <c r="C4" s="102">
        <f>Vin_Nom</f>
        <v>5.5</v>
      </c>
      <c r="D4" s="220" t="s">
        <v>3</v>
      </c>
      <c r="E4" s="221"/>
      <c r="F4" s="220"/>
      <c r="I4" s="227">
        <v>0</v>
      </c>
      <c r="J4" s="227">
        <f t="shared" ref="J4:J67" si="0">1+I4*(LOG(fsw)-1)/500</f>
        <v>1</v>
      </c>
      <c r="K4" s="227">
        <f>10^(J4)</f>
        <v>10</v>
      </c>
      <c r="L4" s="227">
        <f>2*PI()*K4</f>
        <v>62.831853071795862</v>
      </c>
      <c r="M4" s="227">
        <f t="shared" ref="M4:M67" si="1">SQRT((Fco_target-K5)^2)</f>
        <v>5809.9337738999329</v>
      </c>
      <c r="N4" s="227">
        <f>SQRT((ABS(AC4)-171.5+'Small Signal'!C$59)^2)</f>
        <v>100.87062758415823</v>
      </c>
      <c r="O4" s="227">
        <f>ABS(AG4)</f>
        <v>92.144266429525459</v>
      </c>
      <c r="P4" s="227">
        <f>ABS(AF4)</f>
        <v>51.147142837739956</v>
      </c>
      <c r="Q4" s="227">
        <f>K4</f>
        <v>10</v>
      </c>
      <c r="R4" s="227" t="str">
        <f t="shared" ref="R4:R67" si="2">IMSUM(COMPLEX(DCRss,Lss*L4),COMPLEX(Rdsonss,0),COMPLEX(40/3*Risense,0))</f>
        <v>0.0878666666666667+0.000295309709437441i</v>
      </c>
      <c r="S4" s="227" t="str">
        <f t="shared" ref="S4:S67" si="3">IMSUM(COMPLEX(ESRss,0),IMDIV(COMPLEX(1,0),COMPLEX(0,L4*Cbulkss)))</f>
        <v>0.0085-609.52956928811i</v>
      </c>
      <c r="T4" s="227" t="str">
        <f>IMDIV(IMPRODUCT(S4,COMPLEX(Ross,0)),IMSUM(S4,COMPLEX(Ross,0)))</f>
        <v>13.0848695876085-0.281024572937561i</v>
      </c>
      <c r="U4" s="227" t="str">
        <f t="shared" ref="U4:U67" si="4">IMPRODUCT(COMPLEX(Vinss,0),COMPLEX(M^2,0),IMDIV(IMSUB(COMPLEX(1,0),IMDIV(IMPRODUCT(R4,COMPLEX(M^2,0)),COMPLEX(Ross,0))),IMSUM(COMPLEX(1,0),IMDIV(IMPRODUCT(R4,COMPLEX(M^2,0)),T4))))</f>
        <v>80.9912178418244-0.267855466824579i</v>
      </c>
      <c r="V4" s="227">
        <f>20*LOG(IMABS(U4))</f>
        <v>38.168806089021487</v>
      </c>
      <c r="W4" s="227">
        <f>IF(DEGREES(IMARGUMENT(U4))&gt;0,DEGREES(IMARGUMENT(U4))-360, DEGREES(IMARGUMENT(U4)))</f>
        <v>-0.18948883872100367</v>
      </c>
      <c r="X4" s="227" t="str">
        <f t="shared" ref="X4:X67" si="5">IMSUM(COMPLEX(1,L4/(wn*q0)),IMPOWER(COMPLEX(0,L4/wn),2))</f>
        <v>0.999999999288889-7.85282134713241E-06i</v>
      </c>
      <c r="Y4" s="227" t="str">
        <f t="shared" ref="Y4:Y67" si="6">IMPRODUCT(COMPLEX(2*Ioutss*M^2,0),IMDIV(IMSUM(COMPLEX(1,0),IMDIV(COMPLEX(Ross,0),IMPRODUCT(COMPLEX(2,0),S4))),IMSUM(COMPLEX(1,0),IMDIV(IMPRODUCT(R4,COMPLEX(M^2,0)),T4))))</f>
        <v>61.908089192216+0.490532829849603i</v>
      </c>
      <c r="Z4" s="227" t="str">
        <f t="shared" ref="Z4:Z67" si="7">IMPRODUCT(COMPLEX(Fm*40/3*Risense,0),Y4,X4)</f>
        <v>32.2390349868391+0.255194937817381i</v>
      </c>
      <c r="AA4" s="227" t="str">
        <f t="shared" ref="AA4:AA67" si="8">IMDIV(IMPRODUCT(COMPLEX(Fm,0),U4),IMSUM(COMPLEX(1,0),Z4))</f>
        <v>19.0317516918847-0.209064985766795i</v>
      </c>
      <c r="AB4" s="227">
        <f>20*LOG(IMABS(AA4))</f>
        <v>25.590099294627024</v>
      </c>
      <c r="AC4" s="227">
        <f>IF(DEGREES(IMARGUMENT(AA4))&gt;0,DEGREES(IMARGUMENT(AA4))-360, DEGREES(IMARGUMENT(AA4)))</f>
        <v>-0.62937241584178372</v>
      </c>
      <c r="AD4" s="229">
        <f>20*LOG(IMABS(AH4))</f>
        <v>25.557043543112933</v>
      </c>
      <c r="AE4" s="229">
        <f>180+DEGREES(IMARGUMENT(AH4))</f>
        <v>92.773638845367245</v>
      </c>
      <c r="AF4" s="227">
        <f t="shared" ref="AF4:AF67" si="9">AD4+AB4</f>
        <v>51.147142837739956</v>
      </c>
      <c r="AG4" s="227">
        <f t="shared" ref="AG4:AG67" si="10">AE4+AC4</f>
        <v>92.144266429525459</v>
      </c>
      <c r="AH4" s="229" t="str">
        <f>IMDIV(IMPRODUCT(COMPLEX(gea*Rea*Rslss/(Rslss+Rshss),0),COMPLEX(1,L4*Ccompss*Rcompss),COMPLEX(1,k_3*L4*Cffss*Rshss)),IMPRODUCT(COMPLEX(1,L4*Rea*Ccompss),COMPLEX(1,L4*Rcompss*Chfss),COMPLEX(1,k_3*L4*Rffss*Cffss)))</f>
        <v>0.917507912897496-18.9383921861379i</v>
      </c>
      <c r="AI4" s="227" t="str">
        <f>IMDIV(IMPRODUCT(IMSUM(COMPLEX(ESRss,0),IMDIV(COMPLEX(1,0),COMPLEX(0,L4*Cbulkss))),IMSUM(COMPLEX(Rcerss,0),IMDIV(COMPLEX(1,0),COMPLEX(0,L4*Ccerss)))),IMSUM(IMSUM(COMPLEX(ESRss,0),IMDIV(COMPLEX(1,0),COMPLEX(0,L4*Cbulkss))),IMSUM(COMPLEX(Rcerss,0),IMDIV(COMPLEX(1,0),COMPLEX(0,L4*Ccerss)))))</f>
        <v>0.00850000081566319-609.529545944424i</v>
      </c>
    </row>
    <row r="5" spans="2:35" x14ac:dyDescent="0.2">
      <c r="B5" s="221" t="s">
        <v>192</v>
      </c>
      <c r="C5" s="102">
        <f>Vin_Max</f>
        <v>5.5</v>
      </c>
      <c r="D5" s="220" t="s">
        <v>3</v>
      </c>
      <c r="E5" s="221"/>
      <c r="F5" s="220"/>
      <c r="I5" s="227">
        <v>1</v>
      </c>
      <c r="J5" s="227">
        <f t="shared" si="0"/>
        <v>1.0097501225267833</v>
      </c>
      <c r="K5" s="227">
        <f>10^(J5)</f>
        <v>10.22704395528236</v>
      </c>
      <c r="L5" s="227">
        <f t="shared" ref="L5:L68" si="11">2*PI()*K5</f>
        <v>64.258412315709919</v>
      </c>
      <c r="M5" s="227">
        <f t="shared" si="1"/>
        <v>5809.7015750488872</v>
      </c>
      <c r="N5" s="227">
        <f>SQRT((ABS(AC5)-171.5+'Small Signal'!C$59)^2)</f>
        <v>100.85633909952796</v>
      </c>
      <c r="O5" s="227">
        <f t="shared" ref="O5:O68" si="12">ABS(AG5)</f>
        <v>92.105890075886265</v>
      </c>
      <c r="P5" s="227">
        <f t="shared" ref="P5:P68" si="13">ABS(AF5)</f>
        <v>50.952380197445024</v>
      </c>
      <c r="Q5" s="227">
        <f t="shared" ref="Q5:Q68" si="14">K5</f>
        <v>10.22704395528236</v>
      </c>
      <c r="R5" s="227" t="str">
        <f t="shared" si="2"/>
        <v>0.0878666666666667+0.000302014537883837i</v>
      </c>
      <c r="S5" s="227" t="str">
        <f t="shared" si="3"/>
        <v>0.0085-595.997799513987i</v>
      </c>
      <c r="T5" s="227" t="str">
        <f t="shared" ref="T5:T35" si="15">IMDIV(IMPRODUCT(S5,COMPLEX(Ross,0)),IMSUM(S5,COMPLEX(Ross,0)))</f>
        <v>13.0845923616848-0.287398972858459i</v>
      </c>
      <c r="U5" s="227" t="str">
        <f t="shared" si="4"/>
        <v>80.9912135160786-0.273937053747035i</v>
      </c>
      <c r="V5" s="227">
        <f t="shared" ref="V5:V68" si="16">20*LOG(IMABS(U5))</f>
        <v>38.168807806604356</v>
      </c>
      <c r="W5" s="227">
        <f t="shared" ref="W5:W68" si="17">IF(DEGREES(IMARGUMENT(U5))&gt;0,DEGREES(IMARGUMENT(U5))-360, DEGREES(IMARGUMENT(U5)))</f>
        <v>-0.19379111015978565</v>
      </c>
      <c r="X5" s="227" t="str">
        <f t="shared" si="5"/>
        <v>0.999999999256232-8.03111490901028E-06i</v>
      </c>
      <c r="Y5" s="227" t="str">
        <f t="shared" si="6"/>
        <v>61.9081761859349+0.501670018152523i</v>
      </c>
      <c r="Z5" s="227" t="str">
        <f t="shared" si="7"/>
        <v>32.2390803804445+0.260988951397815i</v>
      </c>
      <c r="AA5" s="227" t="str">
        <f t="shared" si="8"/>
        <v>19.0316509794774-0.213810599352766i</v>
      </c>
      <c r="AB5" s="227">
        <f t="shared" ref="AB5:AB68" si="18">20*LOG(IMABS(AA5))</f>
        <v>25.590077395264068</v>
      </c>
      <c r="AC5" s="227">
        <f t="shared" ref="AC5:AC68" si="19">IF(DEGREES(IMARGUMENT(AA5))&gt;0,DEGREES(IMARGUMENT(AA5))-360, DEGREES(IMARGUMENT(AA5)))</f>
        <v>-0.64366090047203239</v>
      </c>
      <c r="AD5" s="229">
        <f t="shared" ref="AD5:AD68" si="20">20*LOG(IMABS(AH5))</f>
        <v>25.362302802180952</v>
      </c>
      <c r="AE5" s="229">
        <f t="shared" ref="AE5:AE68" si="21">180+DEGREES(IMARGUMENT(AH5))</f>
        <v>92.749550976358293</v>
      </c>
      <c r="AF5" s="227">
        <f t="shared" si="9"/>
        <v>50.952380197445024</v>
      </c>
      <c r="AG5" s="227">
        <f t="shared" si="10"/>
        <v>92.105890075886265</v>
      </c>
      <c r="AH5" s="229" t="str">
        <f t="shared" ref="AH5:AH67" si="22">IMDIV(IMPRODUCT(COMPLEX(gea*Rea*Rslss/(Rslss+Rshss),0),COMPLEX(1,L5*Ccompss*Rcompss),COMPLEX(1,k_3*L5*Cffss*Rshss)),IMPRODUCT(COMPLEX(1,L5*Rea*Ccompss),COMPLEX(1,L5*Rcompss*Chfss),COMPLEX(1,k_3*L5*Rffss*Cffss)))</f>
        <v>0.889380452744517-18.5188867568157i</v>
      </c>
      <c r="AI5" s="229"/>
    </row>
    <row r="6" spans="2:35" x14ac:dyDescent="0.2">
      <c r="B6" s="221" t="s">
        <v>23</v>
      </c>
      <c r="C6" s="102">
        <f>Vout</f>
        <v>24</v>
      </c>
      <c r="D6" s="220" t="s">
        <v>3</v>
      </c>
      <c r="E6" s="221"/>
      <c r="F6" s="247">
        <f>Vout</f>
        <v>24</v>
      </c>
      <c r="G6" s="220" t="s">
        <v>3</v>
      </c>
      <c r="I6" s="227">
        <v>2</v>
      </c>
      <c r="J6" s="227">
        <f t="shared" si="0"/>
        <v>1.0195002450535668</v>
      </c>
      <c r="K6" s="227">
        <f>10^(J6)</f>
        <v>10.459242806327749</v>
      </c>
      <c r="L6" s="227">
        <f t="shared" si="11"/>
        <v>65.717360724942296</v>
      </c>
      <c r="M6" s="227">
        <f t="shared" si="1"/>
        <v>5809.4641042632866</v>
      </c>
      <c r="N6" s="227">
        <f>SQRT((ABS(AC6)-171.5+'Small Signal'!C$59)^2)</f>
        <v>100.84172627563828</v>
      </c>
      <c r="O6" s="227">
        <f t="shared" si="12"/>
        <v>92.068572227108078</v>
      </c>
      <c r="P6" s="227">
        <f t="shared" si="13"/>
        <v>50.75760895943047</v>
      </c>
      <c r="Q6" s="227">
        <f t="shared" si="14"/>
        <v>10.459242806327749</v>
      </c>
      <c r="R6" s="227" t="str">
        <f t="shared" si="2"/>
        <v>0.0878666666666667+0.000308871595407229i</v>
      </c>
      <c r="S6" s="227" t="str">
        <f t="shared" si="3"/>
        <v>0.0085-582.766439764979i</v>
      </c>
      <c r="T6" s="227" t="str">
        <f t="shared" si="15"/>
        <v>13.0843024169366-0.293917675442029i</v>
      </c>
      <c r="U6" s="227" t="str">
        <f t="shared" si="4"/>
        <v>80.9912089916471-0.280156725726821i</v>
      </c>
      <c r="V6" s="227">
        <f t="shared" si="16"/>
        <v>38.168809603065263</v>
      </c>
      <c r="W6" s="227">
        <f t="shared" si="17"/>
        <v>-0.19819106498996109</v>
      </c>
      <c r="X6" s="227" t="str">
        <f t="shared" si="5"/>
        <v>0.999999999222075-8.21345651843717E-06i</v>
      </c>
      <c r="Y6" s="227" t="str">
        <f t="shared" si="6"/>
        <v>61.9082671748297+0.513060065188284i</v>
      </c>
      <c r="Z6" s="227" t="str">
        <f t="shared" si="7"/>
        <v>32.2391278587456+0.266914512239368i</v>
      </c>
      <c r="AA6" s="227" t="str">
        <f t="shared" si="8"/>
        <v>19.0315456430143-0.218663883955742i</v>
      </c>
      <c r="AB6" s="227">
        <f t="shared" si="18"/>
        <v>25.59005449030726</v>
      </c>
      <c r="AC6" s="227">
        <f t="shared" si="19"/>
        <v>-0.65827372436170928</v>
      </c>
      <c r="AD6" s="229">
        <f t="shared" si="20"/>
        <v>25.16755446912321</v>
      </c>
      <c r="AE6" s="229">
        <f t="shared" si="21"/>
        <v>92.726845951469784</v>
      </c>
      <c r="AF6" s="227">
        <f t="shared" si="9"/>
        <v>50.75760895943047</v>
      </c>
      <c r="AG6" s="227">
        <f t="shared" si="10"/>
        <v>92.068572227108078</v>
      </c>
      <c r="AH6" s="229" t="str">
        <f t="shared" si="22"/>
        <v>0.862485362936997-18.1086339693704i</v>
      </c>
    </row>
    <row r="7" spans="2:35" x14ac:dyDescent="0.2">
      <c r="B7" s="221" t="s">
        <v>34</v>
      </c>
      <c r="C7" s="102">
        <f>Iout</f>
        <v>1.8333333333333333</v>
      </c>
      <c r="D7" s="220" t="s">
        <v>2</v>
      </c>
      <c r="E7" s="221"/>
      <c r="F7" s="247">
        <f>C7</f>
        <v>1.8333333333333333</v>
      </c>
      <c r="G7" s="220" t="s">
        <v>2</v>
      </c>
      <c r="I7" s="227">
        <v>3</v>
      </c>
      <c r="J7" s="227">
        <f t="shared" si="0"/>
        <v>1.0292503675803502</v>
      </c>
      <c r="K7" s="227">
        <f>10^(J7)</f>
        <v>10.696713591928464</v>
      </c>
      <c r="L7" s="227">
        <f t="shared" si="11"/>
        <v>67.209433675913104</v>
      </c>
      <c r="M7" s="227">
        <f t="shared" si="1"/>
        <v>5809.2212418470435</v>
      </c>
      <c r="N7" s="227">
        <f>SQRT((ABS(AC7)-171.5+'Small Signal'!C$59)^2)</f>
        <v>100.82678175358814</v>
      </c>
      <c r="O7" s="227">
        <f t="shared" si="12"/>
        <v>92.032294243135894</v>
      </c>
      <c r="P7" s="227">
        <f t="shared" si="13"/>
        <v>50.562829588521268</v>
      </c>
      <c r="Q7" s="227">
        <f t="shared" si="14"/>
        <v>10.696713591928464</v>
      </c>
      <c r="R7" s="227" t="str">
        <f t="shared" si="2"/>
        <v>0.0878666666666667+0.000315884338276792i</v>
      </c>
      <c r="S7" s="227" t="str">
        <f t="shared" si="3"/>
        <v>0.0085-569.828820833391i</v>
      </c>
      <c r="T7" s="227" t="str">
        <f t="shared" si="15"/>
        <v>13.0839991704415-0.300583927469573i</v>
      </c>
      <c r="U7" s="227" t="str">
        <f t="shared" si="4"/>
        <v>80.9912042594042-0.286517618340809i</v>
      </c>
      <c r="V7" s="227">
        <f t="shared" si="16"/>
        <v>38.168811482026712</v>
      </c>
      <c r="W7" s="227">
        <f t="shared" si="17"/>
        <v>-0.20269092125726415</v>
      </c>
      <c r="X7" s="227" t="str">
        <f t="shared" si="5"/>
        <v>0.999999999186349-8.39993808388573E-06i</v>
      </c>
      <c r="Y7" s="227" t="str">
        <f t="shared" si="6"/>
        <v>61.9083623423822+0.524708711655296i</v>
      </c>
      <c r="Z7" s="227" t="str">
        <f t="shared" si="7"/>
        <v>32.2391775174837+0.272974606881785i</v>
      </c>
      <c r="AA7" s="227" t="str">
        <f t="shared" si="8"/>
        <v>19.0314354702416-0.223627278938272i</v>
      </c>
      <c r="AB7" s="227">
        <f t="shared" si="18"/>
        <v>25.590030533586727</v>
      </c>
      <c r="AC7" s="227">
        <f t="shared" si="19"/>
        <v>-0.67321824641185324</v>
      </c>
      <c r="AD7" s="229">
        <f t="shared" si="20"/>
        <v>24.972799054934537</v>
      </c>
      <c r="AE7" s="229">
        <f t="shared" si="21"/>
        <v>92.705512489547743</v>
      </c>
      <c r="AF7" s="227">
        <f t="shared" si="9"/>
        <v>50.562829588521268</v>
      </c>
      <c r="AG7" s="227">
        <f t="shared" si="10"/>
        <v>92.032294243135894</v>
      </c>
      <c r="AH7" s="229" t="str">
        <f t="shared" si="22"/>
        <v>0.836768759637614-17.7074323494042i</v>
      </c>
    </row>
    <row r="8" spans="2:35" ht="19.5" x14ac:dyDescent="0.35">
      <c r="B8" s="221" t="s">
        <v>134</v>
      </c>
      <c r="C8" s="102">
        <f>Rsh</f>
        <v>205000</v>
      </c>
      <c r="D8" s="220" t="s">
        <v>29</v>
      </c>
      <c r="E8" s="221"/>
      <c r="F8" s="248">
        <f>Rsh</f>
        <v>205000</v>
      </c>
      <c r="G8" s="220" t="s">
        <v>29</v>
      </c>
      <c r="I8" s="227">
        <v>4</v>
      </c>
      <c r="J8" s="227">
        <f t="shared" si="0"/>
        <v>1.0390004901071337</v>
      </c>
      <c r="K8" s="227">
        <f t="shared" ref="K8:K71" si="23">10^(J8)</f>
        <v>10.939576008171871</v>
      </c>
      <c r="L8" s="227">
        <f t="shared" si="11"/>
        <v>68.735383241319809</v>
      </c>
      <c r="M8" s="227">
        <f t="shared" si="1"/>
        <v>5808.9728653864422</v>
      </c>
      <c r="N8" s="227">
        <f>SQRT((ABS(AC8)-171.5+'Small Signal'!C$59)^2)</f>
        <v>100.81149800774713</v>
      </c>
      <c r="O8" s="227">
        <f t="shared" si="12"/>
        <v>91.997037995434525</v>
      </c>
      <c r="P8" s="227">
        <f t="shared" si="13"/>
        <v>50.368042533254382</v>
      </c>
      <c r="Q8" s="227">
        <f t="shared" si="14"/>
        <v>10.939576008171871</v>
      </c>
      <c r="R8" s="227" t="str">
        <f t="shared" si="2"/>
        <v>0.0878666666666667+0.000323056301234203i</v>
      </c>
      <c r="S8" s="227" t="str">
        <f t="shared" si="3"/>
        <v>0.0085-557.17842157026i</v>
      </c>
      <c r="T8" s="227" t="str">
        <f t="shared" si="15"/>
        <v>13.0836820126182-0.307401047385652i</v>
      </c>
      <c r="U8" s="227" t="str">
        <f t="shared" si="4"/>
        <v>80.9911993098034-0.293022938387815i</v>
      </c>
      <c r="V8" s="227">
        <f t="shared" si="16"/>
        <v>38.168813447277429</v>
      </c>
      <c r="W8" s="227">
        <f t="shared" si="17"/>
        <v>-0.20729294738097104</v>
      </c>
      <c r="X8" s="227" t="str">
        <f t="shared" si="5"/>
        <v>0.999999999148983-8.59065360055497E-06i</v>
      </c>
      <c r="Y8" s="227" t="str">
        <f t="shared" si="6"/>
        <v>61.9084618804999+0.536621828569736i</v>
      </c>
      <c r="Z8" s="227" t="str">
        <f t="shared" si="7"/>
        <v>32.2392294567969+0.279172289661163i</v>
      </c>
      <c r="AA8" s="227" t="str">
        <f t="shared" si="8"/>
        <v>19.0313202391667-0.228703278682054i</v>
      </c>
      <c r="AB8" s="227">
        <f t="shared" si="18"/>
        <v>25.590005476812948</v>
      </c>
      <c r="AC8" s="227">
        <f t="shared" si="19"/>
        <v>-0.68850199225287967</v>
      </c>
      <c r="AD8" s="229">
        <f t="shared" si="20"/>
        <v>24.778037056441438</v>
      </c>
      <c r="AE8" s="229">
        <f t="shared" si="21"/>
        <v>92.685539987687406</v>
      </c>
      <c r="AF8" s="227">
        <f t="shared" si="9"/>
        <v>50.368042533254382</v>
      </c>
      <c r="AG8" s="227">
        <f t="shared" si="10"/>
        <v>91.997037995434525</v>
      </c>
      <c r="AH8" s="229" t="str">
        <f t="shared" si="22"/>
        <v>0.812179105489026-17.3150846399213i</v>
      </c>
    </row>
    <row r="9" spans="2:35" ht="19.5" x14ac:dyDescent="0.35">
      <c r="B9" s="221" t="s">
        <v>135</v>
      </c>
      <c r="C9" s="102">
        <f>Rsl</f>
        <v>11000</v>
      </c>
      <c r="D9" s="220" t="s">
        <v>29</v>
      </c>
      <c r="E9" s="221"/>
      <c r="F9" s="248">
        <f>Rsl</f>
        <v>11000</v>
      </c>
      <c r="G9" s="220" t="s">
        <v>29</v>
      </c>
      <c r="I9" s="227">
        <v>5</v>
      </c>
      <c r="J9" s="227">
        <f t="shared" si="0"/>
        <v>1.048750612633917</v>
      </c>
      <c r="K9" s="227">
        <f t="shared" si="23"/>
        <v>11.187952468772604</v>
      </c>
      <c r="L9" s="227">
        <f t="shared" si="11"/>
        <v>70.295978569215606</v>
      </c>
      <c r="M9" s="227">
        <f t="shared" si="1"/>
        <v>5808.7188496884401</v>
      </c>
      <c r="N9" s="227">
        <f>SQRT((ABS(AC9)-171.5+'Small Signal'!C$59)^2)</f>
        <v>100.79586734199435</v>
      </c>
      <c r="O9" s="227">
        <f t="shared" si="12"/>
        <v>91.962785858560522</v>
      </c>
      <c r="P9" s="227">
        <f t="shared" si="13"/>
        <v>50.173248226773111</v>
      </c>
      <c r="Q9" s="227">
        <f t="shared" si="14"/>
        <v>11.187952468772604</v>
      </c>
      <c r="R9" s="227" t="str">
        <f t="shared" si="2"/>
        <v>0.0878666666666667+0.000330391099275313i</v>
      </c>
      <c r="S9" s="227" t="str">
        <f t="shared" si="3"/>
        <v>0.0085-544.808865598426i</v>
      </c>
      <c r="T9" s="227" t="str">
        <f t="shared" si="15"/>
        <v>13.0833503060116-0.314372426782584i</v>
      </c>
      <c r="U9" s="227" t="str">
        <f t="shared" si="4"/>
        <v>80.9911941328586-0.29967596550781i</v>
      </c>
      <c r="V9" s="227">
        <f t="shared" si="16"/>
        <v>38.168815502780006</v>
      </c>
      <c r="W9" s="227">
        <f t="shared" si="17"/>
        <v>-0.21199946329860725</v>
      </c>
      <c r="X9" s="227" t="str">
        <f t="shared" si="5"/>
        <v>0.9999999991099-8.78569919774803E-06i</v>
      </c>
      <c r="Y9" s="227" t="str">
        <f t="shared" si="6"/>
        <v>61.9085659899026+0.548805420222808i</v>
      </c>
      <c r="Z9" s="227" t="str">
        <f t="shared" si="7"/>
        <v>32.2392837814213+0.285510684248423i</v>
      </c>
      <c r="AA9" s="227" t="str">
        <f t="shared" si="8"/>
        <v>19.0311997176135-0.233894433811697i</v>
      </c>
      <c r="AB9" s="227">
        <f t="shared" si="18"/>
        <v>25.589979269480278</v>
      </c>
      <c r="AC9" s="227">
        <f t="shared" si="19"/>
        <v>-0.70413265800564573</v>
      </c>
      <c r="AD9" s="229">
        <f t="shared" si="20"/>
        <v>24.583268957292837</v>
      </c>
      <c r="AE9" s="229">
        <f t="shared" si="21"/>
        <v>92.66691851656617</v>
      </c>
      <c r="AF9" s="227">
        <f t="shared" si="9"/>
        <v>50.173248226773111</v>
      </c>
      <c r="AG9" s="227">
        <f t="shared" si="10"/>
        <v>91.962785858560522</v>
      </c>
      <c r="AH9" s="229" t="str">
        <f t="shared" si="22"/>
        <v>0.788667108249347-16.9313977242343i</v>
      </c>
    </row>
    <row r="10" spans="2:35" ht="19.5" x14ac:dyDescent="0.35">
      <c r="B10" s="221" t="s">
        <v>136</v>
      </c>
      <c r="C10" s="102">
        <f>Rcomp</f>
        <v>4990</v>
      </c>
      <c r="D10" s="220" t="s">
        <v>29</v>
      </c>
      <c r="E10" s="221"/>
      <c r="F10" s="247">
        <f>Rcomp</f>
        <v>4990</v>
      </c>
      <c r="G10" s="220" t="s">
        <v>29</v>
      </c>
      <c r="I10" s="227">
        <v>6</v>
      </c>
      <c r="J10" s="227">
        <f t="shared" si="0"/>
        <v>1.0585007351607003</v>
      </c>
      <c r="K10" s="227">
        <f t="shared" si="23"/>
        <v>11.44196816677472</v>
      </c>
      <c r="L10" s="227">
        <f t="shared" si="11"/>
        <v>71.892006270695461</v>
      </c>
      <c r="M10" s="227">
        <f t="shared" si="1"/>
        <v>5808.4590667175607</v>
      </c>
      <c r="N10" s="227">
        <f>SQRT((ABS(AC10)-171.5+'Small Signal'!C$59)^2)</f>
        <v>100.77988188587372</v>
      </c>
      <c r="O10" s="227">
        <f t="shared" si="12"/>
        <v>91.929520701933725</v>
      </c>
      <c r="P10" s="227">
        <f t="shared" si="13"/>
        <v>49.978447087690746</v>
      </c>
      <c r="Q10" s="227">
        <f t="shared" si="14"/>
        <v>11.44196816677472</v>
      </c>
      <c r="R10" s="227" t="str">
        <f t="shared" si="2"/>
        <v>0.0878666666666667+0.000337892429472269i</v>
      </c>
      <c r="S10" s="227" t="str">
        <f t="shared" si="3"/>
        <v>0.0085-532.713918098519i</v>
      </c>
      <c r="T10" s="227" t="str">
        <f t="shared" si="15"/>
        <v>13.0830033840245-0.321501531908799i</v>
      </c>
      <c r="U10" s="227" t="str">
        <f t="shared" si="4"/>
        <v>80.9911887181257-0.306480053838026i</v>
      </c>
      <c r="V10" s="227">
        <f t="shared" si="16"/>
        <v>38.16881765267911</v>
      </c>
      <c r="W10" s="227">
        <f t="shared" si="17"/>
        <v>-0.2168128416366977</v>
      </c>
      <c r="X10" s="227" t="str">
        <f t="shared" si="5"/>
        <v>0.999999999069023-0.0000089851731873258i</v>
      </c>
      <c r="Y10" s="227" t="str">
        <f t="shared" si="6"/>
        <v>61.9086748805304+0.561265627205111i</v>
      </c>
      <c r="Z10" s="227" t="str">
        <f t="shared" si="7"/>
        <v>32.2393406009045+0.291992985222688i</v>
      </c>
      <c r="AA10" s="227" t="str">
        <f t="shared" si="8"/>
        <v>19.0310736627543-0.239203352444485i</v>
      </c>
      <c r="AB10" s="227">
        <f t="shared" si="18"/>
        <v>25.589951858764614</v>
      </c>
      <c r="AC10" s="227">
        <f t="shared" si="19"/>
        <v>-0.72011811412627247</v>
      </c>
      <c r="AD10" s="229">
        <f t="shared" si="20"/>
        <v>24.388495228926132</v>
      </c>
      <c r="AE10" s="229">
        <f t="shared" si="21"/>
        <v>92.649638816060005</v>
      </c>
      <c r="AF10" s="227">
        <f t="shared" si="9"/>
        <v>49.978447087690746</v>
      </c>
      <c r="AG10" s="227">
        <f t="shared" si="10"/>
        <v>91.929520701933725</v>
      </c>
      <c r="AH10" s="229" t="str">
        <f t="shared" si="22"/>
        <v>0.766185623736136-16.5561825495181i</v>
      </c>
    </row>
    <row r="11" spans="2:35" ht="19.5" x14ac:dyDescent="0.35">
      <c r="B11" s="221" t="s">
        <v>132</v>
      </c>
      <c r="C11" s="103">
        <f>Ccomp</f>
        <v>4.6999999999999997E-8</v>
      </c>
      <c r="D11" s="220" t="s">
        <v>7</v>
      </c>
      <c r="E11" s="221"/>
      <c r="F11" s="249">
        <f>Ccomp</f>
        <v>4.6999999999999997E-8</v>
      </c>
      <c r="G11" s="220" t="s">
        <v>7</v>
      </c>
      <c r="I11" s="227">
        <v>7</v>
      </c>
      <c r="J11" s="227">
        <f t="shared" si="0"/>
        <v>1.0682508576874838</v>
      </c>
      <c r="K11" s="227">
        <f t="shared" si="23"/>
        <v>11.701751137654661</v>
      </c>
      <c r="L11" s="227">
        <f t="shared" si="11"/>
        <v>73.524270816383776</v>
      </c>
      <c r="M11" s="227">
        <f t="shared" si="1"/>
        <v>5808.1933855313582</v>
      </c>
      <c r="N11" s="227">
        <f>SQRT((ABS(AC11)-171.5+'Small Signal'!C$59)^2)</f>
        <v>100.76353359066354</v>
      </c>
      <c r="O11" s="227">
        <f t="shared" si="12"/>
        <v>91.897225881807898</v>
      </c>
      <c r="P11" s="227">
        <f t="shared" si="13"/>
        <v>49.78363952092613</v>
      </c>
      <c r="Q11" s="227">
        <f t="shared" si="14"/>
        <v>11.701751137654661</v>
      </c>
      <c r="R11" s="227" t="str">
        <f t="shared" si="2"/>
        <v>0.0878666666666667+0.000345564072837004i</v>
      </c>
      <c r="S11" s="227" t="str">
        <f t="shared" si="3"/>
        <v>0.0085-520.887482666356i</v>
      </c>
      <c r="T11" s="227" t="str">
        <f t="shared" si="15"/>
        <v>13.082640549592-0.328791905200855i</v>
      </c>
      <c r="U11" s="227" t="str">
        <f t="shared" si="4"/>
        <v>80.9911830546811-0.313438633706781i</v>
      </c>
      <c r="V11" s="227">
        <f t="shared" si="16"/>
        <v>38.16881990130981</v>
      </c>
      <c r="W11" s="227">
        <f t="shared" si="17"/>
        <v>-0.22173550890814883</v>
      </c>
      <c r="X11" s="227" t="str">
        <f t="shared" si="5"/>
        <v>0.999999999026269-9.18917611326055E-06i</v>
      </c>
      <c r="Y11" s="227" t="str">
        <f t="shared" si="6"/>
        <v>61.9087887719644+0.574008729499525i</v>
      </c>
      <c r="Z11" s="227" t="str">
        <f t="shared" si="7"/>
        <v>32.2394000298244+0.298622459680319i</v>
      </c>
      <c r="AA11" s="227" t="str">
        <f t="shared" si="8"/>
        <v>19.0309418206228-0.244632701466655i</v>
      </c>
      <c r="AB11" s="227">
        <f t="shared" si="18"/>
        <v>25.589923189417554</v>
      </c>
      <c r="AC11" s="227">
        <f t="shared" si="19"/>
        <v>-0.73646640933644913</v>
      </c>
      <c r="AD11" s="229">
        <f t="shared" si="20"/>
        <v>24.193716331508579</v>
      </c>
      <c r="AE11" s="229">
        <f t="shared" si="21"/>
        <v>92.633692291144342</v>
      </c>
      <c r="AF11" s="227">
        <f t="shared" si="9"/>
        <v>49.78363952092613</v>
      </c>
      <c r="AG11" s="227">
        <f t="shared" si="10"/>
        <v>91.897225881807898</v>
      </c>
      <c r="AH11" s="229" t="str">
        <f t="shared" si="22"/>
        <v>0.744689562901735-16.1892540510616i</v>
      </c>
      <c r="AI11" s="230"/>
    </row>
    <row r="12" spans="2:35" ht="19.5" x14ac:dyDescent="0.35">
      <c r="B12" s="221" t="s">
        <v>133</v>
      </c>
      <c r="C12" s="103">
        <f>Chf</f>
        <v>5.6000000000000003E-10</v>
      </c>
      <c r="D12" s="220" t="s">
        <v>7</v>
      </c>
      <c r="E12" s="221"/>
      <c r="F12" s="249">
        <f>Chf</f>
        <v>5.6000000000000003E-10</v>
      </c>
      <c r="G12" s="220" t="s">
        <v>7</v>
      </c>
      <c r="I12" s="227">
        <v>8</v>
      </c>
      <c r="J12" s="227">
        <f t="shared" si="0"/>
        <v>1.0780009802142672</v>
      </c>
      <c r="K12" s="227">
        <f t="shared" si="23"/>
        <v>11.967432323856951</v>
      </c>
      <c r="L12" s="227">
        <f t="shared" si="11"/>
        <v>75.193594941924047</v>
      </c>
      <c r="M12" s="227">
        <f t="shared" si="1"/>
        <v>5807.9216722144201</v>
      </c>
      <c r="N12" s="227">
        <f>SQRT((ABS(AC12)-171.5+'Small Signal'!C$59)^2)</f>
        <v>100.74681422535903</v>
      </c>
      <c r="O12" s="227">
        <f t="shared" si="12"/>
        <v>91.865885233438505</v>
      </c>
      <c r="P12" s="227">
        <f t="shared" si="13"/>
        <v>49.58882591851166</v>
      </c>
      <c r="Q12" s="227">
        <f t="shared" si="14"/>
        <v>11.967432323856951</v>
      </c>
      <c r="R12" s="227" t="str">
        <f t="shared" si="2"/>
        <v>0.0878666666666667+0.000353409896227043i</v>
      </c>
      <c r="S12" s="227" t="str">
        <f t="shared" si="3"/>
        <v>0.0085-509.32359824005i</v>
      </c>
      <c r="T12" s="227" t="str">
        <f t="shared" si="15"/>
        <v>13.0822610737952-0.33624716683897i</v>
      </c>
      <c r="U12" s="227" t="str">
        <f t="shared" si="4"/>
        <v>80.9911771310991-0.320555213365989i</v>
      </c>
      <c r="V12" s="227">
        <f t="shared" si="16"/>
        <v>38.168822253206201</v>
      </c>
      <c r="W12" s="227">
        <f t="shared" si="17"/>
        <v>-0.22676994673693637</v>
      </c>
      <c r="X12" s="227" t="str">
        <f t="shared" si="5"/>
        <v>0.999999998981551-9.39781080231463E-06i</v>
      </c>
      <c r="Y12" s="227" t="str">
        <f t="shared" si="6"/>
        <v>61.9089078938719+0.587041149644191i</v>
      </c>
      <c r="Z12" s="227" t="str">
        <f t="shared" si="7"/>
        <v>32.2394621880222+0.305402448880399i</v>
      </c>
      <c r="AA12" s="227" t="str">
        <f t="shared" si="8"/>
        <v>19.0308039256026-0.250185207836583i</v>
      </c>
      <c r="AB12" s="227">
        <f t="shared" si="18"/>
        <v>25.589893203654665</v>
      </c>
      <c r="AC12" s="227">
        <f t="shared" si="19"/>
        <v>-0.75318577464097591</v>
      </c>
      <c r="AD12" s="229">
        <f t="shared" si="20"/>
        <v>23.998932714856998</v>
      </c>
      <c r="AE12" s="229">
        <f t="shared" si="21"/>
        <v>92.619071008079487</v>
      </c>
      <c r="AF12" s="227">
        <f t="shared" si="9"/>
        <v>49.58882591851166</v>
      </c>
      <c r="AG12" s="227">
        <f t="shared" si="10"/>
        <v>91.865885233438505</v>
      </c>
      <c r="AH12" s="229" t="str">
        <f t="shared" si="22"/>
        <v>0.724135802869721-15.8304310772679i</v>
      </c>
      <c r="AI12" s="230"/>
    </row>
    <row r="13" spans="2:35" x14ac:dyDescent="0.2">
      <c r="B13" s="221" t="s">
        <v>35</v>
      </c>
      <c r="C13" s="102">
        <f>fsw</f>
        <v>750000</v>
      </c>
      <c r="D13" s="220" t="s">
        <v>5</v>
      </c>
      <c r="E13" s="221"/>
      <c r="F13" s="249">
        <f>C13</f>
        <v>750000</v>
      </c>
      <c r="G13" s="220" t="s">
        <v>5</v>
      </c>
      <c r="I13" s="227">
        <v>9</v>
      </c>
      <c r="J13" s="227">
        <f t="shared" si="0"/>
        <v>1.0877511027410507</v>
      </c>
      <c r="K13" s="227">
        <f t="shared" si="23"/>
        <v>12.239145640795199</v>
      </c>
      <c r="L13" s="227">
        <f t="shared" si="11"/>
        <v>76.900820062675479</v>
      </c>
      <c r="M13" s="227">
        <f t="shared" si="1"/>
        <v>5807.6437898108634</v>
      </c>
      <c r="N13" s="227">
        <f>SQRT((ABS(AC13)-171.5+'Small Signal'!C$59)^2)</f>
        <v>100.72971537256547</v>
      </c>
      <c r="O13" s="227">
        <f t="shared" si="12"/>
        <v>91.835483063446873</v>
      </c>
      <c r="P13" s="227">
        <f t="shared" si="13"/>
        <v>49.394006660376455</v>
      </c>
      <c r="Q13" s="227">
        <f t="shared" si="14"/>
        <v>12.239145640795199</v>
      </c>
      <c r="R13" s="227" t="str">
        <f t="shared" si="2"/>
        <v>0.0878666666666667+0.000361433854294575i</v>
      </c>
      <c r="S13" s="227" t="str">
        <f t="shared" si="3"/>
        <v>0.0085-498.016436095378i</v>
      </c>
      <c r="T13" s="227" t="str">
        <f t="shared" si="15"/>
        <v>13.081864194414-0.343871016325803i</v>
      </c>
      <c r="U13" s="227" t="str">
        <f t="shared" si="4"/>
        <v>80.9911709354286-0.327833380763132i</v>
      </c>
      <c r="V13" s="227">
        <f t="shared" si="16"/>
        <v>38.168824713110617</v>
      </c>
      <c r="W13" s="227">
        <f t="shared" si="17"/>
        <v>-0.23191869311064287</v>
      </c>
      <c r="X13" s="227" t="str">
        <f t="shared" si="5"/>
        <v>0.999999998934779-9.61118241586992E-06i</v>
      </c>
      <c r="Y13" s="227" t="str">
        <f t="shared" si="6"/>
        <v>61.9090324864659+0.600369455967222i</v>
      </c>
      <c r="Z13" s="227" t="str">
        <f t="shared" si="7"/>
        <v>32.2395272008417+0.312336369927546i</v>
      </c>
      <c r="AA13" s="227" t="str">
        <f t="shared" si="8"/>
        <v>19.0306596998949-0.255863659915455i</v>
      </c>
      <c r="AB13" s="227">
        <f t="shared" si="18"/>
        <v>25.589861841039788</v>
      </c>
      <c r="AC13" s="227">
        <f t="shared" si="19"/>
        <v>-0.77028462743452775</v>
      </c>
      <c r="AD13" s="229">
        <f t="shared" si="20"/>
        <v>23.804144819336667</v>
      </c>
      <c r="AE13" s="229">
        <f t="shared" si="21"/>
        <v>92.605767690881407</v>
      </c>
      <c r="AF13" s="227">
        <f t="shared" si="9"/>
        <v>49.394006660376455</v>
      </c>
      <c r="AG13" s="227">
        <f t="shared" si="10"/>
        <v>91.835483063446873</v>
      </c>
      <c r="AH13" s="229" t="str">
        <f t="shared" si="22"/>
        <v>0.70448310176867-15.4795363154446i</v>
      </c>
      <c r="AI13" s="230"/>
    </row>
    <row r="14" spans="2:35" x14ac:dyDescent="0.2">
      <c r="B14" s="221" t="s">
        <v>59</v>
      </c>
      <c r="C14" s="103">
        <f>L</f>
        <v>4.6999999999999999E-6</v>
      </c>
      <c r="D14" s="220" t="s">
        <v>6</v>
      </c>
      <c r="E14" s="221"/>
      <c r="F14" s="249">
        <f>L</f>
        <v>4.6999999999999999E-6</v>
      </c>
      <c r="G14" s="220" t="s">
        <v>6</v>
      </c>
      <c r="I14" s="227">
        <v>10</v>
      </c>
      <c r="J14" s="227">
        <f t="shared" si="0"/>
        <v>1.097501225267834</v>
      </c>
      <c r="K14" s="227">
        <f t="shared" si="23"/>
        <v>12.517028044351497</v>
      </c>
      <c r="L14" s="227">
        <f t="shared" si="11"/>
        <v>78.646806697824147</v>
      </c>
      <c r="M14" s="227">
        <f t="shared" si="1"/>
        <v>5807.359598255307</v>
      </c>
      <c r="N14" s="227">
        <f>SQRT((ABS(AC14)-171.5+'Small Signal'!C$59)^2)</f>
        <v>100.71222842430066</v>
      </c>
      <c r="O14" s="227">
        <f t="shared" si="12"/>
        <v>91.806004142378214</v>
      </c>
      <c r="P14" s="227">
        <f t="shared" si="13"/>
        <v>49.199182115105366</v>
      </c>
      <c r="Q14" s="227">
        <f t="shared" si="14"/>
        <v>12.517028044351497</v>
      </c>
      <c r="R14" s="227" t="str">
        <f t="shared" si="2"/>
        <v>0.0878666666666667+0.000369639991479774i</v>
      </c>
      <c r="S14" s="227" t="str">
        <f t="shared" si="3"/>
        <v>0.0085-486.960296907836i</v>
      </c>
      <c r="T14" s="227" t="str">
        <f t="shared" si="15"/>
        <v>13.0814491144132-0.351667234088177i</v>
      </c>
      <c r="U14" s="227" t="str">
        <f t="shared" si="4"/>
        <v>80.9911644551685-0.335276805353705i</v>
      </c>
      <c r="V14" s="227">
        <f t="shared" si="16"/>
        <v>38.168827285983049</v>
      </c>
      <c r="W14" s="227">
        <f t="shared" si="17"/>
        <v>-0.23718434366155802</v>
      </c>
      <c r="X14" s="227" t="str">
        <f t="shared" si="5"/>
        <v>0.99999999888586-9.82939850293385E-06i</v>
      </c>
      <c r="Y14" s="227" t="str">
        <f t="shared" si="6"/>
        <v>61.9091628009941+0.614000365894661i</v>
      </c>
      <c r="Z14" s="227" t="str">
        <f t="shared" si="7"/>
        <v>32.239595199385+0.319427717492827i</v>
      </c>
      <c r="AA14" s="227" t="str">
        <f t="shared" si="8"/>
        <v>19.0305088529587-0.261670908825763i</v>
      </c>
      <c r="AB14" s="227">
        <f t="shared" si="18"/>
        <v>25.589829038362648</v>
      </c>
      <c r="AC14" s="227">
        <f t="shared" si="19"/>
        <v>-0.78777157569934264</v>
      </c>
      <c r="AD14" s="229">
        <f t="shared" si="20"/>
        <v>23.609353076742718</v>
      </c>
      <c r="AE14" s="229">
        <f t="shared" si="21"/>
        <v>92.593775718077552</v>
      </c>
      <c r="AF14" s="227">
        <f t="shared" si="9"/>
        <v>49.199182115105366</v>
      </c>
      <c r="AG14" s="227">
        <f t="shared" si="10"/>
        <v>91.806004142378214</v>
      </c>
      <c r="AH14" s="229" t="str">
        <f t="shared" si="22"/>
        <v>0.685692017205843-15.1363962184256i</v>
      </c>
    </row>
    <row r="15" spans="2:35" x14ac:dyDescent="0.2">
      <c r="B15" s="221" t="s">
        <v>27</v>
      </c>
      <c r="C15" s="102">
        <f>DCR</f>
        <v>1.95E-2</v>
      </c>
      <c r="D15" s="220" t="s">
        <v>29</v>
      </c>
      <c r="E15" s="221"/>
      <c r="F15" s="247">
        <f>DCR</f>
        <v>1.95E-2</v>
      </c>
      <c r="G15" s="220" t="s">
        <v>29</v>
      </c>
      <c r="I15" s="227">
        <v>11</v>
      </c>
      <c r="J15" s="227">
        <f t="shared" si="0"/>
        <v>1.1072513477946173</v>
      </c>
      <c r="K15" s="227">
        <f t="shared" si="23"/>
        <v>12.801219599908473</v>
      </c>
      <c r="L15" s="227">
        <f t="shared" si="11"/>
        <v>80.432434904124264</v>
      </c>
      <c r="M15" s="227">
        <f t="shared" si="1"/>
        <v>5807.0689543022663</v>
      </c>
      <c r="N15" s="227">
        <f>SQRT((ABS(AC15)-171.5+'Small Signal'!C$59)^2)</f>
        <v>100.69434457770402</v>
      </c>
      <c r="O15" s="227">
        <f t="shared" si="12"/>
        <v>91.777433697452864</v>
      </c>
      <c r="P15" s="227">
        <f t="shared" si="13"/>
        <v>49.004352640675933</v>
      </c>
      <c r="Q15" s="227">
        <f t="shared" si="14"/>
        <v>12.801219599908473</v>
      </c>
      <c r="R15" s="227" t="str">
        <f t="shared" si="2"/>
        <v>0.0878666666666667+0.000378032444049384i</v>
      </c>
      <c r="S15" s="227" t="str">
        <f t="shared" si="3"/>
        <v>0.0085-476.149607879915i</v>
      </c>
      <c r="T15" s="227" t="str">
        <f t="shared" si="15"/>
        <v>13.0810150003621-0.359639683101401i</v>
      </c>
      <c r="U15" s="227" t="str">
        <f t="shared" si="4"/>
        <v>80.9911576772439-0.342889239954982i</v>
      </c>
      <c r="V15" s="227">
        <f t="shared" si="16"/>
        <v>38.16882997701137</v>
      </c>
      <c r="W15" s="227">
        <f t="shared" si="17"/>
        <v>-0.2425695529769292</v>
      </c>
      <c r="X15" s="227" t="str">
        <f t="shared" si="5"/>
        <v>0.999999998834693-0.0000100525690543491i</v>
      </c>
      <c r="Y15" s="227" t="str">
        <f t="shared" si="6"/>
        <v>61.9092991002406+0.627940749333475i</v>
      </c>
      <c r="Z15" s="227" t="str">
        <f t="shared" si="7"/>
        <v>32.2396663207735+0.326680065573705i</v>
      </c>
      <c r="AA15" s="227" t="str">
        <f t="shared" si="8"/>
        <v>19.0303510809293-0.267609869838268i</v>
      </c>
      <c r="AB15" s="227">
        <f t="shared" si="18"/>
        <v>25.589794729512583</v>
      </c>
      <c r="AC15" s="227">
        <f t="shared" si="19"/>
        <v>-0.80565542229598175</v>
      </c>
      <c r="AD15" s="229">
        <f t="shared" si="20"/>
        <v>23.414557911163346</v>
      </c>
      <c r="AE15" s="229">
        <f t="shared" si="21"/>
        <v>92.583089119748848</v>
      </c>
      <c r="AF15" s="227">
        <f t="shared" si="9"/>
        <v>49.004352640675933</v>
      </c>
      <c r="AG15" s="227">
        <f t="shared" si="10"/>
        <v>91.777433697452864</v>
      </c>
      <c r="AH15" s="229" t="str">
        <f t="shared" si="22"/>
        <v>0.667724828229389-14.8008409320542i</v>
      </c>
    </row>
    <row r="16" spans="2:35" x14ac:dyDescent="0.2">
      <c r="B16" s="221" t="s">
        <v>56</v>
      </c>
      <c r="C16" s="102">
        <f>Rdson_ls</f>
        <v>1.6999999999999999E-3</v>
      </c>
      <c r="D16" s="220" t="s">
        <v>29</v>
      </c>
      <c r="E16" s="221"/>
      <c r="F16" s="247">
        <f>Rdsonss</f>
        <v>1.6999999999999999E-3</v>
      </c>
      <c r="G16" s="220" t="s">
        <v>29</v>
      </c>
      <c r="I16" s="227">
        <v>12</v>
      </c>
      <c r="J16" s="227">
        <f t="shared" si="0"/>
        <v>1.1170014703214008</v>
      </c>
      <c r="K16" s="227">
        <f t="shared" si="23"/>
        <v>13.091863552948606</v>
      </c>
      <c r="L16" s="227">
        <f t="shared" si="11"/>
        <v>82.258604719486613</v>
      </c>
      <c r="M16" s="227">
        <f t="shared" si="1"/>
        <v>5806.7717114539582</v>
      </c>
      <c r="N16" s="227">
        <f>SQRT((ABS(AC16)-171.5+'Small Signal'!C$59)^2)</f>
        <v>100.67605483065125</v>
      </c>
      <c r="O16" s="227">
        <f t="shared" si="12"/>
        <v>91.749757405508504</v>
      </c>
      <c r="P16" s="227">
        <f t="shared" si="13"/>
        <v>48.809518585173493</v>
      </c>
      <c r="Q16" s="227">
        <f t="shared" si="14"/>
        <v>13.091863552948606</v>
      </c>
      <c r="R16" s="227" t="str">
        <f t="shared" si="2"/>
        <v>0.0878666666666667+0.000386615442181587i</v>
      </c>
      <c r="S16" s="227" t="str">
        <f t="shared" si="3"/>
        <v>0.0085-465.578919932167i</v>
      </c>
      <c r="T16" s="227" t="str">
        <f t="shared" si="15"/>
        <v>13.0805609807823-0.367792310535721i</v>
      </c>
      <c r="U16" s="227" t="str">
        <f t="shared" si="4"/>
        <v>80.9911505879789-0.350674522642121i</v>
      </c>
      <c r="V16" s="227">
        <f t="shared" si="16"/>
        <v>38.168832791621661</v>
      </c>
      <c r="W16" s="227">
        <f t="shared" si="17"/>
        <v>-0.24807703593909061</v>
      </c>
      <c r="X16" s="227" t="str">
        <f t="shared" si="5"/>
        <v>0.999999998781178-0.000010280806558234i</v>
      </c>
      <c r="Y16" s="227" t="str">
        <f t="shared" si="6"/>
        <v>61.9094416590621+0.642197632131106i</v>
      </c>
      <c r="Z16" s="227" t="str">
        <f t="shared" si="7"/>
        <v>32.2397407084283+0.334097069293812i</v>
      </c>
      <c r="AA16" s="227" t="str">
        <f t="shared" si="8"/>
        <v>19.0301860660057-0.273683523787675i</v>
      </c>
      <c r="AB16" s="227">
        <f t="shared" si="18"/>
        <v>25.589758845344427</v>
      </c>
      <c r="AC16" s="227">
        <f t="shared" si="19"/>
        <v>-0.8239451693487535</v>
      </c>
      <c r="AD16" s="229">
        <f t="shared" si="20"/>
        <v>23.219759739829069</v>
      </c>
      <c r="AE16" s="229">
        <f t="shared" si="21"/>
        <v>92.573702574857251</v>
      </c>
      <c r="AF16" s="227">
        <f t="shared" si="9"/>
        <v>48.809518585173493</v>
      </c>
      <c r="AG16" s="227">
        <f t="shared" si="10"/>
        <v>91.749757405508504</v>
      </c>
      <c r="AH16" s="229" t="str">
        <f t="shared" si="22"/>
        <v>0.650545460633779-14.472704223562i</v>
      </c>
    </row>
    <row r="17" spans="2:34" x14ac:dyDescent="0.2">
      <c r="B17" s="221" t="s">
        <v>137</v>
      </c>
      <c r="C17" s="103">
        <f>Co</f>
        <v>2.6111111111111114E-5</v>
      </c>
      <c r="D17" s="220" t="s">
        <v>7</v>
      </c>
      <c r="E17" s="221"/>
      <c r="F17" s="249">
        <f>Co</f>
        <v>2.6111111111111114E-5</v>
      </c>
      <c r="G17" s="220" t="s">
        <v>7</v>
      </c>
      <c r="I17" s="227">
        <v>13</v>
      </c>
      <c r="J17" s="227">
        <f t="shared" si="0"/>
        <v>1.1267515928481842</v>
      </c>
      <c r="K17" s="227">
        <f t="shared" si="23"/>
        <v>13.38910640125644</v>
      </c>
      <c r="L17" s="227">
        <f t="shared" si="11"/>
        <v>84.126236616638607</v>
      </c>
      <c r="M17" s="227">
        <f t="shared" si="1"/>
        <v>5806.4677198864547</v>
      </c>
      <c r="N17" s="227">
        <f>SQRT((ABS(AC17)-171.5+'Small Signal'!C$59)^2)</f>
        <v>100.65734997727176</v>
      </c>
      <c r="O17" s="227">
        <f t="shared" si="12"/>
        <v>91.722961386131274</v>
      </c>
      <c r="P17" s="227">
        <f t="shared" si="13"/>
        <v>48.614680287488099</v>
      </c>
      <c r="Q17" s="227">
        <f t="shared" si="14"/>
        <v>13.38910640125644</v>
      </c>
      <c r="R17" s="227" t="str">
        <f t="shared" si="2"/>
        <v>0.0878666666666667+0.000395393312098201i</v>
      </c>
      <c r="S17" s="227" t="str">
        <f t="shared" si="3"/>
        <v>0.0085-455.242904956609i</v>
      </c>
      <c r="T17" s="227" t="str">
        <f t="shared" si="15"/>
        <v>13.0800861444212-0.376129149424423i</v>
      </c>
      <c r="U17" s="227" t="str">
        <f t="shared" si="4"/>
        <v>80.9911431730694-0.358636578687562i</v>
      </c>
      <c r="V17" s="227">
        <f t="shared" si="16"/>
        <v>38.168835735489253</v>
      </c>
      <c r="W17" s="227">
        <f t="shared" si="17"/>
        <v>-0.25370956909612807</v>
      </c>
      <c r="X17" s="227" t="str">
        <f t="shared" si="5"/>
        <v>0.999999998725204-0.0000105142260566814i</v>
      </c>
      <c r="Y17" s="227" t="str">
        <f t="shared" si="6"/>
        <v>61.9095907649373+0.656778199613506i</v>
      </c>
      <c r="Z17" s="227" t="str">
        <f t="shared" si="7"/>
        <v>32.2398185123566+0.341682466743557i</v>
      </c>
      <c r="AA17" s="227" t="str">
        <f t="shared" si="8"/>
        <v>19.0300134758145-0.279894918517764i</v>
      </c>
      <c r="AB17" s="227">
        <f t="shared" si="18"/>
        <v>25.589721313540288</v>
      </c>
      <c r="AC17" s="227">
        <f t="shared" si="19"/>
        <v>-0.8426500227282413</v>
      </c>
      <c r="AD17" s="229">
        <f t="shared" si="20"/>
        <v>23.024958973947815</v>
      </c>
      <c r="AE17" s="229">
        <f t="shared" si="21"/>
        <v>92.56561140885951</v>
      </c>
      <c r="AF17" s="227">
        <f t="shared" si="9"/>
        <v>48.614680287488099</v>
      </c>
      <c r="AG17" s="227">
        <f t="shared" si="10"/>
        <v>91.722961386131274</v>
      </c>
      <c r="AH17" s="229" t="str">
        <f t="shared" si="22"/>
        <v>0.634119415468695-14.1518234108666i</v>
      </c>
    </row>
    <row r="18" spans="2:34" x14ac:dyDescent="0.2">
      <c r="B18" s="221" t="s">
        <v>271</v>
      </c>
      <c r="C18" s="104">
        <f>Co_esr</f>
        <v>8.5000000000000006E-3</v>
      </c>
      <c r="D18" s="220" t="s">
        <v>29</v>
      </c>
      <c r="E18" s="221"/>
      <c r="F18" s="250">
        <f>Co_esr</f>
        <v>8.5000000000000006E-3</v>
      </c>
      <c r="G18" s="220" t="s">
        <v>29</v>
      </c>
      <c r="I18" s="227">
        <v>14</v>
      </c>
      <c r="J18" s="227">
        <f t="shared" si="0"/>
        <v>1.1365017153749677</v>
      </c>
      <c r="K18" s="227">
        <f t="shared" si="23"/>
        <v>13.693097968760206</v>
      </c>
      <c r="L18" s="227">
        <f t="shared" si="11"/>
        <v>86.036271967084758</v>
      </c>
      <c r="M18" s="227">
        <f t="shared" si="1"/>
        <v>5806.1568263741656</v>
      </c>
      <c r="N18" s="227">
        <f>SQRT((ABS(AC18)-171.5+'Small Signal'!C$59)^2)</f>
        <v>100.6382206033675</v>
      </c>
      <c r="O18" s="227">
        <f t="shared" si="12"/>
        <v>91.697032194974511</v>
      </c>
      <c r="P18" s="227">
        <f t="shared" si="13"/>
        <v>48.419838077992225</v>
      </c>
      <c r="Q18" s="227">
        <f t="shared" si="14"/>
        <v>13.693097968760206</v>
      </c>
      <c r="R18" s="227" t="str">
        <f t="shared" si="2"/>
        <v>0.0878666666666667+0.000404370478245298i</v>
      </c>
      <c r="S18" s="227" t="str">
        <f t="shared" si="3"/>
        <v>0.0085-445.136353131123i</v>
      </c>
      <c r="T18" s="227" t="str">
        <f t="shared" si="15"/>
        <v>13.0795895384496-0.384654320352974i</v>
      </c>
      <c r="U18" s="227" t="str">
        <f t="shared" si="4"/>
        <v>80.9911354175537-0.366779422544656i</v>
      </c>
      <c r="V18" s="227">
        <f t="shared" si="16"/>
        <v>38.168838814550071</v>
      </c>
      <c r="W18" s="227">
        <f t="shared" si="17"/>
        <v>-0.25946999206374627</v>
      </c>
      <c r="X18" s="227" t="str">
        <f t="shared" si="5"/>
        <v>0.99999999866666-0.0000107529452037456i</v>
      </c>
      <c r="Y18" s="227" t="str">
        <f t="shared" si="6"/>
        <v>61.9097467185474+0.671689800203252i</v>
      </c>
      <c r="Z18" s="227" t="str">
        <f t="shared" si="7"/>
        <v>32.2398998894551+0.349440080862389i</v>
      </c>
      <c r="AA18" s="227" t="str">
        <f t="shared" si="8"/>
        <v>19.0298329627419-0.286247170356201i</v>
      </c>
      <c r="AB18" s="227">
        <f t="shared" si="18"/>
        <v>25.58968205846373</v>
      </c>
      <c r="AC18" s="227">
        <f t="shared" si="19"/>
        <v>-0.86177939663250136</v>
      </c>
      <c r="AD18" s="229">
        <f t="shared" si="20"/>
        <v>22.830156019528491</v>
      </c>
      <c r="AE18" s="229">
        <f t="shared" si="21"/>
        <v>92.558811591607011</v>
      </c>
      <c r="AF18" s="227">
        <f t="shared" si="9"/>
        <v>48.419838077992225</v>
      </c>
      <c r="AG18" s="227">
        <f t="shared" si="10"/>
        <v>91.697032194974511</v>
      </c>
      <c r="AH18" s="229" t="str">
        <f t="shared" si="22"/>
        <v>0.618413700617257-13.8380392928125i</v>
      </c>
    </row>
    <row r="19" spans="2:34" x14ac:dyDescent="0.2">
      <c r="B19" s="221" t="s">
        <v>183</v>
      </c>
      <c r="C19" s="104">
        <f>Rsense</f>
        <v>5.0000000000000001E-3</v>
      </c>
      <c r="D19" s="220" t="s">
        <v>29</v>
      </c>
      <c r="E19" s="221"/>
      <c r="F19" s="250">
        <f>C19</f>
        <v>5.0000000000000001E-3</v>
      </c>
      <c r="G19" s="220" t="s">
        <v>29</v>
      </c>
      <c r="I19" s="227">
        <v>15</v>
      </c>
      <c r="J19" s="227">
        <f t="shared" si="0"/>
        <v>1.146251837901751</v>
      </c>
      <c r="K19" s="227">
        <f t="shared" si="23"/>
        <v>14.003991481049821</v>
      </c>
      <c r="L19" s="227">
        <f t="shared" si="11"/>
        <v>87.98967351560033</v>
      </c>
      <c r="M19" s="227">
        <f>SQRT((Fco_target-K20)^2)</f>
        <v>5805.8388742126053</v>
      </c>
      <c r="N19" s="227">
        <f>SQRT((ABS(AC19)-171.5+'Small Signal'!C$59)^2)</f>
        <v>100.61865708173076</v>
      </c>
      <c r="O19" s="227">
        <f t="shared" si="12"/>
        <v>91.671956817262867</v>
      </c>
      <c r="P19" s="227">
        <f t="shared" si="13"/>
        <v>48.224992279201366</v>
      </c>
      <c r="Q19" s="227">
        <f t="shared" si="14"/>
        <v>14.003991481049821</v>
      </c>
      <c r="R19" s="227" t="str">
        <f t="shared" si="2"/>
        <v>0.0878666666666667+0.000413551465523322i</v>
      </c>
      <c r="S19" s="227" t="str">
        <f t="shared" si="3"/>
        <v>0.0085-435.254170293466i</v>
      </c>
      <c r="T19" s="227" t="str">
        <f t="shared" si="15"/>
        <v>13.0790701665769-0.393372033168529i</v>
      </c>
      <c r="U19" s="227" t="str">
        <f t="shared" si="4"/>
        <v>80.9911273057811-0.375107159876667i</v>
      </c>
      <c r="V19" s="227">
        <f t="shared" si="16"/>
        <v>38.16884203501251</v>
      </c>
      <c r="W19" s="227">
        <f t="shared" si="17"/>
        <v>-0.26536120895913701</v>
      </c>
      <c r="X19" s="227" t="str">
        <f t="shared" si="5"/>
        <v>0.999999998605427-0.0000109970843247448i</v>
      </c>
      <c r="Y19" s="227" t="str">
        <f t="shared" si="6"/>
        <v>61.909909834385+0.686939949119612i</v>
      </c>
      <c r="Z19" s="227" t="str">
        <f t="shared" si="7"/>
        <v>32.2399850038266+0.357373821363687i</v>
      </c>
      <c r="AA19" s="227" t="str">
        <f t="shared" si="8"/>
        <v>19.0296441632353-0.292743465619619i</v>
      </c>
      <c r="AB19" s="227">
        <f t="shared" si="18"/>
        <v>25.589641001007255</v>
      </c>
      <c r="AC19" s="227">
        <f t="shared" si="19"/>
        <v>-0.88134291826923328</v>
      </c>
      <c r="AD19" s="229">
        <f t="shared" si="20"/>
        <v>22.635351278194111</v>
      </c>
      <c r="AE19" s="229">
        <f t="shared" si="21"/>
        <v>92.553299735532107</v>
      </c>
      <c r="AF19" s="227">
        <f t="shared" si="9"/>
        <v>48.224992279201366</v>
      </c>
      <c r="AG19" s="227">
        <f t="shared" si="10"/>
        <v>91.671956817262867</v>
      </c>
      <c r="AH19" s="229" t="str">
        <f t="shared" si="22"/>
        <v>0.603396765314829-13.5311960803737i</v>
      </c>
    </row>
    <row r="20" spans="2:34" ht="15" x14ac:dyDescent="0.25">
      <c r="B20" s="220"/>
      <c r="C20" s="267"/>
      <c r="D20" s="267"/>
      <c r="I20" s="227">
        <v>16</v>
      </c>
      <c r="J20" s="227">
        <f t="shared" si="0"/>
        <v>1.1560019604285343</v>
      </c>
      <c r="K20" s="227">
        <f t="shared" si="23"/>
        <v>14.321943642609622</v>
      </c>
      <c r="L20" s="227">
        <f t="shared" si="11"/>
        <v>89.987425865498864</v>
      </c>
      <c r="M20" s="227">
        <f>SQRT((Fco_target-K21)^2)</f>
        <v>5805.5137031394106</v>
      </c>
      <c r="N20" s="227">
        <f>SQRT((ABS(AC20)-171.5+'Small Signal'!C$59)^2)</f>
        <v>100.59864956735905</v>
      </c>
      <c r="O20" s="227">
        <f t="shared" si="12"/>
        <v>91.647722661479492</v>
      </c>
      <c r="P20" s="227">
        <f t="shared" si="13"/>
        <v>48.030143206420462</v>
      </c>
      <c r="Q20" s="227">
        <f t="shared" si="14"/>
        <v>14.321943642609622</v>
      </c>
      <c r="R20" s="227" t="str">
        <f t="shared" si="2"/>
        <v>0.0878666666666667+0.000422940901567845i</v>
      </c>
      <c r="S20" s="227" t="str">
        <f t="shared" si="3"/>
        <v>0.0085-425.591375373577i</v>
      </c>
      <c r="T20" s="227" t="str">
        <f t="shared" si="15"/>
        <v>13.0785269870832-0.40228658870904i</v>
      </c>
      <c r="U20" s="227" t="str">
        <f t="shared" si="4"/>
        <v>80.9911188213821-0.383623989632119i</v>
      </c>
      <c r="V20" s="227">
        <f t="shared" si="16"/>
        <v>38.168845403370113</v>
      </c>
      <c r="W20" s="227">
        <f t="shared" si="17"/>
        <v>-0.27138618986751883</v>
      </c>
      <c r="X20" s="227" t="str">
        <f t="shared" si="5"/>
        <v>0.999999998541383-0.0000112467664769112i</v>
      </c>
      <c r="Y20" s="227" t="str">
        <f t="shared" si="6"/>
        <v>61.9100804413857+0.702536332162476i</v>
      </c>
      <c r="Z20" s="227" t="str">
        <f t="shared" si="7"/>
        <v>32.2400740271111+0.365487686703294i</v>
      </c>
      <c r="AA20" s="227" t="str">
        <f t="shared" si="8"/>
        <v>19.029446697075-0.299387062149448i</v>
      </c>
      <c r="AB20" s="227">
        <f t="shared" si="18"/>
        <v>25.589598058433744</v>
      </c>
      <c r="AC20" s="227">
        <f t="shared" si="19"/>
        <v>-0.90135043264096204</v>
      </c>
      <c r="AD20" s="229">
        <f t="shared" si="20"/>
        <v>22.440545147986718</v>
      </c>
      <c r="AE20" s="229">
        <f t="shared" si="21"/>
        <v>92.549073094120459</v>
      </c>
      <c r="AF20" s="227">
        <f t="shared" si="9"/>
        <v>48.030143206420462</v>
      </c>
      <c r="AG20" s="227">
        <f t="shared" si="10"/>
        <v>91.647722661479492</v>
      </c>
      <c r="AH20" s="229" t="str">
        <f t="shared" si="22"/>
        <v>0.589038437484654-13.2311413288356i</v>
      </c>
    </row>
    <row r="21" spans="2:34" ht="15" x14ac:dyDescent="0.25">
      <c r="E21" s="269" t="s">
        <v>272</v>
      </c>
      <c r="F21" s="269"/>
      <c r="G21" s="269"/>
      <c r="I21" s="227">
        <v>17</v>
      </c>
      <c r="J21" s="227">
        <f t="shared" si="0"/>
        <v>1.1657520829553178</v>
      </c>
      <c r="K21" s="227">
        <f t="shared" si="23"/>
        <v>14.647114715804539</v>
      </c>
      <c r="L21" s="227">
        <f t="shared" si="11"/>
        <v>92.030535974916987</v>
      </c>
      <c r="M21" s="227">
        <f t="shared" si="1"/>
        <v>5805.1811492535553</v>
      </c>
      <c r="N21" s="227">
        <f>SQRT((ABS(AC21)-171.5+'Small Signal'!C$59)^2)</f>
        <v>100.57818799256472</v>
      </c>
      <c r="O21" s="227">
        <f t="shared" si="12"/>
        <v>91.624317553234746</v>
      </c>
      <c r="P21" s="227">
        <f t="shared" si="13"/>
        <v>47.835291168374297</v>
      </c>
      <c r="Q21" s="227">
        <f t="shared" si="14"/>
        <v>14.647114715804539</v>
      </c>
      <c r="R21" s="227" t="str">
        <f t="shared" si="2"/>
        <v>0.0878666666666667+0.00043254351908211i</v>
      </c>
      <c r="S21" s="227" t="str">
        <f t="shared" si="3"/>
        <v>0.0085-416.143097882898i</v>
      </c>
      <c r="T21" s="227" t="str">
        <f t="shared" si="15"/>
        <v>13.0779589107638-0.411402380551073i</v>
      </c>
      <c r="U21" s="227" t="str">
        <f t="shared" si="4"/>
        <v>80.9911099472352-0.392334206167539i</v>
      </c>
      <c r="V21" s="227">
        <f t="shared" si="16"/>
        <v>38.168848926414697</v>
      </c>
      <c r="W21" s="227">
        <f t="shared" si="17"/>
        <v>-0.27754797234209871</v>
      </c>
      <c r="X21" s="227" t="str">
        <f t="shared" si="5"/>
        <v>0.999999998474397-0.0000115021175114167i</v>
      </c>
      <c r="Y21" s="227" t="str">
        <f t="shared" si="6"/>
        <v>61.9102588835933+0.718486809581945i</v>
      </c>
      <c r="Z21" s="227" t="str">
        <f t="shared" si="7"/>
        <v>32.2401671388315+0.373785766092591i</v>
      </c>
      <c r="AA21" s="227" t="str">
        <f t="shared" si="8"/>
        <v>19.0292401666108-0.306181290878875i</v>
      </c>
      <c r="AB21" s="227">
        <f t="shared" si="18"/>
        <v>25.589553144209802</v>
      </c>
      <c r="AC21" s="227">
        <f t="shared" si="19"/>
        <v>-0.9218120074352758</v>
      </c>
      <c r="AD21" s="229">
        <f t="shared" si="20"/>
        <v>22.245738024164496</v>
      </c>
      <c r="AE21" s="229">
        <f t="shared" si="21"/>
        <v>92.546129560670025</v>
      </c>
      <c r="AF21" s="227">
        <f t="shared" si="9"/>
        <v>47.835291168374297</v>
      </c>
      <c r="AG21" s="227">
        <f t="shared" si="10"/>
        <v>91.624317553234746</v>
      </c>
      <c r="AH21" s="229" t="str">
        <f t="shared" si="22"/>
        <v>0.57530986377164-12.9377258709678i</v>
      </c>
    </row>
    <row r="22" spans="2:34" x14ac:dyDescent="0.2">
      <c r="E22" s="223" t="s">
        <v>28</v>
      </c>
      <c r="F22" s="251">
        <f>VLOOKUP(MIN('Small Signal'!P4:P504),'Small Signal'!P4:Q504,2,FALSE)</f>
        <v>5134.9244999909452</v>
      </c>
      <c r="I22" s="227">
        <v>18</v>
      </c>
      <c r="J22" s="227">
        <f t="shared" si="0"/>
        <v>1.1755022054821012</v>
      </c>
      <c r="K22" s="227">
        <f t="shared" si="23"/>
        <v>14.979668601659609</v>
      </c>
      <c r="L22" s="227">
        <f t="shared" si="11"/>
        <v>94.120033664367043</v>
      </c>
      <c r="M22" s="227">
        <f t="shared" si="1"/>
        <v>5804.8410449327412</v>
      </c>
      <c r="N22" s="227">
        <f>SQRT((ABS(AC22)-171.5+'Small Signal'!C$59)^2)</f>
        <v>100.5572620619777</v>
      </c>
      <c r="O22" s="227">
        <f t="shared" si="12"/>
        <v>91.601729729314059</v>
      </c>
      <c r="P22" s="227">
        <f t="shared" si="13"/>
        <v>47.640436467825808</v>
      </c>
      <c r="Q22" s="227">
        <f t="shared" si="14"/>
        <v>14.979668601659609</v>
      </c>
      <c r="R22" s="227" t="str">
        <f t="shared" si="2"/>
        <v>0.0878666666666667+0.000442364158222525i</v>
      </c>
      <c r="S22" s="227" t="str">
        <f t="shared" si="3"/>
        <v>0.0085-406.904575459419i</v>
      </c>
      <c r="T22" s="227" t="str">
        <f t="shared" si="15"/>
        <v>13.0773647987813-0.420723896775377i</v>
      </c>
      <c r="U22" s="227" t="str">
        <f t="shared" si="4"/>
        <v>80.9911006654313-0.401242201418778i</v>
      </c>
      <c r="V22" s="227">
        <f t="shared" si="16"/>
        <v>38.168852611249932</v>
      </c>
      <c r="W22" s="227">
        <f t="shared" si="17"/>
        <v>-0.28384966293828207</v>
      </c>
      <c r="X22" s="227" t="str">
        <f t="shared" si="5"/>
        <v>0.999999998404334-0.0000117632661368082i</v>
      </c>
      <c r="Y22" s="227" t="str">
        <f t="shared" si="6"/>
        <v>61.9104455208529+0.734799420035544i</v>
      </c>
      <c r="Z22" s="227" t="str">
        <f t="shared" si="7"/>
        <v>32.2402645267562+0.38227224155717i</v>
      </c>
      <c r="AA22" s="227" t="str">
        <f t="shared" si="8"/>
        <v>19.0290241559642-0.313129557431431i</v>
      </c>
      <c r="AB22" s="227">
        <f t="shared" si="18"/>
        <v>25.589506167831576</v>
      </c>
      <c r="AC22" s="227">
        <f t="shared" si="19"/>
        <v>-0.94273793802230432</v>
      </c>
      <c r="AD22" s="229">
        <f t="shared" si="20"/>
        <v>22.050930299994228</v>
      </c>
      <c r="AE22" s="229">
        <f t="shared" si="21"/>
        <v>92.544467667336363</v>
      </c>
      <c r="AF22" s="227">
        <f t="shared" si="9"/>
        <v>47.640436467825808</v>
      </c>
      <c r="AG22" s="227">
        <f t="shared" si="10"/>
        <v>91.601729729314059</v>
      </c>
      <c r="AH22" s="229" t="str">
        <f t="shared" si="22"/>
        <v>0.562183452160454-12.6508037512015i</v>
      </c>
    </row>
    <row r="23" spans="2:34" x14ac:dyDescent="0.2">
      <c r="E23" s="223" t="s">
        <v>22</v>
      </c>
      <c r="F23" s="252">
        <f>VLOOKUP(MIN('Small Signal'!P4:P504),'Small Signal'!P4:AG504,18,FALSE)</f>
        <v>73.597513045562167</v>
      </c>
      <c r="I23" s="227">
        <v>19</v>
      </c>
      <c r="J23" s="227">
        <f t="shared" si="0"/>
        <v>1.1852523280088847</v>
      </c>
      <c r="K23" s="227">
        <f t="shared" si="23"/>
        <v>15.319772922473584</v>
      </c>
      <c r="L23" s="227">
        <f t="shared" si="11"/>
        <v>96.256972135813697</v>
      </c>
      <c r="M23" s="227">
        <f t="shared" si="1"/>
        <v>5804.4932187489067</v>
      </c>
      <c r="N23" s="227">
        <f>SQRT((ABS(AC23)-171.5+'Small Signal'!C$59)^2)</f>
        <v>100.53586124743845</v>
      </c>
      <c r="O23" s="227">
        <f t="shared" si="12"/>
        <v>91.579947831902601</v>
      </c>
      <c r="P23" s="227">
        <f t="shared" si="13"/>
        <v>47.445579402182602</v>
      </c>
      <c r="Q23" s="227">
        <f t="shared" si="14"/>
        <v>15.319772922473584</v>
      </c>
      <c r="R23" s="227" t="str">
        <f t="shared" si="2"/>
        <v>0.0878666666666667+0.000452407769038324i</v>
      </c>
      <c r="S23" s="227" t="str">
        <f t="shared" si="3"/>
        <v>0.0085-397.871151467232i</v>
      </c>
      <c r="T23" s="227" t="str">
        <f t="shared" si="15"/>
        <v>13.0767434604227-0.430255721749087i</v>
      </c>
      <c r="U23" s="227" t="str">
        <f t="shared" si="4"/>
        <v>80.9910909572381-0.410352467121953i</v>
      </c>
      <c r="V23" s="227">
        <f t="shared" si="16"/>
        <v>38.16885646530568</v>
      </c>
      <c r="W23" s="227">
        <f t="shared" si="17"/>
        <v>-0.29029443878285177</v>
      </c>
      <c r="X23" s="227" t="str">
        <f t="shared" si="5"/>
        <v>0.999999998331055-0.0000120303439838822i</v>
      </c>
      <c r="Y23" s="227" t="str">
        <f t="shared" si="6"/>
        <v>61.9106407295378+0.751482384635024i</v>
      </c>
      <c r="Z23" s="227" t="str">
        <f t="shared" si="7"/>
        <v>32.2403663872779+0.390951390042107i</v>
      </c>
      <c r="AA23" s="227" t="str">
        <f t="shared" si="8"/>
        <v>19.028798230195-0.320235343751638i</v>
      </c>
      <c r="AB23" s="227">
        <f t="shared" si="18"/>
        <v>25.589457034643075</v>
      </c>
      <c r="AC23" s="227">
        <f t="shared" si="19"/>
        <v>-0.96413875256155379</v>
      </c>
      <c r="AD23" s="229">
        <f t="shared" si="20"/>
        <v>21.856122367539527</v>
      </c>
      <c r="AE23" s="229">
        <f t="shared" si="21"/>
        <v>92.544086584464154</v>
      </c>
      <c r="AF23" s="227">
        <f t="shared" si="9"/>
        <v>47.445579402182602</v>
      </c>
      <c r="AG23" s="227">
        <f t="shared" si="10"/>
        <v>91.579947831902601</v>
      </c>
      <c r="AH23" s="229" t="str">
        <f t="shared" si="22"/>
        <v>0.549632817068514-12.3702321608184i</v>
      </c>
    </row>
    <row r="24" spans="2:34" x14ac:dyDescent="0.2">
      <c r="E24" s="223" t="s">
        <v>26</v>
      </c>
      <c r="F24" s="252">
        <f>VLOOKUP(MIN('Small Signal'!O4:O505),'Small Signal'!O4:AF505,18,FALSE)</f>
        <v>-11.961609562514235</v>
      </c>
      <c r="I24" s="227">
        <v>20</v>
      </c>
      <c r="J24" s="227">
        <f t="shared" si="0"/>
        <v>1.195002450535668</v>
      </c>
      <c r="K24" s="227">
        <f t="shared" si="23"/>
        <v>15.667599106308181</v>
      </c>
      <c r="L24" s="227">
        <f t="shared" si="11"/>
        <v>98.442428503535581</v>
      </c>
      <c r="M24" s="227">
        <f t="shared" si="1"/>
        <v>5804.1374953818195</v>
      </c>
      <c r="N24" s="227">
        <f>SQRT((ABS(AC24)-171.5+'Small Signal'!C$59)^2)</f>
        <v>100.51397478277957</v>
      </c>
      <c r="O24" s="227">
        <f t="shared" si="12"/>
        <v>91.558960902984921</v>
      </c>
      <c r="P24" s="227">
        <f t="shared" si="13"/>
        <v>47.250720264092053</v>
      </c>
      <c r="Q24" s="227">
        <f t="shared" si="14"/>
        <v>15.667599106308181</v>
      </c>
      <c r="R24" s="227" t="str">
        <f t="shared" si="2"/>
        <v>0.0878666666666667+0.000462679413966617i</v>
      </c>
      <c r="S24" s="227" t="str">
        <f t="shared" si="3"/>
        <v>0.0085-389.038272649379i</v>
      </c>
      <c r="T24" s="227" t="str">
        <f t="shared" si="15"/>
        <v>13.0760936507571-0.440002537923324i</v>
      </c>
      <c r="U24" s="227" t="str">
        <f t="shared" si="4"/>
        <v>80.9910808030621-0.419669597085196i</v>
      </c>
      <c r="V24" s="227">
        <f t="shared" si="16"/>
        <v>38.168860496353048</v>
      </c>
      <c r="W24" s="227">
        <f t="shared" si="17"/>
        <v>-0.29688554917895321</v>
      </c>
      <c r="X24" s="227" t="str">
        <f t="shared" si="5"/>
        <v>0.99999999825441-0.000012303485672033i</v>
      </c>
      <c r="Y24" s="227" t="str">
        <f t="shared" si="6"/>
        <v>61.9108449033071+0.7685441110848i</v>
      </c>
      <c r="Z24" s="227" t="str">
        <f t="shared" si="7"/>
        <v>32.2404729258091+0.399827585564905i</v>
      </c>
      <c r="AA24" s="227" t="str">
        <f t="shared" si="8"/>
        <v>19.028561934429-0.327502209768166i</v>
      </c>
      <c r="AB24" s="227">
        <f t="shared" si="18"/>
        <v>25.589405645645655</v>
      </c>
      <c r="AC24" s="227">
        <f t="shared" si="19"/>
        <v>-0.9860252172204268</v>
      </c>
      <c r="AD24" s="229">
        <f t="shared" si="20"/>
        <v>21.661314618446397</v>
      </c>
      <c r="AE24" s="229">
        <f t="shared" si="21"/>
        <v>92.544986120205351</v>
      </c>
      <c r="AF24" s="227">
        <f t="shared" si="9"/>
        <v>47.250720264092053</v>
      </c>
      <c r="AG24" s="227">
        <f t="shared" si="10"/>
        <v>91.558960902984921</v>
      </c>
      <c r="AH24" s="229" t="str">
        <f t="shared" si="22"/>
        <v>0.5376327268091-12.0958713741576i</v>
      </c>
    </row>
    <row r="25" spans="2:34" x14ac:dyDescent="0.2">
      <c r="I25" s="227">
        <v>21</v>
      </c>
      <c r="J25" s="227">
        <f t="shared" si="0"/>
        <v>1.2047525730624513</v>
      </c>
      <c r="K25" s="227">
        <f t="shared" si="23"/>
        <v>16.023322473395638</v>
      </c>
      <c r="L25" s="227">
        <f t="shared" si="11"/>
        <v>100.67750433703993</v>
      </c>
      <c r="M25" s="227">
        <f t="shared" si="1"/>
        <v>5803.7736955307073</v>
      </c>
      <c r="N25" s="227">
        <f>SQRT((ABS(AC25)-171.5+'Small Signal'!C$59)^2)</f>
        <v>100.49159165849355</v>
      </c>
      <c r="O25" s="227">
        <f t="shared" si="12"/>
        <v>91.538758378917066</v>
      </c>
      <c r="P25" s="227">
        <f t="shared" si="13"/>
        <v>47.055859342027276</v>
      </c>
      <c r="Q25" s="227">
        <f t="shared" si="14"/>
        <v>16.023322473395638</v>
      </c>
      <c r="R25" s="227" t="str">
        <f t="shared" si="2"/>
        <v>0.0878666666666667+0.000473184270384088i</v>
      </c>
      <c r="S25" s="227" t="str">
        <f t="shared" si="3"/>
        <v>0.0085-380.401486832799i</v>
      </c>
      <c r="T25" s="227" t="str">
        <f t="shared" si="15"/>
        <v>13.0754140681888-0.449969127644856i</v>
      </c>
      <c r="U25" s="227" t="str">
        <f t="shared" si="4"/>
        <v>80.9910701824079-0.429198289512413i</v>
      </c>
      <c r="V25" s="227">
        <f t="shared" si="16"/>
        <v>38.168864712519863</v>
      </c>
      <c r="W25" s="227">
        <f t="shared" si="17"/>
        <v>-0.30362631724772976</v>
      </c>
      <c r="X25" s="227" t="str">
        <f t="shared" si="5"/>
        <v>0.999999998174245-0.0000125828288771068i</v>
      </c>
      <c r="Y25" s="227" t="str">
        <f t="shared" si="6"/>
        <v>61.9110584539006+0.785993197914023i</v>
      </c>
      <c r="Z25" s="227" t="str">
        <f t="shared" si="7"/>
        <v>32.240584357197+0.408905301417145i</v>
      </c>
      <c r="AA25" s="227" t="str">
        <f t="shared" si="8"/>
        <v>19.0283147929462-0.334933795089874i</v>
      </c>
      <c r="AB25" s="227">
        <f t="shared" si="18"/>
        <v>25.589351897298943</v>
      </c>
      <c r="AC25" s="227">
        <f t="shared" si="19"/>
        <v>-1.0084083415064597</v>
      </c>
      <c r="AD25" s="229">
        <f t="shared" si="20"/>
        <v>21.466507444728332</v>
      </c>
      <c r="AE25" s="229">
        <f t="shared" si="21"/>
        <v>92.547166720423533</v>
      </c>
      <c r="AF25" s="227">
        <f t="shared" si="9"/>
        <v>47.055859342027276</v>
      </c>
      <c r="AG25" s="227">
        <f t="shared" si="10"/>
        <v>91.538758378917066</v>
      </c>
      <c r="AH25" s="229" t="str">
        <f t="shared" si="22"/>
        <v>0.526159053323977-11.8275846858462i</v>
      </c>
    </row>
    <row r="26" spans="2:34" ht="15" x14ac:dyDescent="0.25">
      <c r="E26" s="268" t="s">
        <v>131</v>
      </c>
      <c r="F26" s="268"/>
      <c r="G26" s="268"/>
      <c r="I26" s="227">
        <v>22</v>
      </c>
      <c r="J26" s="227">
        <f t="shared" si="0"/>
        <v>1.2145026955892348</v>
      </c>
      <c r="K26" s="227">
        <f t="shared" si="23"/>
        <v>16.387122324508088</v>
      </c>
      <c r="L26" s="227">
        <f t="shared" si="11"/>
        <v>102.9633262163038</v>
      </c>
      <c r="M26" s="227">
        <f t="shared" si="1"/>
        <v>5803.4016358238814</v>
      </c>
      <c r="N26" s="227">
        <f>SQRT((ABS(AC26)-171.5+'Small Signal'!C$59)^2)</f>
        <v>100.46870061628425</v>
      </c>
      <c r="O26" s="227">
        <f t="shared" si="12"/>
        <v>91.519330085168718</v>
      </c>
      <c r="P26" s="227">
        <f t="shared" si="13"/>
        <v>46.860996920865048</v>
      </c>
      <c r="Q26" s="227">
        <f t="shared" si="14"/>
        <v>16.387122324508088</v>
      </c>
      <c r="R26" s="227" t="str">
        <f t="shared" si="2"/>
        <v>0.0878666666666667+0.000483927633216628i</v>
      </c>
      <c r="S26" s="227" t="str">
        <f t="shared" si="3"/>
        <v>0.0085-371.956440684229i</v>
      </c>
      <c r="T26" s="227" t="str">
        <f t="shared" si="15"/>
        <v>13.0747033519032-0.460160374980287i</v>
      </c>
      <c r="U26" s="227" t="str">
        <f t="shared" si="4"/>
        <v>80.9910590738387-0.438943349380211i</v>
      </c>
      <c r="V26" s="227">
        <f t="shared" si="16"/>
        <v>38.168869122307342</v>
      </c>
      <c r="W26" s="227">
        <f t="shared" si="17"/>
        <v>-0.31052014160740127</v>
      </c>
      <c r="X26" s="227" t="str">
        <f t="shared" si="5"/>
        <v>0.999999998090398-0.0000128685144007967i</v>
      </c>
      <c r="Y26" s="227" t="str">
        <f t="shared" si="6"/>
        <v>61.9112818119698+0.803838438804529i</v>
      </c>
      <c r="Z26" s="227" t="str">
        <f t="shared" si="7"/>
        <v>32.2407009061568+0.418189112416017i</v>
      </c>
      <c r="AA26" s="227" t="str">
        <f t="shared" si="8"/>
        <v>19.0280563082282-0.34253382073523i</v>
      </c>
      <c r="AB26" s="227">
        <f t="shared" si="18"/>
        <v>25.589295681312983</v>
      </c>
      <c r="AC26" s="227">
        <f t="shared" si="19"/>
        <v>-1.03129938371576</v>
      </c>
      <c r="AD26" s="229">
        <f t="shared" si="20"/>
        <v>21.271701239552062</v>
      </c>
      <c r="AE26" s="229">
        <f t="shared" si="21"/>
        <v>92.55062946888448</v>
      </c>
      <c r="AF26" s="227">
        <f t="shared" si="9"/>
        <v>46.860996920865048</v>
      </c>
      <c r="AG26" s="227">
        <f t="shared" si="10"/>
        <v>91.519330085168718</v>
      </c>
      <c r="AH26" s="229" t="str">
        <f t="shared" si="22"/>
        <v>0.515188724089067-11.5652383490554i</v>
      </c>
    </row>
    <row r="27" spans="2:34" ht="15" x14ac:dyDescent="0.25">
      <c r="E27" s="221" t="s">
        <v>122</v>
      </c>
      <c r="F27" s="104">
        <f>(Voutss-Vinss)/(Voutss)</f>
        <v>0.77083333333333337</v>
      </c>
      <c r="G27" s="224"/>
      <c r="I27" s="227">
        <v>23</v>
      </c>
      <c r="J27" s="227">
        <f t="shared" si="0"/>
        <v>1.2242528181160182</v>
      </c>
      <c r="K27" s="227">
        <f t="shared" si="23"/>
        <v>16.759182031333303</v>
      </c>
      <c r="L27" s="227">
        <f t="shared" si="11"/>
        <v>105.30104629962155</v>
      </c>
      <c r="M27" s="227">
        <f t="shared" si="1"/>
        <v>5803.0211287263128</v>
      </c>
      <c r="N27" s="227">
        <f>SQRT((ABS(AC27)-171.5+'Small Signal'!C$59)^2)</f>
        <v>100.44529014350024</v>
      </c>
      <c r="O27" s="227">
        <f t="shared" si="12"/>
        <v>91.500666231233339</v>
      </c>
      <c r="P27" s="227">
        <f t="shared" si="13"/>
        <v>46.66613328245603</v>
      </c>
      <c r="Q27" s="227">
        <f t="shared" si="14"/>
        <v>16.759182031333303</v>
      </c>
      <c r="R27" s="227" t="str">
        <f t="shared" si="2"/>
        <v>0.0878666666666667+0.000494914917608221i</v>
      </c>
      <c r="S27" s="227" t="str">
        <f t="shared" si="3"/>
        <v>0.0085-363.698877515932i</v>
      </c>
      <c r="T27" s="227" t="str">
        <f t="shared" si="15"/>
        <v>13.0739600791984-0.470581267551107i</v>
      </c>
      <c r="U27" s="227" t="str">
        <f t="shared" si="4"/>
        <v>80.9910474549316-0.448909690869294i</v>
      </c>
      <c r="V27" s="227">
        <f t="shared" si="16"/>
        <v>38.168873734607011</v>
      </c>
      <c r="W27" s="227">
        <f t="shared" si="17"/>
        <v>-0.31757049809071841</v>
      </c>
      <c r="X27" s="227" t="str">
        <f t="shared" si="5"/>
        <v>0.999999998002701-0.0000131606862416132i</v>
      </c>
      <c r="Y27" s="227" t="str">
        <f t="shared" si="6"/>
        <v>61.9115154279458+0.822088827016592i</v>
      </c>
      <c r="Z27" s="227" t="str">
        <f t="shared" si="7"/>
        <v>32.2408228077249+0.427683697206728i</v>
      </c>
      <c r="AA27" s="227" t="str">
        <f t="shared" si="8"/>
        <v>19.027785959961-0.35030609089542i</v>
      </c>
      <c r="AB27" s="227">
        <f t="shared" si="18"/>
        <v>25.589236884430314</v>
      </c>
      <c r="AC27" s="227">
        <f t="shared" si="19"/>
        <v>-1.0547098564997677</v>
      </c>
      <c r="AD27" s="229">
        <f t="shared" si="20"/>
        <v>21.076896398025717</v>
      </c>
      <c r="AE27" s="229">
        <f t="shared" si="21"/>
        <v>92.555376087733109</v>
      </c>
      <c r="AF27" s="227">
        <f t="shared" si="9"/>
        <v>46.66613328245603</v>
      </c>
      <c r="AG27" s="227">
        <f t="shared" si="10"/>
        <v>91.500666231233339</v>
      </c>
      <c r="AH27" s="229" t="str">
        <f t="shared" si="22"/>
        <v>0.504699676100686-11.3087015147836i</v>
      </c>
    </row>
    <row r="28" spans="2:34" x14ac:dyDescent="0.2">
      <c r="E28" s="221" t="s">
        <v>143</v>
      </c>
      <c r="F28" s="104">
        <f>Voutss/Vinss</f>
        <v>4.3636363636363633</v>
      </c>
      <c r="I28" s="227">
        <v>24</v>
      </c>
      <c r="J28" s="227">
        <f t="shared" si="0"/>
        <v>1.2340029406428017</v>
      </c>
      <c r="K28" s="227">
        <f t="shared" si="23"/>
        <v>17.139689128902397</v>
      </c>
      <c r="L28" s="227">
        <f t="shared" si="11"/>
        <v>107.69184290434522</v>
      </c>
      <c r="M28" s="227">
        <f t="shared" si="1"/>
        <v>5802.6319824450993</v>
      </c>
      <c r="N28" s="227">
        <f>SQRT((ABS(AC28)-171.5+'Small Signal'!C$59)^2)</f>
        <v>100.4213484674473</v>
      </c>
      <c r="O28" s="227">
        <f t="shared" si="12"/>
        <v>91.482757405703893</v>
      </c>
      <c r="P28" s="227">
        <f t="shared" si="13"/>
        <v>46.471268706188752</v>
      </c>
      <c r="Q28" s="227">
        <f t="shared" si="14"/>
        <v>17.139689128902397</v>
      </c>
      <c r="R28" s="227" t="str">
        <f t="shared" si="2"/>
        <v>0.0878666666666667+0.000506151661650423i</v>
      </c>
      <c r="S28" s="227" t="str">
        <f t="shared" si="3"/>
        <v>0.0085-355.624635140126i</v>
      </c>
      <c r="T28" s="227" t="str">
        <f t="shared" si="15"/>
        <v>13.0731827627007-0.481236898377783i</v>
      </c>
      <c r="U28" s="227" t="str">
        <f t="shared" si="4"/>
        <v>80.9910353022324-0.459102339851504i</v>
      </c>
      <c r="V28" s="227">
        <f t="shared" si="16"/>
        <v>38.168878558718731</v>
      </c>
      <c r="W28" s="227">
        <f t="shared" si="17"/>
        <v>-0.32478094150159592</v>
      </c>
      <c r="X28" s="227" t="str">
        <f t="shared" si="5"/>
        <v>0.999999997910976-0.0000134594916674658i</v>
      </c>
      <c r="Y28" s="227" t="str">
        <f t="shared" si="6"/>
        <v>61.9117597729488+0.84075355991491i</v>
      </c>
      <c r="Z28" s="227" t="str">
        <f t="shared" si="7"/>
        <v>32.2409503077331+0.437393840617049i</v>
      </c>
      <c r="AA28" s="227" t="str">
        <f t="shared" si="8"/>
        <v>19.0275032039935-0.358254494731577i</v>
      </c>
      <c r="AB28" s="227">
        <f t="shared" si="18"/>
        <v>25.589175388198555</v>
      </c>
      <c r="AC28" s="227">
        <f t="shared" si="19"/>
        <v>-1.0786515325526935</v>
      </c>
      <c r="AD28" s="229">
        <f t="shared" si="20"/>
        <v>20.882093317990197</v>
      </c>
      <c r="AE28" s="229">
        <f t="shared" si="21"/>
        <v>92.561408938256591</v>
      </c>
      <c r="AF28" s="227">
        <f t="shared" si="9"/>
        <v>46.471268706188752</v>
      </c>
      <c r="AG28" s="227">
        <f t="shared" si="10"/>
        <v>91.482757405703893</v>
      </c>
      <c r="AH28" s="229" t="str">
        <f t="shared" si="22"/>
        <v>0.494670811853648-11.0578461721648i</v>
      </c>
    </row>
    <row r="29" spans="2:34" x14ac:dyDescent="0.2">
      <c r="E29" s="221" t="s">
        <v>10</v>
      </c>
      <c r="F29" s="105">
        <f>Voutss/(Ioutss)</f>
        <v>13.090909090909092</v>
      </c>
      <c r="G29" s="220" t="s">
        <v>29</v>
      </c>
      <c r="I29" s="227">
        <v>25</v>
      </c>
      <c r="J29" s="227">
        <f t="shared" si="0"/>
        <v>1.243753063169585</v>
      </c>
      <c r="K29" s="227">
        <f t="shared" si="23"/>
        <v>17.528835410116002</v>
      </c>
      <c r="L29" s="227">
        <f t="shared" si="11"/>
        <v>110.13692110081013</v>
      </c>
      <c r="M29" s="227">
        <f t="shared" si="1"/>
        <v>5802.2340008327983</v>
      </c>
      <c r="N29" s="227">
        <f>SQRT((ABS(AC29)-171.5+'Small Signal'!C$59)^2)</f>
        <v>100.39686354957792</v>
      </c>
      <c r="O29" s="227">
        <f t="shared" si="12"/>
        <v>91.465594571511289</v>
      </c>
      <c r="P29" s="227">
        <f t="shared" si="13"/>
        <v>46.276403469549351</v>
      </c>
      <c r="Q29" s="227">
        <f t="shared" si="14"/>
        <v>17.528835410116002</v>
      </c>
      <c r="R29" s="227" t="str">
        <f t="shared" si="2"/>
        <v>0.0878666666666667+0.000517643529173808i</v>
      </c>
      <c r="S29" s="227" t="str">
        <f t="shared" si="3"/>
        <v>0.0085-347.729643771055i</v>
      </c>
      <c r="T29" s="227" t="str">
        <f t="shared" si="15"/>
        <v>13.072369847456-0.49213246773085i</v>
      </c>
      <c r="U29" s="227" t="str">
        <f t="shared" si="4"/>
        <v>80.9910225912078-0.469526436433942i</v>
      </c>
      <c r="V29" s="227">
        <f t="shared" si="16"/>
        <v>38.168883604369363</v>
      </c>
      <c r="W29" s="227">
        <f t="shared" si="17"/>
        <v>-0.33215510741193494</v>
      </c>
      <c r="X29" s="227" t="str">
        <f t="shared" si="5"/>
        <v>0.999999997815039-0.0000137650812898929i</v>
      </c>
      <c r="Y29" s="227" t="str">
        <f t="shared" si="6"/>
        <v>61.9120153397371+0.859842043596965i</v>
      </c>
      <c r="Z29" s="227" t="str">
        <f t="shared" si="7"/>
        <v>32.2410836633044+0.447324436065122i</v>
      </c>
      <c r="AA29" s="227" t="str">
        <f t="shared" si="8"/>
        <v>19.0272074712482-0.366383008206503i</v>
      </c>
      <c r="AB29" s="227">
        <f t="shared" si="18"/>
        <v>25.589111068732425</v>
      </c>
      <c r="AC29" s="227">
        <f t="shared" si="19"/>
        <v>-1.1031364504220798</v>
      </c>
      <c r="AD29" s="229">
        <f t="shared" si="20"/>
        <v>20.687292400816926</v>
      </c>
      <c r="AE29" s="229">
        <f t="shared" si="21"/>
        <v>92.568731021933374</v>
      </c>
      <c r="AF29" s="227">
        <f t="shared" si="9"/>
        <v>46.276403469549351</v>
      </c>
      <c r="AG29" s="227">
        <f t="shared" si="10"/>
        <v>91.465594571511289</v>
      </c>
      <c r="AH29" s="229" t="str">
        <f t="shared" si="22"/>
        <v>0.485081957226213-10.8125470898025i</v>
      </c>
    </row>
    <row r="30" spans="2:34" x14ac:dyDescent="0.2">
      <c r="E30" s="221" t="s">
        <v>33</v>
      </c>
      <c r="F30" s="104">
        <f>1/((sess+snss)/fswss)</f>
        <v>7.8113458413355001</v>
      </c>
      <c r="G30" s="225"/>
      <c r="I30" s="227">
        <v>26</v>
      </c>
      <c r="J30" s="227">
        <f t="shared" si="0"/>
        <v>1.2535031856963683</v>
      </c>
      <c r="K30" s="227">
        <f t="shared" si="23"/>
        <v>17.926817022416621</v>
      </c>
      <c r="L30" s="227">
        <f t="shared" si="11"/>
        <v>112.63751331974501</v>
      </c>
      <c r="M30" s="227">
        <f t="shared" si="1"/>
        <v>5801.8269832885589</v>
      </c>
      <c r="N30" s="227">
        <f>SQRT((ABS(AC30)-171.5+'Small Signal'!C$59)^2)</f>
        <v>100.3718230795553</v>
      </c>
      <c r="O30" s="227">
        <f t="shared" si="12"/>
        <v>91.44916906132373</v>
      </c>
      <c r="P30" s="227">
        <f t="shared" si="13"/>
        <v>46.081537848676106</v>
      </c>
      <c r="Q30" s="227">
        <f t="shared" si="14"/>
        <v>17.926817022416621</v>
      </c>
      <c r="R30" s="227" t="str">
        <f t="shared" si="2"/>
        <v>0.0878666666666667+0.000529396312602802i</v>
      </c>
      <c r="S30" s="227" t="str">
        <f t="shared" si="3"/>
        <v>0.0085-340.009923973633i</v>
      </c>
      <c r="T30" s="227" t="str">
        <f t="shared" si="15"/>
        <v>13.0715197078948-0.5032732849868i</v>
      </c>
      <c r="U30" s="227" t="str">
        <f t="shared" si="4"/>
        <v>80.9910092961955-0.480187237561322i</v>
      </c>
      <c r="V30" s="227">
        <f t="shared" si="16"/>
        <v>38.168888881732371</v>
      </c>
      <c r="W30" s="227">
        <f t="shared" si="17"/>
        <v>-0.33969671399943324</v>
      </c>
      <c r="X30" s="227" t="str">
        <f t="shared" si="5"/>
        <v>0.999999997714697-0.000014077609139977i</v>
      </c>
      <c r="Y30" s="227" t="str">
        <f t="shared" si="6"/>
        <v>61.9122826437019+0.879363897626i</v>
      </c>
      <c r="Z30" s="227" t="str">
        <f t="shared" si="7"/>
        <v>32.2412231433714+0.457480488021686i</v>
      </c>
      <c r="AA30" s="227" t="str">
        <f t="shared" si="8"/>
        <v>19.0268981665821-0.374695695951176i</v>
      </c>
      <c r="AB30" s="227">
        <f t="shared" si="18"/>
        <v>25.589043796464725</v>
      </c>
      <c r="AC30" s="227">
        <f t="shared" si="19"/>
        <v>-1.1281769204446923</v>
      </c>
      <c r="AD30" s="229">
        <f t="shared" si="20"/>
        <v>20.492494052211384</v>
      </c>
      <c r="AE30" s="229">
        <f t="shared" si="21"/>
        <v>92.577345981768417</v>
      </c>
      <c r="AF30" s="227">
        <f t="shared" si="9"/>
        <v>46.081537848676106</v>
      </c>
      <c r="AG30" s="227">
        <f t="shared" si="10"/>
        <v>91.44916906132373</v>
      </c>
      <c r="AH30" s="229" t="str">
        <f t="shared" si="22"/>
        <v>0.475913821190417-10.5726817581231i</v>
      </c>
    </row>
    <row r="31" spans="2:34" x14ac:dyDescent="0.2">
      <c r="E31" s="221" t="s">
        <v>13</v>
      </c>
      <c r="F31" s="103">
        <f>(Vinss*40/3*Risense)/Lss</f>
        <v>78014.184397163117</v>
      </c>
      <c r="G31" s="222"/>
      <c r="I31" s="227">
        <v>27</v>
      </c>
      <c r="J31" s="227">
        <f t="shared" si="0"/>
        <v>1.2632533082231518</v>
      </c>
      <c r="K31" s="227">
        <f t="shared" si="23"/>
        <v>18.333834566655888</v>
      </c>
      <c r="L31" s="227">
        <f t="shared" si="11"/>
        <v>115.19487997347349</v>
      </c>
      <c r="M31" s="227">
        <f t="shared" si="1"/>
        <v>5801.4107246570084</v>
      </c>
      <c r="N31" s="227">
        <f>SQRT((ABS(AC31)-171.5+'Small Signal'!C$59)^2)</f>
        <v>100.34621446918968</v>
      </c>
      <c r="O31" s="227">
        <f t="shared" si="12"/>
        <v>91.433472573103813</v>
      </c>
      <c r="P31" s="227">
        <f t="shared" si="13"/>
        <v>45.886672118912628</v>
      </c>
      <c r="Q31" s="227">
        <f t="shared" si="14"/>
        <v>18.333834566655888</v>
      </c>
      <c r="R31" s="227" t="str">
        <f t="shared" si="2"/>
        <v>0.0878666666666667+0.000541415935875325i</v>
      </c>
      <c r="S31" s="227" t="str">
        <f t="shared" si="3"/>
        <v>0.0085-332.461584657622i</v>
      </c>
      <c r="T31" s="227" t="str">
        <f t="shared" si="15"/>
        <v>13.0706306446633-0.514664770486354i</v>
      </c>
      <c r="U31" s="227" t="str">
        <f t="shared" si="4"/>
        <v>80.9909953903556-0.491090119678152i</v>
      </c>
      <c r="V31" s="227">
        <f t="shared" si="16"/>
        <v>38.168894401448689</v>
      </c>
      <c r="W31" s="227">
        <f t="shared" si="17"/>
        <v>-0.34740956392748384</v>
      </c>
      <c r="X31" s="227" t="str">
        <f t="shared" si="5"/>
        <v>0.999999997609746-0.0000143972327459829i</v>
      </c>
      <c r="Y31" s="227" t="str">
        <f t="shared" si="6"/>
        <v>61.9125622239082+0.899328959871157i</v>
      </c>
      <c r="Z31" s="227" t="str">
        <f t="shared" si="7"/>
        <v>32.2413690292198+0.467867114528049i</v>
      </c>
      <c r="AA31" s="227" t="str">
        <f t="shared" si="8"/>
        <v>19.0265746675968-0.383196713166445i</v>
      </c>
      <c r="AB31" s="227">
        <f t="shared" si="18"/>
        <v>25.588973435886444</v>
      </c>
      <c r="AC31" s="227">
        <f t="shared" si="19"/>
        <v>-1.1537855308103151</v>
      </c>
      <c r="AD31" s="229">
        <f t="shared" si="20"/>
        <v>20.297698683026184</v>
      </c>
      <c r="AE31" s="229">
        <f t="shared" si="21"/>
        <v>92.587258103914124</v>
      </c>
      <c r="AF31" s="227">
        <f t="shared" si="9"/>
        <v>45.886672118912628</v>
      </c>
      <c r="AG31" s="227">
        <f t="shared" si="10"/>
        <v>91.433472573103813</v>
      </c>
      <c r="AH31" s="229" t="str">
        <f t="shared" si="22"/>
        <v>0.467147957269621-10.338130332747i</v>
      </c>
    </row>
    <row r="32" spans="2:34" x14ac:dyDescent="0.2">
      <c r="E32" s="221" t="s">
        <v>14</v>
      </c>
      <c r="F32" s="103">
        <f>0.024*fswss</f>
        <v>18000</v>
      </c>
      <c r="G32" s="222"/>
      <c r="I32" s="227">
        <v>28</v>
      </c>
      <c r="J32" s="227">
        <f t="shared" si="0"/>
        <v>1.2730034307499352</v>
      </c>
      <c r="K32" s="227">
        <f t="shared" si="23"/>
        <v>18.750093198206486</v>
      </c>
      <c r="L32" s="227">
        <f t="shared" si="11"/>
        <v>117.81031009121888</v>
      </c>
      <c r="M32" s="227">
        <f t="shared" si="1"/>
        <v>5800.9850151248456</v>
      </c>
      <c r="N32" s="227">
        <f>SQRT((ABS(AC32)-171.5+'Small Signal'!C$59)^2)</f>
        <v>100.32002484624434</v>
      </c>
      <c r="O32" s="227">
        <f t="shared" si="12"/>
        <v>91.41849716582135</v>
      </c>
      <c r="P32" s="227">
        <f t="shared" si="13"/>
        <v>45.691806555358085</v>
      </c>
      <c r="Q32" s="227">
        <f t="shared" si="14"/>
        <v>18.750093198206486</v>
      </c>
      <c r="R32" s="227" t="str">
        <f t="shared" si="2"/>
        <v>0.0878666666666667+0.000553708457428729i</v>
      </c>
      <c r="S32" s="227" t="str">
        <f t="shared" si="3"/>
        <v>0.0085-325.080821116353i</v>
      </c>
      <c r="T32" s="227" t="str">
        <f t="shared" si="15"/>
        <v>13.0697008813157-0.526312457392431i</v>
      </c>
      <c r="U32" s="227" t="str">
        <f t="shared" si="4"/>
        <v>80.9909808456087-0.502240581451852i</v>
      </c>
      <c r="V32" s="227">
        <f t="shared" si="16"/>
        <v>38.168900174647376</v>
      </c>
      <c r="W32" s="227">
        <f t="shared" si="17"/>
        <v>-0.35529754626798948</v>
      </c>
      <c r="X32" s="227" t="str">
        <f t="shared" si="5"/>
        <v>0.999999997499975-0.0000147241132127598i</v>
      </c>
      <c r="Y32" s="227" t="str">
        <f t="shared" si="6"/>
        <v>61.912854644179+0.919747291456889i</v>
      </c>
      <c r="Z32" s="227" t="str">
        <f t="shared" si="7"/>
        <v>32.2415216150542+0.478489549770909i</v>
      </c>
      <c r="AA32" s="227" t="str">
        <f t="shared" si="8"/>
        <v>19.0262363233932-0.391890307560097i</v>
      </c>
      <c r="AB32" s="227">
        <f t="shared" si="18"/>
        <v>25.588899845274277</v>
      </c>
      <c r="AC32" s="227">
        <f t="shared" si="19"/>
        <v>-1.1799751537556598</v>
      </c>
      <c r="AD32" s="229">
        <f t="shared" si="20"/>
        <v>20.102906710083804</v>
      </c>
      <c r="AE32" s="229">
        <f t="shared" si="21"/>
        <v>92.598472319577013</v>
      </c>
      <c r="AF32" s="227">
        <f t="shared" si="9"/>
        <v>45.691806555358085</v>
      </c>
      <c r="AG32" s="227">
        <f t="shared" si="10"/>
        <v>91.41849716582135</v>
      </c>
      <c r="AH32" s="229" t="str">
        <f t="shared" si="22"/>
        <v>0.458766726668487-10.1087755788701i</v>
      </c>
    </row>
    <row r="33" spans="1:34" x14ac:dyDescent="0.2">
      <c r="E33" s="221" t="s">
        <v>149</v>
      </c>
      <c r="F33" s="102">
        <f>-(snss/sess+1)*2/PI()</f>
        <v>-3.3958071230544982</v>
      </c>
      <c r="I33" s="227">
        <v>29</v>
      </c>
      <c r="J33" s="227">
        <f t="shared" si="0"/>
        <v>1.2827535532767187</v>
      </c>
      <c r="K33" s="227">
        <f t="shared" si="23"/>
        <v>19.175802730369849</v>
      </c>
      <c r="L33" s="227">
        <f t="shared" si="11"/>
        <v>120.48512196883402</v>
      </c>
      <c r="M33" s="227">
        <f>SQRT((Fco_target-K34)^2)</f>
        <v>5800.5496401150831</v>
      </c>
      <c r="N33" s="227">
        <f>SQRT((ABS(AC33)-171.5+'Small Signal'!C$59)^2)</f>
        <v>100.29324104810894</v>
      </c>
      <c r="O33" s="227">
        <f t="shared" si="12"/>
        <v>91.404235255318824</v>
      </c>
      <c r="P33" s="227">
        <f t="shared" si="13"/>
        <v>45.496941433417277</v>
      </c>
      <c r="Q33" s="227">
        <f t="shared" si="14"/>
        <v>19.175802730369849</v>
      </c>
      <c r="R33" s="227" t="str">
        <f t="shared" si="2"/>
        <v>0.0878666666666667+0.00056628007325352i</v>
      </c>
      <c r="S33" s="227" t="str">
        <f t="shared" si="3"/>
        <v>0.0085-317.863913108973i</v>
      </c>
      <c r="T33" s="227" t="str">
        <f t="shared" si="15"/>
        <v>13.0687285608634-0.538221993544994i</v>
      </c>
      <c r="U33" s="227" t="str">
        <f t="shared" si="4"/>
        <v>80.9909656325888-0.513644246558571i</v>
      </c>
      <c r="V33" s="227">
        <f t="shared" si="16"/>
        <v>38.168906212969098</v>
      </c>
      <c r="W33" s="227">
        <f t="shared" si="17"/>
        <v>-0.36336463846820777</v>
      </c>
      <c r="X33" s="227" t="str">
        <f t="shared" si="5"/>
        <v>0.999999997385163-0.0000150584153029448i</v>
      </c>
      <c r="Y33" s="227" t="str">
        <f t="shared" si="6"/>
        <v>61.9131604942382+0.940629181824419i</v>
      </c>
      <c r="Z33" s="227" t="str">
        <f t="shared" si="7"/>
        <v>32.2416812085942+0.489353146715451i</v>
      </c>
      <c r="AA33" s="227" t="str">
        <f t="shared" si="8"/>
        <v>19.0258824532708-0.400780821319685i</v>
      </c>
      <c r="AB33" s="227">
        <f t="shared" si="18"/>
        <v>25.588822876406319</v>
      </c>
      <c r="AC33" s="227">
        <f t="shared" si="19"/>
        <v>-1.2067589518910469</v>
      </c>
      <c r="AD33" s="229">
        <f t="shared" si="20"/>
        <v>19.908118557010958</v>
      </c>
      <c r="AE33" s="229">
        <f t="shared" si="21"/>
        <v>92.61099420720987</v>
      </c>
      <c r="AF33" s="227">
        <f t="shared" si="9"/>
        <v>45.496941433417277</v>
      </c>
      <c r="AG33" s="227">
        <f t="shared" si="10"/>
        <v>91.404235255318824</v>
      </c>
      <c r="AH33" s="229" t="str">
        <f t="shared" si="22"/>
        <v>0.450753263003597-9.88450281664959i</v>
      </c>
    </row>
    <row r="34" spans="1:34" x14ac:dyDescent="0.2">
      <c r="E34" s="221" t="s">
        <v>150</v>
      </c>
      <c r="F34" s="102">
        <f>PI()*fswss</f>
        <v>2356194.4901923449</v>
      </c>
      <c r="I34" s="227">
        <v>30</v>
      </c>
      <c r="J34" s="227">
        <f t="shared" si="0"/>
        <v>1.292503675803502</v>
      </c>
      <c r="K34" s="227">
        <f t="shared" si="23"/>
        <v>19.611177740131591</v>
      </c>
      <c r="L34" s="227">
        <f t="shared" si="11"/>
        <v>123.22066383328217</v>
      </c>
      <c r="M34" s="227">
        <f t="shared" si="1"/>
        <v>5800.1043801788974</v>
      </c>
      <c r="N34" s="227">
        <f>SQRT((ABS(AC34)-171.5+'Small Signal'!C$59)^2)</f>
        <v>100.26584961533783</v>
      </c>
      <c r="O34" s="227">
        <f t="shared" si="12"/>
        <v>91.390679610327325</v>
      </c>
      <c r="P34" s="227">
        <f t="shared" si="13"/>
        <v>45.302077029350727</v>
      </c>
      <c r="Q34" s="227">
        <f t="shared" si="14"/>
        <v>19.611177740131591</v>
      </c>
      <c r="R34" s="227" t="str">
        <f t="shared" si="2"/>
        <v>0.0878666666666667+0.000579137120016426i</v>
      </c>
      <c r="S34" s="227" t="str">
        <f t="shared" si="3"/>
        <v>0.0085-310.807222985283i</v>
      </c>
      <c r="T34" s="227" t="str">
        <f t="shared" si="15"/>
        <v>13.0677117421723-0.550399143309547i</v>
      </c>
      <c r="U34" s="227" t="str">
        <f t="shared" si="4"/>
        <v>80.9909497205743-0.525306866532833i</v>
      </c>
      <c r="V34" s="227">
        <f t="shared" si="16"/>
        <v>38.168912528588578</v>
      </c>
      <c r="W34" s="227">
        <f t="shared" si="17"/>
        <v>-0.37161490836256189</v>
      </c>
      <c r="X34" s="227" t="str">
        <f t="shared" si="5"/>
        <v>0.999999997265079-0.0000154003075200113i</v>
      </c>
      <c r="Y34" s="227" t="str">
        <f t="shared" si="6"/>
        <v>61.9134803908944+0.961985153907407i</v>
      </c>
      <c r="Z34" s="227" t="str">
        <f t="shared" si="7"/>
        <v>32.2418481316925+0.500463379797868i</v>
      </c>
      <c r="AA34" s="227" t="str">
        <f t="shared" si="8"/>
        <v>19.0255123453671-0.40987269312126i</v>
      </c>
      <c r="AB34" s="227">
        <f t="shared" si="18"/>
        <v>25.588742374264296</v>
      </c>
      <c r="AC34" s="227">
        <f t="shared" si="19"/>
        <v>-1.2341503846621591</v>
      </c>
      <c r="AD34" s="229">
        <f t="shared" si="20"/>
        <v>19.713334655086427</v>
      </c>
      <c r="AE34" s="229">
        <f t="shared" si="21"/>
        <v>92.624829994989483</v>
      </c>
      <c r="AF34" s="227">
        <f t="shared" si="9"/>
        <v>45.302077029350727</v>
      </c>
      <c r="AG34" s="227">
        <f t="shared" si="10"/>
        <v>91.390679610327325</v>
      </c>
      <c r="AH34" s="229" t="str">
        <f t="shared" si="22"/>
        <v>0.443091438566057-9.66519986758698i</v>
      </c>
    </row>
    <row r="35" spans="1:34" x14ac:dyDescent="0.2">
      <c r="E35" s="221" t="s">
        <v>148</v>
      </c>
      <c r="F35" s="253">
        <f>(1+sess/snss)</f>
        <v>1.2307272727272727</v>
      </c>
      <c r="I35" s="227">
        <v>31</v>
      </c>
      <c r="J35" s="227">
        <f t="shared" si="0"/>
        <v>1.3022537983302853</v>
      </c>
      <c r="K35" s="227">
        <f t="shared" si="23"/>
        <v>20.056437676318073</v>
      </c>
      <c r="L35" s="227">
        <f t="shared" si="11"/>
        <v>126.01831452220479</v>
      </c>
      <c r="M35" s="227">
        <f t="shared" si="1"/>
        <v>5799.6490108850066</v>
      </c>
      <c r="N35" s="227">
        <f>SQRT((ABS(AC35)-171.5+'Small Signal'!C$59)^2)</f>
        <v>100.23783678505052</v>
      </c>
      <c r="O35" s="227">
        <f t="shared" si="12"/>
        <v>91.377823348629576</v>
      </c>
      <c r="P35" s="227">
        <f t="shared" si="13"/>
        <v>45.107213620827245</v>
      </c>
      <c r="Q35" s="227">
        <f t="shared" si="14"/>
        <v>20.056437676318073</v>
      </c>
      <c r="R35" s="227" t="str">
        <f t="shared" si="2"/>
        <v>0.0878666666666667+0.000592286078254363i</v>
      </c>
      <c r="S35" s="227" t="str">
        <f t="shared" si="3"/>
        <v>0.0085-303.907193852186i</v>
      </c>
      <c r="T35" s="227" t="str">
        <f t="shared" si="15"/>
        <v>13.0666483962055-0.562849789415946i</v>
      </c>
      <c r="U35" s="227" t="str">
        <f t="shared" si="4"/>
        <v>80.9909330774329-0.53723432368281i</v>
      </c>
      <c r="V35" s="227">
        <f t="shared" si="16"/>
        <v>38.168919134239893</v>
      </c>
      <c r="W35" s="227">
        <f t="shared" si="17"/>
        <v>-0.38005251623051539</v>
      </c>
      <c r="X35" s="227" t="str">
        <f t="shared" si="5"/>
        <v>0.99999999713948-0.0000157499621932021i</v>
      </c>
      <c r="Y35" s="227" t="str">
        <f t="shared" si="6"/>
        <v>61.913814979288+0.983825969424837i</v>
      </c>
      <c r="Z35" s="227" t="str">
        <f t="shared" si="7"/>
        <v>32.2420227209853+0.511825847678847i</v>
      </c>
      <c r="AA35" s="227" t="str">
        <f t="shared" si="8"/>
        <v>19.0251252552372-0.419170460174315i</v>
      </c>
      <c r="AB35" s="227">
        <f t="shared" si="18"/>
        <v>25.588658176723097</v>
      </c>
      <c r="AC35" s="227">
        <f t="shared" si="19"/>
        <v>-1.262163214949475</v>
      </c>
      <c r="AD35" s="229">
        <f t="shared" si="20"/>
        <v>19.518555444104148</v>
      </c>
      <c r="AE35" s="229">
        <f t="shared" si="21"/>
        <v>92.639986563579058</v>
      </c>
      <c r="AF35" s="227">
        <f t="shared" si="9"/>
        <v>45.107213620827245</v>
      </c>
      <c r="AG35" s="227">
        <f t="shared" si="10"/>
        <v>91.377823348629576</v>
      </c>
      <c r="AH35" s="229" t="str">
        <f t="shared" si="22"/>
        <v>0.435765832050177-9.45075700190026i</v>
      </c>
    </row>
    <row r="36" spans="1:34" x14ac:dyDescent="0.2">
      <c r="E36" s="221" t="s">
        <v>182</v>
      </c>
      <c r="F36" s="226">
        <v>2000000</v>
      </c>
      <c r="I36" s="227">
        <v>32</v>
      </c>
      <c r="J36" s="227">
        <f t="shared" si="0"/>
        <v>1.3120039208570689</v>
      </c>
      <c r="K36" s="227">
        <f t="shared" si="23"/>
        <v>20.511806970208617</v>
      </c>
      <c r="L36" s="227">
        <f t="shared" si="11"/>
        <v>128.8794841789186</v>
      </c>
      <c r="M36" s="227">
        <f>SQRT((Fco_target-K37)^2)</f>
        <v>5799.1833027065559</v>
      </c>
      <c r="N36" s="227">
        <f>SQRT((ABS(AC36)-171.5+'Small Signal'!C$59)^2)</f>
        <v>100.20918848419234</v>
      </c>
      <c r="O36" s="227">
        <f t="shared" si="12"/>
        <v>91.365659933368079</v>
      </c>
      <c r="P36" s="227">
        <f t="shared" si="13"/>
        <v>44.912351487477252</v>
      </c>
      <c r="Q36" s="227">
        <f t="shared" si="14"/>
        <v>20.511806970208617</v>
      </c>
      <c r="R36" s="227" t="str">
        <f t="shared" si="2"/>
        <v>0.0878666666666667+0.000605733575640917i</v>
      </c>
      <c r="S36" s="227" t="str">
        <f t="shared" si="3"/>
        <v>0.0085-297.160347780862i</v>
      </c>
      <c r="T36" s="227" t="str">
        <f t="shared" ref="T36:T67" si="24">IMDIV(IMPRODUCT(S36,COMPLEX(Ross,0)),IMSUM(S36,COMPLEX(Ross,0)))</f>
        <v>13.0655364021013-0.575579934783724i</v>
      </c>
      <c r="U36" s="227" t="str">
        <f t="shared" si="4"/>
        <v>80.9909156695519-0.549432634072595i</v>
      </c>
      <c r="V36" s="227">
        <f t="shared" si="16"/>
        <v>38.168926043241711</v>
      </c>
      <c r="W36" s="227">
        <f t="shared" si="17"/>
        <v>-0.3886817169015877</v>
      </c>
      <c r="X36" s="227" t="str">
        <f t="shared" si="5"/>
        <v>0.999999997008112-0.0000161075555643914i</v>
      </c>
      <c r="Y36" s="227" t="str">
        <f t="shared" si="6"/>
        <v>61.914164934195+1.00616263429314i</v>
      </c>
      <c r="Z36" s="227" t="str">
        <f t="shared" si="7"/>
        <v>32.2422053285726+0.523446276059089i</v>
      </c>
      <c r="AA36" s="227" t="str">
        <f t="shared" si="8"/>
        <v>19.0247204043655-0.428678760302915i</v>
      </c>
      <c r="AB36" s="227">
        <f t="shared" si="18"/>
        <v>25.588570114224556</v>
      </c>
      <c r="AC36" s="227">
        <f t="shared" si="19"/>
        <v>-1.2908115158076479</v>
      </c>
      <c r="AD36" s="229">
        <f t="shared" si="20"/>
        <v>19.323781373252697</v>
      </c>
      <c r="AE36" s="229">
        <f t="shared" si="21"/>
        <v>92.656471449175726</v>
      </c>
      <c r="AF36" s="227">
        <f t="shared" si="9"/>
        <v>44.912351487477252</v>
      </c>
      <c r="AG36" s="227">
        <f t="shared" si="10"/>
        <v>91.365659933368079</v>
      </c>
      <c r="AH36" s="229" t="str">
        <f t="shared" si="22"/>
        <v>0.428761697685221-9.24106688687565i</v>
      </c>
    </row>
    <row r="37" spans="1:34" x14ac:dyDescent="0.2">
      <c r="F37" s="220"/>
      <c r="I37" s="227">
        <v>33</v>
      </c>
      <c r="J37" s="227">
        <f t="shared" si="0"/>
        <v>1.3217540433838522</v>
      </c>
      <c r="K37" s="227">
        <f t="shared" si="23"/>
        <v>20.977515148659059</v>
      </c>
      <c r="L37" s="227">
        <f t="shared" si="11"/>
        <v>131.8056149631918</v>
      </c>
      <c r="M37" s="227">
        <f>SQRT((Fco_target-K38)^2)</f>
        <v>5798.7070209054209</v>
      </c>
      <c r="N37" s="227">
        <f>SQRT((ABS(AC37)-171.5+'Small Signal'!C$59)^2)</f>
        <v>100.17989032265228</v>
      </c>
      <c r="O37" s="227">
        <f t="shared" si="12"/>
        <v>91.354183169494561</v>
      </c>
      <c r="P37" s="227">
        <f t="shared" si="13"/>
        <v>44.717490911451485</v>
      </c>
      <c r="Q37" s="227">
        <f t="shared" si="14"/>
        <v>20.977515148659059</v>
      </c>
      <c r="R37" s="227" t="str">
        <f t="shared" si="2"/>
        <v>0.0878666666666667+0.000619486390327001i</v>
      </c>
      <c r="S37" s="227" t="str">
        <f t="shared" si="3"/>
        <v>0.0085-290.563284053723i</v>
      </c>
      <c r="T37" s="227" t="str">
        <f t="shared" si="24"/>
        <v>13.0643735430842-0.588595704329993i</v>
      </c>
      <c r="U37" s="227" t="str">
        <f t="shared" si="4"/>
        <v>80.9908974617719-0.561907950573056i</v>
      </c>
      <c r="V37" s="227">
        <f t="shared" si="16"/>
        <v>38.168933269524267</v>
      </c>
      <c r="W37" s="227">
        <f t="shared" si="17"/>
        <v>-0.39750686190852513</v>
      </c>
      <c r="X37" s="227" t="str">
        <f t="shared" si="5"/>
        <v>0.999999996870712-0.0000164732678769183i</v>
      </c>
      <c r="Y37" s="227" t="str">
        <f t="shared" si="6"/>
        <v>61.9145309613836+1.02900640416087i</v>
      </c>
      <c r="Z37" s="227" t="str">
        <f t="shared" si="7"/>
        <v>32.2423963227264+0.535330520558578i</v>
      </c>
      <c r="AA37" s="227" t="str">
        <f t="shared" si="8"/>
        <v>19.024296978614-0.438402334063423i</v>
      </c>
      <c r="AB37" s="227">
        <f t="shared" si="18"/>
        <v>25.588478009438123</v>
      </c>
      <c r="AC37" s="227">
        <f t="shared" si="19"/>
        <v>-1.3201096773477121</v>
      </c>
      <c r="AD37" s="229">
        <f t="shared" si="20"/>
        <v>19.129012902013361</v>
      </c>
      <c r="AE37" s="229">
        <f t="shared" si="21"/>
        <v>92.674292846842278</v>
      </c>
      <c r="AF37" s="227">
        <f t="shared" si="9"/>
        <v>44.717490911451485</v>
      </c>
      <c r="AG37" s="227">
        <f t="shared" si="10"/>
        <v>91.354183169494561</v>
      </c>
      <c r="AH37" s="229" t="str">
        <f t="shared" si="22"/>
        <v>0.422064935709774-9.03602453619001i</v>
      </c>
    </row>
    <row r="38" spans="1:34" x14ac:dyDescent="0.2">
      <c r="F38" s="220"/>
      <c r="I38" s="227">
        <v>34</v>
      </c>
      <c r="J38" s="227">
        <f t="shared" si="0"/>
        <v>1.3315041659106357</v>
      </c>
      <c r="K38" s="227">
        <f t="shared" si="23"/>
        <v>21.453796949793784</v>
      </c>
      <c r="L38" s="227">
        <f t="shared" si="11"/>
        <v>134.79818177815852</v>
      </c>
      <c r="M38" s="227">
        <f t="shared" si="1"/>
        <v>5798.2199254138905</v>
      </c>
      <c r="N38" s="227">
        <f>SQRT((ABS(AC38)-171.5+'Small Signal'!C$59)^2)</f>
        <v>100.14992758623578</v>
      </c>
      <c r="O38" s="227">
        <f t="shared" si="12"/>
        <v>91.34338720035899</v>
      </c>
      <c r="P38" s="227">
        <f t="shared" si="13"/>
        <v>44.522632177983198</v>
      </c>
      <c r="Q38" s="227">
        <f t="shared" si="14"/>
        <v>21.453796949793784</v>
      </c>
      <c r="R38" s="227" t="str">
        <f t="shared" si="2"/>
        <v>0.0878666666666667+0.000633551454357345i</v>
      </c>
      <c r="S38" s="227" t="str">
        <f t="shared" si="3"/>
        <v>0.0085-284.112677450305i</v>
      </c>
      <c r="T38" s="227" t="str">
        <f t="shared" si="24"/>
        <v>13.0631575021975-0.601903346755453i</v>
      </c>
      <c r="U38" s="227" t="str">
        <f t="shared" si="4"/>
        <v>80.9908784173161-0.574666565983047i</v>
      </c>
      <c r="V38" s="227">
        <f t="shared" si="16"/>
        <v>38.168940827657579</v>
      </c>
      <c r="W38" s="227">
        <f t="shared" si="17"/>
        <v>-0.40653240168989607</v>
      </c>
      <c r="X38" s="227" t="str">
        <f t="shared" si="5"/>
        <v>0.999999996727002-0.0000168472834664385i</v>
      </c>
      <c r="Y38" s="227" t="str">
        <f t="shared" si="6"/>
        <v>61.9149137990426+1.05236879006815i</v>
      </c>
      <c r="Z38" s="227" t="str">
        <f t="shared" si="7"/>
        <v>32.2425960886358+0.547484569660751i</v>
      </c>
      <c r="AA38" s="227" t="str">
        <f t="shared" si="8"/>
        <v>19.0238541265977-0.44834602689862i</v>
      </c>
      <c r="AB38" s="227">
        <f t="shared" si="18"/>
        <v>25.588381676904881</v>
      </c>
      <c r="AC38" s="227">
        <f t="shared" si="19"/>
        <v>-1.3500724137642137</v>
      </c>
      <c r="AD38" s="229">
        <f t="shared" si="20"/>
        <v>18.934250501078321</v>
      </c>
      <c r="AE38" s="229">
        <f t="shared" si="21"/>
        <v>92.693459614123199</v>
      </c>
      <c r="AF38" s="227">
        <f t="shared" si="9"/>
        <v>44.522632177983198</v>
      </c>
      <c r="AG38" s="227">
        <f t="shared" si="10"/>
        <v>91.34338720035899</v>
      </c>
      <c r="AH38" s="229" t="str">
        <f t="shared" si="22"/>
        <v>0.415662064130891-8.83552726019345i</v>
      </c>
    </row>
    <row r="39" spans="1:34" x14ac:dyDescent="0.2">
      <c r="F39" s="220"/>
      <c r="I39" s="227">
        <v>35</v>
      </c>
      <c r="J39" s="227">
        <f t="shared" si="0"/>
        <v>1.341254288437419</v>
      </c>
      <c r="K39" s="227">
        <f t="shared" si="23"/>
        <v>21.940892441324351</v>
      </c>
      <c r="L39" s="227">
        <f t="shared" si="11"/>
        <v>137.8586930137368</v>
      </c>
      <c r="M39" s="227">
        <f t="shared" si="1"/>
        <v>5797.7217707136606</v>
      </c>
      <c r="N39" s="227">
        <f>SQRT((ABS(AC39)-171.5+'Small Signal'!C$59)^2)</f>
        <v>100.11928522948995</v>
      </c>
      <c r="O39" s="227">
        <f t="shared" si="12"/>
        <v>91.33326650443388</v>
      </c>
      <c r="P39" s="227">
        <f t="shared" si="13"/>
        <v>44.327775575956608</v>
      </c>
      <c r="Q39" s="227">
        <f t="shared" si="14"/>
        <v>21.940892441324351</v>
      </c>
      <c r="R39" s="227" t="str">
        <f t="shared" si="2"/>
        <v>0.0878666666666667+0.000647935857164563i</v>
      </c>
      <c r="S39" s="227" t="str">
        <f t="shared" si="3"/>
        <v>0.0085-277.805276571201i</v>
      </c>
      <c r="T39" s="227" t="str">
        <f t="shared" si="24"/>
        <v>13.061885857855-0.615509236303888i</v>
      </c>
      <c r="U39" s="227" t="str">
        <f t="shared" si="4"/>
        <v>80.990858497714-0.587714916222397i</v>
      </c>
      <c r="V39" s="227">
        <f t="shared" si="16"/>
        <v>38.168948732880594</v>
      </c>
      <c r="W39" s="227">
        <f t="shared" si="17"/>
        <v>-0.41576288784309501</v>
      </c>
      <c r="X39" s="227" t="str">
        <f t="shared" si="5"/>
        <v>0.999999996576691-0.0000172297908538368i</v>
      </c>
      <c r="Y39" s="227" t="str">
        <f t="shared" si="6"/>
        <v>61.9153142192687+1.07626156423394i</v>
      </c>
      <c r="Z39" s="227" t="str">
        <f t="shared" si="7"/>
        <v>32.242805029183+0.559914547723162i</v>
      </c>
      <c r="AA39" s="227" t="str">
        <f t="shared" si="8"/>
        <v>19.0233909579874-0.458514791328417i</v>
      </c>
      <c r="AB39" s="227">
        <f t="shared" si="18"/>
        <v>25.588280922665732</v>
      </c>
      <c r="AC39" s="227">
        <f t="shared" si="19"/>
        <v>-1.3807147705100606</v>
      </c>
      <c r="AD39" s="229">
        <f t="shared" si="20"/>
        <v>18.73949465329088</v>
      </c>
      <c r="AE39" s="229">
        <f t="shared" si="21"/>
        <v>92.713981274943947</v>
      </c>
      <c r="AF39" s="227">
        <f t="shared" si="9"/>
        <v>44.327775575956608</v>
      </c>
      <c r="AG39" s="227">
        <f t="shared" si="10"/>
        <v>91.33326650443388</v>
      </c>
      <c r="AH39" s="229" t="str">
        <f t="shared" si="22"/>
        <v>0.40954019171259-8.63947461714173i</v>
      </c>
    </row>
    <row r="40" spans="1:34" x14ac:dyDescent="0.2">
      <c r="F40" s="220"/>
      <c r="I40" s="227">
        <v>36</v>
      </c>
      <c r="J40" s="227">
        <f t="shared" si="0"/>
        <v>1.3510044109642023</v>
      </c>
      <c r="K40" s="227">
        <f t="shared" si="23"/>
        <v>22.43904714155466</v>
      </c>
      <c r="L40" s="227">
        <f t="shared" si="11"/>
        <v>140.98869130692634</v>
      </c>
      <c r="M40" s="227">
        <f t="shared" si="1"/>
        <v>5797.2123057120816</v>
      </c>
      <c r="N40" s="227">
        <f>SQRT((ABS(AC40)-171.5+'Small Signal'!C$59)^2)</f>
        <v>100.08794786837839</v>
      </c>
      <c r="O40" s="227">
        <f t="shared" si="12"/>
        <v>91.323815892171851</v>
      </c>
      <c r="P40" s="227">
        <f t="shared" si="13"/>
        <v>44.132921398481926</v>
      </c>
      <c r="Q40" s="227">
        <f t="shared" si="14"/>
        <v>22.43904714155466</v>
      </c>
      <c r="R40" s="227" t="str">
        <f t="shared" si="2"/>
        <v>0.0878666666666667+0.000662646849142554i</v>
      </c>
      <c r="S40" s="227" t="str">
        <f t="shared" si="3"/>
        <v>0.0085-271.63790219921i</v>
      </c>
      <c r="T40" s="227" t="str">
        <f t="shared" si="24"/>
        <v>13.0605560792007-0.629419874489941i</v>
      </c>
      <c r="U40" s="227" t="str">
        <f t="shared" si="4"/>
        <v>80.9908376627234-0.60105958359861i</v>
      </c>
      <c r="V40" s="227">
        <f t="shared" si="16"/>
        <v>38.168957001131943</v>
      </c>
      <c r="W40" s="227">
        <f t="shared" si="17"/>
        <v>-0.42520297542907964</v>
      </c>
      <c r="X40" s="227" t="str">
        <f t="shared" si="5"/>
        <v>0.999999996419478-0.0000176209828402511i</v>
      </c>
      <c r="Y40" s="227" t="str">
        <f t="shared" si="6"/>
        <v>61.9157330296246+1.10069676597399i</v>
      </c>
      <c r="Z40" s="227" t="str">
        <f t="shared" si="7"/>
        <v>32.2430235657567+0.572626718056126i</v>
      </c>
      <c r="AA40" s="227" t="str">
        <f t="shared" si="8"/>
        <v>19.0229065417357-0.468913689177104i</v>
      </c>
      <c r="AB40" s="227">
        <f t="shared" si="18"/>
        <v>25.58817554387258</v>
      </c>
      <c r="AC40" s="227">
        <f t="shared" si="19"/>
        <v>-1.4120521316215977</v>
      </c>
      <c r="AD40" s="229">
        <f t="shared" si="20"/>
        <v>18.544745854609342</v>
      </c>
      <c r="AE40" s="229">
        <f t="shared" si="21"/>
        <v>92.735868023793444</v>
      </c>
      <c r="AF40" s="227">
        <f t="shared" si="9"/>
        <v>44.132921398481926</v>
      </c>
      <c r="AG40" s="227">
        <f t="shared" si="10"/>
        <v>91.323815892171851</v>
      </c>
      <c r="AH40" s="229" t="str">
        <f t="shared" si="22"/>
        <v>0.403686992140638-8.44776836536711i</v>
      </c>
    </row>
    <row r="41" spans="1:34" x14ac:dyDescent="0.2">
      <c r="F41" s="220"/>
      <c r="I41" s="227">
        <v>37</v>
      </c>
      <c r="J41" s="227">
        <f t="shared" si="0"/>
        <v>1.3607545334909859</v>
      </c>
      <c r="K41" s="227">
        <f t="shared" si="23"/>
        <v>22.948512143133257</v>
      </c>
      <c r="L41" s="227">
        <f t="shared" si="11"/>
        <v>144.18975431936721</v>
      </c>
      <c r="M41" s="227">
        <f t="shared" si="1"/>
        <v>5796.6912736156</v>
      </c>
      <c r="N41" s="227">
        <f>SQRT((ABS(AC41)-171.5+'Small Signal'!C$59)^2)</f>
        <v>100.05589977280371</v>
      </c>
      <c r="O41" s="227">
        <f t="shared" si="12"/>
        <v>91.315030502992443</v>
      </c>
      <c r="P41" s="227">
        <f t="shared" si="13"/>
        <v>43.938069943478695</v>
      </c>
      <c r="Q41" s="227">
        <f t="shared" si="14"/>
        <v>22.948512143133257</v>
      </c>
      <c r="R41" s="227" t="str">
        <f t="shared" si="2"/>
        <v>0.0878666666666667+0.000677691845301026i</v>
      </c>
      <c r="S41" s="227" t="str">
        <f t="shared" si="3"/>
        <v>0.0085-265.607445696864i</v>
      </c>
      <c r="T41" s="227" t="str">
        <f t="shared" si="24"/>
        <v>13.059165521272-0.64364189178972i</v>
      </c>
      <c r="U41" s="227" t="str">
        <f t="shared" si="4"/>
        <v>80.9908158702508-0.614707300148922i</v>
      </c>
      <c r="V41" s="227">
        <f t="shared" si="16"/>
        <v>38.16896564908231</v>
      </c>
      <c r="W41" s="227">
        <f t="shared" si="17"/>
        <v>-0.43485742532997224</v>
      </c>
      <c r="X41" s="227" t="str">
        <f t="shared" si="5"/>
        <v>0.999999996255046-0.0000180210566042524i</v>
      </c>
      <c r="Y41" s="227" t="str">
        <f t="shared" si="6"/>
        <v>61.9161710747697+1.12568670775218i</v>
      </c>
      <c r="Z41" s="227" t="str">
        <f t="shared" si="7"/>
        <v>32.2432521391026+0.585627486070749i</v>
      </c>
      <c r="AA41" s="227" t="str">
        <f t="shared" si="8"/>
        <v>19.0223999042233-0.479547893837018i</v>
      </c>
      <c r="AB41" s="227">
        <f t="shared" si="18"/>
        <v>25.588065328382026</v>
      </c>
      <c r="AC41" s="227">
        <f t="shared" si="19"/>
        <v>-1.4441002271962888</v>
      </c>
      <c r="AD41" s="229">
        <f t="shared" si="20"/>
        <v>18.350004615096669</v>
      </c>
      <c r="AE41" s="229">
        <f t="shared" si="21"/>
        <v>92.75913073018873</v>
      </c>
      <c r="AF41" s="227">
        <f t="shared" si="9"/>
        <v>43.938069943478695</v>
      </c>
      <c r="AG41" s="227">
        <f t="shared" si="10"/>
        <v>91.315030502992443</v>
      </c>
      <c r="AH41" s="229" t="str">
        <f t="shared" si="22"/>
        <v>0.398090679312816-8.26031241637639i</v>
      </c>
    </row>
    <row r="42" spans="1:34" x14ac:dyDescent="0.2">
      <c r="F42" s="220"/>
      <c r="I42" s="227">
        <v>38</v>
      </c>
      <c r="J42" s="227">
        <f t="shared" si="0"/>
        <v>1.3705046560177692</v>
      </c>
      <c r="K42" s="227">
        <f t="shared" si="23"/>
        <v>23.469544239615477</v>
      </c>
      <c r="L42" s="227">
        <f t="shared" si="11"/>
        <v>147.46349553255325</v>
      </c>
      <c r="M42" s="227">
        <f t="shared" si="1"/>
        <v>5796.1584118003157</v>
      </c>
      <c r="N42" s="227">
        <f>SQRT((ABS(AC42)-171.5+'Small Signal'!C$59)^2)</f>
        <v>100.02312485897428</v>
      </c>
      <c r="O42" s="227">
        <f t="shared" si="12"/>
        <v>91.306905802395733</v>
      </c>
      <c r="P42" s="227">
        <f t="shared" si="13"/>
        <v>43.743221514267944</v>
      </c>
      <c r="Q42" s="227">
        <f t="shared" si="14"/>
        <v>23.469544239615477</v>
      </c>
      <c r="R42" s="227" t="str">
        <f t="shared" si="2"/>
        <v>0.0878666666666667+0.000693078429003i</v>
      </c>
      <c r="S42" s="227" t="str">
        <f t="shared" si="3"/>
        <v>0.0085-259.710867439536i</v>
      </c>
      <c r="T42" s="227" t="str">
        <f t="shared" si="24"/>
        <v>13.0577114199571-0.658182049288242i</v>
      </c>
      <c r="U42" s="227" t="str">
        <f t="shared" si="4"/>
        <v>80.9907930762626-0.628664951059449i</v>
      </c>
      <c r="V42" s="227">
        <f t="shared" si="16"/>
        <v>38.168974694167623</v>
      </c>
      <c r="W42" s="227">
        <f t="shared" si="17"/>
        <v>-0.44473110666076188</v>
      </c>
      <c r="X42" s="227" t="str">
        <f t="shared" si="5"/>
        <v>0.999999996083061-0.0000184302138012321i</v>
      </c>
      <c r="Y42" s="227" t="str">
        <f t="shared" si="6"/>
        <v>61.9166292381619+1.15124398136848i</v>
      </c>
      <c r="Z42" s="227" t="str">
        <f t="shared" si="7"/>
        <v>32.2434912102114+0.598923402498016i</v>
      </c>
      <c r="AA42" s="227" t="str">
        <f t="shared" si="8"/>
        <v>19.0218700273211-0.49042269256852i</v>
      </c>
      <c r="AB42" s="227">
        <f t="shared" si="18"/>
        <v>25.587950054330243</v>
      </c>
      <c r="AC42" s="227">
        <f t="shared" si="19"/>
        <v>-1.4768751410257097</v>
      </c>
      <c r="AD42" s="229">
        <f t="shared" si="20"/>
        <v>18.155271459937701</v>
      </c>
      <c r="AE42" s="229">
        <f t="shared" si="21"/>
        <v>92.783780943421448</v>
      </c>
      <c r="AF42" s="227">
        <f t="shared" si="9"/>
        <v>43.743221514267944</v>
      </c>
      <c r="AG42" s="227">
        <f t="shared" si="10"/>
        <v>91.306905802395733</v>
      </c>
      <c r="AH42" s="229" t="str">
        <f t="shared" si="22"/>
        <v>0.392739983706002-8.07701278886425i</v>
      </c>
    </row>
    <row r="43" spans="1:34" x14ac:dyDescent="0.2">
      <c r="F43" s="220"/>
      <c r="I43" s="227">
        <v>39</v>
      </c>
      <c r="J43" s="227">
        <f t="shared" si="0"/>
        <v>1.3802547785445527</v>
      </c>
      <c r="K43" s="227">
        <f t="shared" si="23"/>
        <v>24.002406054899147</v>
      </c>
      <c r="L43" s="227">
        <f t="shared" si="11"/>
        <v>150.81156506110065</v>
      </c>
      <c r="M43" s="227">
        <f t="shared" si="1"/>
        <v>5795.6134516796164</v>
      </c>
      <c r="N43" s="227">
        <f>SQRT((ABS(AC43)-171.5+'Small Signal'!C$59)^2)</f>
        <v>99.98960668161385</v>
      </c>
      <c r="O43" s="227">
        <f t="shared" si="12"/>
        <v>91.299437579198667</v>
      </c>
      <c r="P43" s="227">
        <f t="shared" si="13"/>
        <v>43.548376420174378</v>
      </c>
      <c r="Q43" s="227">
        <f t="shared" si="14"/>
        <v>24.002406054899147</v>
      </c>
      <c r="R43" s="227" t="str">
        <f t="shared" si="2"/>
        <v>0.0878666666666667+0.000708814355787173i</v>
      </c>
      <c r="S43" s="227" t="str">
        <f t="shared" si="3"/>
        <v>0.0085-253.945195283328i</v>
      </c>
      <c r="T43" s="227" t="str">
        <f t="shared" si="24"/>
        <v>13.0561908867389-0.673047240277281i</v>
      </c>
      <c r="U43" s="227" t="str">
        <f t="shared" si="4"/>
        <v>80.9907692346987-0.642939578163438i</v>
      </c>
      <c r="V43" s="227">
        <f t="shared" si="16"/>
        <v>38.16898415462461</v>
      </c>
      <c r="W43" s="227">
        <f t="shared" si="17"/>
        <v>-0.45482899923643755</v>
      </c>
      <c r="X43" s="227" t="str">
        <f t="shared" si="5"/>
        <v>0.999999995903179-0.0000188486606650452i</v>
      </c>
      <c r="Y43" s="227" t="str">
        <f t="shared" si="6"/>
        <v>61.9171084438437+1.17738146428635i</v>
      </c>
      <c r="Z43" s="227" t="str">
        <f t="shared" si="7"/>
        <v>32.2437412612514+0.612521166680433i</v>
      </c>
      <c r="AA43" s="227" t="str">
        <f t="shared" si="8"/>
        <v>19.0213158463651-0.501543488836007i</v>
      </c>
      <c r="AB43" s="227">
        <f t="shared" si="18"/>
        <v>25.587829489688666</v>
      </c>
      <c r="AC43" s="227">
        <f t="shared" si="19"/>
        <v>-1.5103933183861571</v>
      </c>
      <c r="AD43" s="229">
        <f t="shared" si="20"/>
        <v>17.960546930485709</v>
      </c>
      <c r="AE43" s="229">
        <f t="shared" si="21"/>
        <v>92.809830897584817</v>
      </c>
      <c r="AF43" s="227">
        <f t="shared" si="9"/>
        <v>43.548376420174378</v>
      </c>
      <c r="AG43" s="227">
        <f t="shared" si="10"/>
        <v>91.299437579198667</v>
      </c>
      <c r="AH43" s="229" t="str">
        <f t="shared" si="22"/>
        <v>0.387624129773489-7.89777756362947i</v>
      </c>
    </row>
    <row r="44" spans="1:34" x14ac:dyDescent="0.2">
      <c r="F44" s="220"/>
      <c r="I44" s="227">
        <v>40</v>
      </c>
      <c r="J44" s="227">
        <f t="shared" si="0"/>
        <v>1.390004901071336</v>
      </c>
      <c r="K44" s="227">
        <f t="shared" si="23"/>
        <v>24.547366175598889</v>
      </c>
      <c r="L44" s="227">
        <f t="shared" si="11"/>
        <v>154.23565048448009</v>
      </c>
      <c r="M44" s="227">
        <f t="shared" si="1"/>
        <v>5795.0561185687893</v>
      </c>
      <c r="N44" s="227">
        <f>SQRT((ABS(AC44)-171.5+'Small Signal'!C$59)^2)</f>
        <v>99.95532842601034</v>
      </c>
      <c r="O44" s="227">
        <f t="shared" si="12"/>
        <v>91.292621942890733</v>
      </c>
      <c r="P44" s="227">
        <f t="shared" si="13"/>
        <v>43.353534977140491</v>
      </c>
      <c r="Q44" s="227">
        <f t="shared" si="14"/>
        <v>24.547366175598889</v>
      </c>
      <c r="R44" s="227" t="str">
        <f t="shared" si="2"/>
        <v>0.0878666666666667+0.000724907557277056i</v>
      </c>
      <c r="S44" s="227" t="str">
        <f t="shared" si="3"/>
        <v>0.0085-248.307523066979i</v>
      </c>
      <c r="T44" s="227" t="str">
        <f t="shared" si="24"/>
        <v>13.0546009032181-0.688244491796709i</v>
      </c>
      <c r="U44" s="227" t="str">
        <f t="shared" si="4"/>
        <v>80.9907442973761-0.657538383520312i</v>
      </c>
      <c r="V44" s="227">
        <f t="shared" si="16"/>
        <v>38.1689940495272</v>
      </c>
      <c r="W44" s="227">
        <f t="shared" si="17"/>
        <v>-0.46515619609577635</v>
      </c>
      <c r="X44" s="227" t="str">
        <f t="shared" si="5"/>
        <v>0.999999995715035-0.0000192766081119619i</v>
      </c>
      <c r="Y44" s="227" t="str">
        <f t="shared" si="6"/>
        <v>61.9176096583038+1.20411232610284i</v>
      </c>
      <c r="Z44" s="227" t="str">
        <f t="shared" si="7"/>
        <v>32.2440027965388+0.626427629937869i</v>
      </c>
      <c r="AA44" s="227" t="str">
        <f t="shared" si="8"/>
        <v>19.0207362480407-0.512915804679773i</v>
      </c>
      <c r="AB44" s="227">
        <f t="shared" si="18"/>
        <v>25.587703391799693</v>
      </c>
      <c r="AC44" s="227">
        <f t="shared" si="19"/>
        <v>-1.5446715739896582</v>
      </c>
      <c r="AD44" s="229">
        <f t="shared" si="20"/>
        <v>17.765831585340798</v>
      </c>
      <c r="AE44" s="229">
        <f t="shared" si="21"/>
        <v>92.837293516880393</v>
      </c>
      <c r="AF44" s="227">
        <f t="shared" si="9"/>
        <v>43.353534977140491</v>
      </c>
      <c r="AG44" s="227">
        <f t="shared" si="10"/>
        <v>91.292621942890733</v>
      </c>
      <c r="AH44" s="229" t="str">
        <f t="shared" si="22"/>
        <v>0.382732814327943-7.7225168393822i</v>
      </c>
    </row>
    <row r="45" spans="1:34" x14ac:dyDescent="0.2">
      <c r="A45" s="227"/>
      <c r="B45" s="235"/>
      <c r="C45" s="227"/>
      <c r="D45" s="227"/>
      <c r="E45" s="227"/>
      <c r="F45" s="227"/>
      <c r="I45" s="227">
        <v>41</v>
      </c>
      <c r="J45" s="227">
        <f t="shared" si="0"/>
        <v>1.3997550235981193</v>
      </c>
      <c r="K45" s="227">
        <f t="shared" si="23"/>
        <v>25.104699286426122</v>
      </c>
      <c r="L45" s="227">
        <f t="shared" si="11"/>
        <v>157.73747769763446</v>
      </c>
      <c r="M45" s="227">
        <f t="shared" si="1"/>
        <v>5794.4861315465723</v>
      </c>
      <c r="N45" s="227">
        <f>SQRT((ABS(AC45)-171.5+'Small Signal'!C$59)^2)</f>
        <v>99.920272899902443</v>
      </c>
      <c r="O45" s="227">
        <f t="shared" si="12"/>
        <v>91.286455321105777</v>
      </c>
      <c r="P45" s="227">
        <f t="shared" si="13"/>
        <v>43.158697508351956</v>
      </c>
      <c r="Q45" s="227">
        <f t="shared" si="14"/>
        <v>25.104699286426122</v>
      </c>
      <c r="R45" s="227" t="str">
        <f t="shared" si="2"/>
        <v>0.0878666666666667+0.000741366145178882i</v>
      </c>
      <c r="S45" s="227" t="str">
        <f t="shared" si="3"/>
        <v>0.0085-242.795009147024i</v>
      </c>
      <c r="T45" s="227" t="str">
        <f t="shared" si="24"/>
        <v>13.0529383154064-0.703780966111889i</v>
      </c>
      <c r="U45" s="227" t="str">
        <f t="shared" si="4"/>
        <v>80.9907182138935-0.67246873307762i</v>
      </c>
      <c r="V45" s="227">
        <f t="shared" si="16"/>
        <v>38.16900439882528</v>
      </c>
      <c r="W45" s="227">
        <f t="shared" si="17"/>
        <v>-0.47571790608318509</v>
      </c>
      <c r="X45" s="227" t="str">
        <f t="shared" si="5"/>
        <v>0.999999995518251-0.0000197142718469787i</v>
      </c>
      <c r="Y45" s="227" t="str">
        <f t="shared" si="6"/>
        <v>61.9181338924317+1.23145003516447i</v>
      </c>
      <c r="Z45" s="227" t="str">
        <f t="shared" si="7"/>
        <v>32.2442763435589+0.640649799009258i</v>
      </c>
      <c r="AA45" s="227" t="str">
        <f t="shared" si="8"/>
        <v>19.0201300681697-0.524545283123167i</v>
      </c>
      <c r="AB45" s="227">
        <f t="shared" si="18"/>
        <v>25.58757150689037</v>
      </c>
      <c r="AC45" s="227">
        <f t="shared" si="19"/>
        <v>-1.5797271000975581</v>
      </c>
      <c r="AD45" s="229">
        <f t="shared" si="20"/>
        <v>17.571126001461586</v>
      </c>
      <c r="AE45" s="229">
        <f t="shared" si="21"/>
        <v>92.866182421203334</v>
      </c>
      <c r="AF45" s="227">
        <f t="shared" si="9"/>
        <v>43.158697508351956</v>
      </c>
      <c r="AG45" s="227">
        <f t="shared" si="10"/>
        <v>91.286455321105777</v>
      </c>
      <c r="AH45" s="229" t="str">
        <f t="shared" si="22"/>
        <v>0.3780561858673-7.551142689429i</v>
      </c>
    </row>
    <row r="46" spans="1:34" x14ac:dyDescent="0.2">
      <c r="A46" s="227"/>
      <c r="B46" s="235"/>
      <c r="C46" s="227"/>
      <c r="D46" s="227"/>
      <c r="E46" s="227"/>
      <c r="F46" s="227"/>
      <c r="I46" s="227">
        <v>42</v>
      </c>
      <c r="J46" s="227">
        <f t="shared" si="0"/>
        <v>1.4095051461249029</v>
      </c>
      <c r="K46" s="227">
        <f t="shared" si="23"/>
        <v>25.674686308642574</v>
      </c>
      <c r="L46" s="227">
        <f t="shared" si="11"/>
        <v>161.31881178090791</v>
      </c>
      <c r="M46" s="227">
        <f t="shared" si="1"/>
        <v>5793.9032033135582</v>
      </c>
      <c r="N46" s="227">
        <f>SQRT((ABS(AC46)-171.5+'Small Signal'!C$59)^2)</f>
        <v>99.884422525200506</v>
      </c>
      <c r="O46" s="227">
        <f t="shared" si="12"/>
        <v>91.280934457205618</v>
      </c>
      <c r="P46" s="227">
        <f t="shared" si="13"/>
        <v>42.963864344878488</v>
      </c>
      <c r="Q46" s="227">
        <f t="shared" si="14"/>
        <v>25.674686308642574</v>
      </c>
      <c r="R46" s="227" t="str">
        <f t="shared" si="2"/>
        <v>0.0878666666666667+0.000758198415370267i</v>
      </c>
      <c r="S46" s="227" t="str">
        <f t="shared" si="3"/>
        <v>0.0085-237.404874965475i</v>
      </c>
      <c r="T46" s="227" t="str">
        <f t="shared" si="24"/>
        <v>13.0511998277815-0.719663962119082i</v>
      </c>
      <c r="U46" s="227" t="str">
        <f t="shared" si="4"/>
        <v>80.9906909315266-0.687738160417756i</v>
      </c>
      <c r="V46" s="227">
        <f t="shared" si="16"/>
        <v>38.169015223384648</v>
      </c>
      <c r="W46" s="227">
        <f t="shared" si="17"/>
        <v>-0.48651945648992972</v>
      </c>
      <c r="X46" s="227" t="str">
        <f t="shared" si="5"/>
        <v>0.99999999531243-0.0000201618724725437i</v>
      </c>
      <c r="Y46" s="227" t="str">
        <f t="shared" si="6"/>
        <v>61.9186822035525+1.25940836533218i</v>
      </c>
      <c r="Z46" s="227" t="str">
        <f t="shared" si="7"/>
        <v>32.2445624540267+0.655194839571815i</v>
      </c>
      <c r="AA46" s="227" t="str">
        <f t="shared" si="8"/>
        <v>19.0194960894015-0.536437690614848i</v>
      </c>
      <c r="AB46" s="227">
        <f t="shared" si="18"/>
        <v>25.58743356956559</v>
      </c>
      <c r="AC46" s="227">
        <f t="shared" si="19"/>
        <v>-1.6155774747995024</v>
      </c>
      <c r="AD46" s="229">
        <f t="shared" si="20"/>
        <v>17.376430775312894</v>
      </c>
      <c r="AE46" s="229">
        <f t="shared" si="21"/>
        <v>92.896511932005126</v>
      </c>
      <c r="AF46" s="227">
        <f t="shared" si="9"/>
        <v>42.963864344878488</v>
      </c>
      <c r="AG46" s="227">
        <f t="shared" si="10"/>
        <v>91.280934457205618</v>
      </c>
      <c r="AH46" s="229" t="str">
        <f t="shared" si="22"/>
        <v>0.373584824802752-7.38356911922339i</v>
      </c>
    </row>
    <row r="47" spans="1:34" x14ac:dyDescent="0.2">
      <c r="A47" s="227"/>
      <c r="B47" s="235"/>
      <c r="C47" s="227"/>
      <c r="D47" s="227"/>
      <c r="E47" s="227"/>
      <c r="F47" s="227"/>
      <c r="I47" s="227">
        <v>43</v>
      </c>
      <c r="J47" s="227">
        <f t="shared" si="0"/>
        <v>1.4192552686516862</v>
      </c>
      <c r="K47" s="227">
        <f t="shared" si="23"/>
        <v>26.257614541657375</v>
      </c>
      <c r="L47" s="227">
        <f t="shared" si="11"/>
        <v>164.98145788972667</v>
      </c>
      <c r="M47" s="227">
        <f t="shared" si="1"/>
        <v>5793.3070400473762</v>
      </c>
      <c r="N47" s="227">
        <f>SQRT((ABS(AC47)-171.5+'Small Signal'!C$59)^2)</f>
        <v>99.847759329540338</v>
      </c>
      <c r="O47" s="227">
        <f t="shared" si="12"/>
        <v>91.276056407971936</v>
      </c>
      <c r="P47" s="227">
        <f t="shared" si="13"/>
        <v>42.76903582632773</v>
      </c>
      <c r="Q47" s="227">
        <f t="shared" si="14"/>
        <v>26.257614541657375</v>
      </c>
      <c r="R47" s="227" t="str">
        <f t="shared" si="2"/>
        <v>0.0878666666666667+0.000775412852081715i</v>
      </c>
      <c r="S47" s="227" t="str">
        <f t="shared" si="3"/>
        <v>0.0085-232.134403649311i</v>
      </c>
      <c r="T47" s="227" t="str">
        <f t="shared" si="24"/>
        <v>13.049381997095-0.735900916670201i</v>
      </c>
      <c r="U47" s="227" t="str">
        <f t="shared" si="4"/>
        <v>80.990662395121-0.703354370591551i</v>
      </c>
      <c r="V47" s="227">
        <f t="shared" si="16"/>
        <v>38.169026545029141</v>
      </c>
      <c r="W47" s="227">
        <f t="shared" si="17"/>
        <v>-0.49756629575615713</v>
      </c>
      <c r="X47" s="227" t="str">
        <f t="shared" si="5"/>
        <v>0.999999995097157-0.0000206196355997501i</v>
      </c>
      <c r="Y47" s="227" t="str">
        <f t="shared" si="6"/>
        <v>61.919255697565+1.2880014028984i</v>
      </c>
      <c r="Z47" s="227" t="str">
        <f t="shared" si="7"/>
        <v>32.2448617050033+0.670070079839401i</v>
      </c>
      <c r="AA47" s="227" t="str">
        <f t="shared" si="8"/>
        <v>19.0188330387967-0.548598919505187i</v>
      </c>
      <c r="AB47" s="227">
        <f t="shared" si="18"/>
        <v>25.587289302276595</v>
      </c>
      <c r="AC47" s="227">
        <f t="shared" si="19"/>
        <v>-1.6522406704596748</v>
      </c>
      <c r="AD47" s="229">
        <f t="shared" si="20"/>
        <v>17.181746524051135</v>
      </c>
      <c r="AE47" s="229">
        <f t="shared" si="21"/>
        <v>92.928297078431612</v>
      </c>
      <c r="AF47" s="227">
        <f t="shared" si="9"/>
        <v>42.76903582632773</v>
      </c>
      <c r="AG47" s="227">
        <f t="shared" si="10"/>
        <v>91.276056407971936</v>
      </c>
      <c r="AH47" s="229" t="str">
        <f t="shared" si="22"/>
        <v>0.369309724549664-7.2197120247686i</v>
      </c>
    </row>
    <row r="48" spans="1:34" x14ac:dyDescent="0.2">
      <c r="A48" s="227"/>
      <c r="B48" s="235"/>
      <c r="C48" s="227" t="s">
        <v>176</v>
      </c>
      <c r="D48" s="227"/>
      <c r="E48" s="227"/>
      <c r="F48" s="235"/>
      <c r="I48" s="227">
        <v>44</v>
      </c>
      <c r="J48" s="227">
        <f t="shared" si="0"/>
        <v>1.4290053911784697</v>
      </c>
      <c r="K48" s="227">
        <f t="shared" si="23"/>
        <v>26.853777807839133</v>
      </c>
      <c r="L48" s="227">
        <f t="shared" si="11"/>
        <v>168.72726216448009</v>
      </c>
      <c r="M48" s="227">
        <f t="shared" si="1"/>
        <v>5792.6973412545995</v>
      </c>
      <c r="N48" s="227">
        <f>SQRT((ABS(AC48)-171.5+'Small Signal'!C$59)^2)</f>
        <v>99.810264937666432</v>
      </c>
      <c r="O48" s="227">
        <f t="shared" si="12"/>
        <v>91.271818541401885</v>
      </c>
      <c r="P48" s="227">
        <f t="shared" si="13"/>
        <v>42.574212301516212</v>
      </c>
      <c r="Q48" s="227">
        <f t="shared" si="14"/>
        <v>26.853777807839133</v>
      </c>
      <c r="R48" s="227" t="str">
        <f t="shared" si="2"/>
        <v>0.0878666666666667+0.000793018132173056i</v>
      </c>
      <c r="S48" s="227" t="str">
        <f t="shared" si="3"/>
        <v>0.0085-226.980938641034i</v>
      </c>
      <c r="T48" s="227" t="str">
        <f t="shared" si="24"/>
        <v>13.0474812259247-0.752499405807781i</v>
      </c>
      <c r="U48" s="227" t="str">
        <f t="shared" si="4"/>
        <v>80.9906325469825-0.719325244040889i</v>
      </c>
      <c r="V48" s="227">
        <f t="shared" si="16"/>
        <v>38.169038386584823</v>
      </c>
      <c r="W48" s="227">
        <f t="shared" si="17"/>
        <v>-0.50886399623518652</v>
      </c>
      <c r="X48" s="227" t="str">
        <f t="shared" si="5"/>
        <v>0.999999994871997-0.000021087791962055i</v>
      </c>
      <c r="Y48" s="227" t="str">
        <f t="shared" si="6"/>
        <v>61.9198555311735+1.31724355366025i</v>
      </c>
      <c r="Z48" s="227" t="str">
        <f t="shared" si="7"/>
        <v>32.2451747000602+0.685283014242082i</v>
      </c>
      <c r="AA48" s="227" t="str">
        <f t="shared" si="8"/>
        <v>19.0181395853045-0.561034990556594i</v>
      </c>
      <c r="AB48" s="227">
        <f t="shared" si="18"/>
        <v>25.587138414766258</v>
      </c>
      <c r="AC48" s="227">
        <f t="shared" si="19"/>
        <v>-1.6897350623335743</v>
      </c>
      <c r="AD48" s="229">
        <f t="shared" si="20"/>
        <v>16.987073886749954</v>
      </c>
      <c r="AE48" s="229">
        <f t="shared" si="21"/>
        <v>92.961553603735453</v>
      </c>
      <c r="AF48" s="227">
        <f t="shared" si="9"/>
        <v>42.574212301516212</v>
      </c>
      <c r="AG48" s="227">
        <f t="shared" si="10"/>
        <v>91.271818541401885</v>
      </c>
      <c r="AH48" s="229" t="str">
        <f t="shared" si="22"/>
        <v>0.365222273444013-7.0594891518596i</v>
      </c>
    </row>
    <row r="49" spans="1:34" x14ac:dyDescent="0.2">
      <c r="A49" s="227"/>
      <c r="B49" s="235"/>
      <c r="C49" s="236">
        <v>0</v>
      </c>
      <c r="D49" s="229"/>
      <c r="E49" s="227"/>
      <c r="F49" s="235"/>
      <c r="I49" s="227">
        <v>45</v>
      </c>
      <c r="J49" s="227">
        <f t="shared" si="0"/>
        <v>1.438755513705253</v>
      </c>
      <c r="K49" s="227">
        <f t="shared" si="23"/>
        <v>27.46347660061566</v>
      </c>
      <c r="L49" s="227">
        <f t="shared" si="11"/>
        <v>172.55811266105869</v>
      </c>
      <c r="M49" s="227">
        <f t="shared" si="1"/>
        <v>5792.0737996192784</v>
      </c>
      <c r="N49" s="227">
        <f>SQRT((ABS(AC49)-171.5+'Small Signal'!C$59)^2)</f>
        <v>99.771920562643288</v>
      </c>
      <c r="O49" s="227">
        <f t="shared" si="12"/>
        <v>91.268218534603776</v>
      </c>
      <c r="P49" s="227">
        <f t="shared" si="13"/>
        <v>42.379394129157788</v>
      </c>
      <c r="Q49" s="227">
        <f t="shared" si="14"/>
        <v>27.46347660061566</v>
      </c>
      <c r="R49" s="227" t="str">
        <f t="shared" si="2"/>
        <v>0.0878666666666667+0.000811023129506976i</v>
      </c>
      <c r="S49" s="227" t="str">
        <f t="shared" si="3"/>
        <v>0.0085-221.941882359659i</v>
      </c>
      <c r="T49" s="227" t="str">
        <f t="shared" si="24"/>
        <v>13.045493755962-0.76946714590006i</v>
      </c>
      <c r="U49" s="227" t="str">
        <f t="shared" si="4"/>
        <v>80.9906013267546-0.735658840612277i</v>
      </c>
      <c r="V49" s="227">
        <f t="shared" si="16"/>
        <v>38.169050771925527</v>
      </c>
      <c r="W49" s="227">
        <f t="shared" si="17"/>
        <v>-0.52041825702144706</v>
      </c>
      <c r="X49" s="227" t="str">
        <f t="shared" si="5"/>
        <v>0.999999994636497-0.0000215665775315786i</v>
      </c>
      <c r="Y49" s="227" t="str">
        <f t="shared" si="6"/>
        <v>61.9204829142195+1.34714955015145i</v>
      </c>
      <c r="Z49" s="227" t="str">
        <f t="shared" si="7"/>
        <v>32.2455020704959+0.70084130718826i</v>
      </c>
      <c r="AA49" s="227" t="str">
        <f t="shared" si="8"/>
        <v>19.0174143371271-0.573752055486608i</v>
      </c>
      <c r="AB49" s="227">
        <f t="shared" si="18"/>
        <v>25.586980603489309</v>
      </c>
      <c r="AC49" s="227">
        <f t="shared" si="19"/>
        <v>-1.7280794373567039</v>
      </c>
      <c r="AD49" s="229">
        <f t="shared" si="20"/>
        <v>16.792413525668476</v>
      </c>
      <c r="AE49" s="229">
        <f t="shared" si="21"/>
        <v>92.996297971960473</v>
      </c>
      <c r="AF49" s="227">
        <f t="shared" si="9"/>
        <v>42.379394129157788</v>
      </c>
      <c r="AG49" s="227">
        <f t="shared" si="10"/>
        <v>91.268218534603776</v>
      </c>
      <c r="AH49" s="229" t="str">
        <f t="shared" si="22"/>
        <v>0.3613142374485-6.90282005615133i</v>
      </c>
    </row>
    <row r="50" spans="1:34" x14ac:dyDescent="0.2">
      <c r="A50" s="227"/>
      <c r="B50" s="235" t="s">
        <v>177</v>
      </c>
      <c r="C50" s="229">
        <f>D52</f>
        <v>3.9000000000000001E-11</v>
      </c>
      <c r="D50" s="227"/>
      <c r="E50" s="227"/>
      <c r="F50" s="235"/>
      <c r="I50" s="227">
        <v>46</v>
      </c>
      <c r="J50" s="227">
        <f t="shared" si="0"/>
        <v>1.4485056362320363</v>
      </c>
      <c r="K50" s="227">
        <f t="shared" si="23"/>
        <v>28.08701823593649</v>
      </c>
      <c r="L50" s="227">
        <f t="shared" si="11"/>
        <v>176.47594030252125</v>
      </c>
      <c r="M50" s="227">
        <f t="shared" si="1"/>
        <v>5791.436100848041</v>
      </c>
      <c r="N50" s="227">
        <f>SQRT((ABS(AC50)-171.5+'Small Signal'!C$59)^2)</f>
        <v>99.732706996891778</v>
      </c>
      <c r="O50" s="227">
        <f t="shared" si="12"/>
        <v>91.265254371787719</v>
      </c>
      <c r="P50" s="227">
        <f t="shared" si="13"/>
        <v>42.184581678569714</v>
      </c>
      <c r="Q50" s="227">
        <f t="shared" si="14"/>
        <v>28.08701823593649</v>
      </c>
      <c r="R50" s="227" t="str">
        <f t="shared" si="2"/>
        <v>0.0878666666666667+0.00082943691942185i</v>
      </c>
      <c r="S50" s="227" t="str">
        <f t="shared" si="3"/>
        <v>0.0085-217.014694891406i</v>
      </c>
      <c r="T50" s="227" t="str">
        <f t="shared" si="24"/>
        <v>13.0434156610245-0.786811994665616i</v>
      </c>
      <c r="U50" s="227" t="str">
        <f t="shared" si="4"/>
        <v>80.990568671301-0.752363403663936i</v>
      </c>
      <c r="V50" s="227">
        <f t="shared" si="16"/>
        <v>38.169063726021527</v>
      </c>
      <c r="W50" s="227">
        <f t="shared" si="17"/>
        <v>-0.53223490684371533</v>
      </c>
      <c r="X50" s="227" t="str">
        <f t="shared" si="5"/>
        <v>0.999999994390183-0.0000220562336380459i</v>
      </c>
      <c r="Y50" s="227" t="str">
        <f t="shared" si="6"/>
        <v>61.9211391121277+1.37773445903716i</v>
      </c>
      <c r="Z50" s="227" t="str">
        <f t="shared" si="7"/>
        <v>32.2458444766126+0.716752796911536i</v>
      </c>
      <c r="AA50" s="227" t="str">
        <f t="shared" si="8"/>
        <v>19.0166558389647-0.586756399543047i</v>
      </c>
      <c r="AB50" s="227">
        <f t="shared" si="18"/>
        <v>25.586815551005571</v>
      </c>
      <c r="AC50" s="227">
        <f t="shared" si="19"/>
        <v>-1.7672930031082279</v>
      </c>
      <c r="AD50" s="229">
        <f t="shared" si="20"/>
        <v>16.597766127564142</v>
      </c>
      <c r="AE50" s="229">
        <f t="shared" si="21"/>
        <v>93.032547374895941</v>
      </c>
      <c r="AF50" s="227">
        <f t="shared" si="9"/>
        <v>42.184581678569714</v>
      </c>
      <c r="AG50" s="227">
        <f t="shared" si="10"/>
        <v>91.265254371787719</v>
      </c>
      <c r="AH50" s="229" t="str">
        <f t="shared" si="22"/>
        <v>0.357577743614016-6.74962606403961i</v>
      </c>
    </row>
    <row r="51" spans="1:34" x14ac:dyDescent="0.2">
      <c r="A51" s="227"/>
      <c r="B51" s="235" t="s">
        <v>178</v>
      </c>
      <c r="C51" s="227">
        <f>D53</f>
        <v>64900</v>
      </c>
      <c r="D51" s="227"/>
      <c r="E51" s="227"/>
      <c r="F51" s="235"/>
      <c r="I51" s="227">
        <v>47</v>
      </c>
      <c r="J51" s="227">
        <f t="shared" si="0"/>
        <v>1.4582557587588199</v>
      </c>
      <c r="K51" s="227">
        <f t="shared" si="23"/>
        <v>28.724717007173975</v>
      </c>
      <c r="L51" s="227">
        <f t="shared" si="11"/>
        <v>180.4827198523671</v>
      </c>
      <c r="M51" s="227">
        <f t="shared" si="1"/>
        <v>5790.7839235116735</v>
      </c>
      <c r="N51" s="227">
        <f>SQRT((ABS(AC51)-171.5+'Small Signal'!C$59)^2)</f>
        <v>99.692604603048522</v>
      </c>
      <c r="O51" s="227">
        <f t="shared" si="12"/>
        <v>91.262924342346835</v>
      </c>
      <c r="P51" s="227">
        <f t="shared" si="13"/>
        <v>41.989775330399468</v>
      </c>
      <c r="Q51" s="227">
        <f t="shared" si="14"/>
        <v>28.724717007173975</v>
      </c>
      <c r="R51" s="227" t="str">
        <f t="shared" si="2"/>
        <v>0.0878666666666667+0.000848268783306125i</v>
      </c>
      <c r="S51" s="227" t="str">
        <f t="shared" si="3"/>
        <v>0.0085-212.196892709467i</v>
      </c>
      <c r="T51" s="227" t="str">
        <f t="shared" si="24"/>
        <v>13.0412428397851-0.804541952076117i</v>
      </c>
      <c r="U51" s="227" t="str">
        <f t="shared" si="4"/>
        <v>80.9905345145723-0.769447364268351i</v>
      </c>
      <c r="V51" s="227">
        <f t="shared" si="16"/>
        <v>38.16907727498937</v>
      </c>
      <c r="W51" s="227">
        <f t="shared" si="17"/>
        <v>-0.54431990702509658</v>
      </c>
      <c r="X51" s="227" t="str">
        <f t="shared" si="5"/>
        <v>0.999999994132556-0.0000225570070904273i</v>
      </c>
      <c r="Y51" s="227" t="str">
        <f t="shared" si="6"/>
        <v>61.9218254484589+1.40901368867495i</v>
      </c>
      <c r="Z51" s="227" t="str">
        <f t="shared" si="7"/>
        <v>32.2462026090477+0.733025499403992i</v>
      </c>
      <c r="AA51" s="227" t="str">
        <f t="shared" si="8"/>
        <v>19.0158625691384-0.600054444110118i</v>
      </c>
      <c r="AB51" s="227">
        <f t="shared" si="18"/>
        <v>25.586642925346208</v>
      </c>
      <c r="AC51" s="227">
        <f t="shared" si="19"/>
        <v>-1.8073953969514656</v>
      </c>
      <c r="AD51" s="229">
        <f t="shared" si="20"/>
        <v>16.403132405053263</v>
      </c>
      <c r="AE51" s="229">
        <f t="shared" si="21"/>
        <v>93.070319739298299</v>
      </c>
      <c r="AF51" s="227">
        <f t="shared" si="9"/>
        <v>41.989775330399468</v>
      </c>
      <c r="AG51" s="227">
        <f t="shared" si="10"/>
        <v>91.262924342346835</v>
      </c>
      <c r="AH51" s="229" t="str">
        <f t="shared" si="22"/>
        <v>0.354005264263662-6.59983023434189i</v>
      </c>
    </row>
    <row r="52" spans="1:34" x14ac:dyDescent="0.2">
      <c r="A52" s="227"/>
      <c r="B52" s="235" t="s">
        <v>179</v>
      </c>
      <c r="C52" s="229">
        <f>1/(2*PI()*Rshss*3*'Small Signal'!C60)</f>
        <v>3.6805204746602672E-11</v>
      </c>
      <c r="D52" s="237">
        <f>IF(C52*10^12&lt;10000,IF((10^(LOG(C52*10^12)-INT(LOG(C52*10^12))))-VLOOKUP((10^(LOG(C52*10^12)-INT(LOG(C52*10^12)))),c_s1:C_f1,1)&lt;VLOOKUP((10^(LOG(C52*10^12)-INT(LOG(C52*10^12)))),c_s1:C_f1,2)-(10^(LOG(C52*10^12)-INT(LOG(C52*10^12)))),VLOOKUP((10^(LOG(C52*10^12)-INT(LOG(C52*10^12)))),c_s1:C_f1,1),VLOOKUP((10^(LOG(C52*10^12)-INT(LOG(C52*10^12)))),c_s1:C_f1,2))*10^INT(LOG(C52*10^12)),IF((10^(LOG(C52*10^12)-INT(LOG(C52*10^12))))-VLOOKUP((10^(LOG(C52*10^12)-INT(LOG(C52*10^12)))),C_s2:C_f2,1)&lt;VLOOKUP((10^(LOG(C52*10^12)-INT(LOG(C52*10^12)))),C_s2:C_f2,2)-(10^(LOG(C52*10^12)-INT(LOG(C52*10^12)))),VLOOKUP((10^(LOG(C52*10^12)-INT(LOG(C52*10^12)))),C_s2:C_f2,1),VLOOKUP((10^(LOG(C52*10^12)-INT(LOG(C52*10^12)))),C_s2:C_f2,2))*10^INT(LOG(C52*10^12)))*10^-12</f>
        <v>3.9000000000000001E-11</v>
      </c>
      <c r="E52" s="227"/>
      <c r="F52" s="235"/>
      <c r="I52" s="227">
        <v>48</v>
      </c>
      <c r="J52" s="227">
        <f t="shared" si="0"/>
        <v>1.4680058812856032</v>
      </c>
      <c r="K52" s="227">
        <f t="shared" si="23"/>
        <v>29.376894343541498</v>
      </c>
      <c r="L52" s="227">
        <f t="shared" si="11"/>
        <v>184.58047090990704</v>
      </c>
      <c r="M52" s="227">
        <f t="shared" si="1"/>
        <v>5790.1169388831067</v>
      </c>
      <c r="N52" s="227">
        <f>SQRT((ABS(AC52)-171.5+'Small Signal'!C$59)^2)</f>
        <v>99.65159330464644</v>
      </c>
      <c r="O52" s="227">
        <f t="shared" si="12"/>
        <v>91.261227039024092</v>
      </c>
      <c r="P52" s="227">
        <f t="shared" si="13"/>
        <v>41.794975477372731</v>
      </c>
      <c r="Q52" s="227">
        <f t="shared" si="14"/>
        <v>29.376894343541498</v>
      </c>
      <c r="R52" s="227" t="str">
        <f t="shared" si="2"/>
        <v>0.0878666666666667+0.000867528213276563i</v>
      </c>
      <c r="S52" s="227" t="str">
        <f t="shared" si="3"/>
        <v>0.0085-207.486047422203i</v>
      </c>
      <c r="T52" s="227" t="str">
        <f t="shared" si="24"/>
        <v>13.0389710082076-0.822665161124838i</v>
      </c>
      <c r="U52" s="227" t="str">
        <f t="shared" si="4"/>
        <v>80.9904987874727-0.786919345512768i</v>
      </c>
      <c r="V52" s="227">
        <f t="shared" si="16"/>
        <v>38.169091446144691</v>
      </c>
      <c r="W52" s="227">
        <f t="shared" si="17"/>
        <v>-0.55667935451134842</v>
      </c>
      <c r="X52" s="227" t="str">
        <f t="shared" si="5"/>
        <v>0.999999993863097-0.0000230691503013416i</v>
      </c>
      <c r="Y52" s="227" t="str">
        <f t="shared" si="6"/>
        <v>61.9225433075785+1.44100299684573i</v>
      </c>
      <c r="Z52" s="227" t="str">
        <f t="shared" si="7"/>
        <v>32.2465771901668+0.749667612437879i</v>
      </c>
      <c r="AA52" s="227" t="str">
        <f t="shared" si="8"/>
        <v>19.0150329365853-0.613652749344353i</v>
      </c>
      <c r="AB52" s="227">
        <f t="shared" si="18"/>
        <v>25.586462379351591</v>
      </c>
      <c r="AC52" s="227">
        <f t="shared" si="19"/>
        <v>-1.8484066953535709</v>
      </c>
      <c r="AD52" s="229">
        <f t="shared" si="20"/>
        <v>16.208513098021143</v>
      </c>
      <c r="AE52" s="229">
        <f t="shared" si="21"/>
        <v>93.109633734377667</v>
      </c>
      <c r="AF52" s="227">
        <f t="shared" si="9"/>
        <v>41.794975477372731</v>
      </c>
      <c r="AG52" s="227">
        <f t="shared" si="10"/>
        <v>91.261227039024092</v>
      </c>
      <c r="AH52" s="229" t="str">
        <f t="shared" si="22"/>
        <v>0.350589601867889-6.45335732076415i</v>
      </c>
    </row>
    <row r="53" spans="1:34" x14ac:dyDescent="0.2">
      <c r="A53" s="227"/>
      <c r="B53" s="235" t="s">
        <v>180</v>
      </c>
      <c r="C53" s="229">
        <f>1/(2*PI()*'Small Signal'!C60*9*Cffss)</f>
        <v>64487.751906440601</v>
      </c>
      <c r="D53" s="238">
        <f>(IF((10^(LOG(C53)-INT(LOG(C53)))*100)-VLOOKUP((10^(LOG(C53)-INT(LOG(C53)))*100),E96_s:E96_f,1)&lt;VLOOKUP((10^(LOG(C53)-INT(LOG(C53)))*100),E96_s:E96_f,2)-(10^(LOG(C53)-INT(LOG(C53)))*100),VLOOKUP((10^(LOG(C53)-INT(LOG(C53)))*100),E96_s:E96_f,1),VLOOKUP((10^(LOG(C53)-INT(LOG(C53)))*100),E96_s:E96_f,2)))*10^INT(LOG(C53))/100</f>
        <v>64900</v>
      </c>
      <c r="E53" s="227"/>
      <c r="F53" s="235"/>
      <c r="I53" s="227">
        <v>49</v>
      </c>
      <c r="J53" s="227">
        <f t="shared" si="0"/>
        <v>1.4777560038123867</v>
      </c>
      <c r="K53" s="227">
        <f t="shared" si="23"/>
        <v>30.04387897210847</v>
      </c>
      <c r="L53" s="227">
        <f t="shared" si="11"/>
        <v>188.77125892823366</v>
      </c>
      <c r="M53" s="227">
        <f t="shared" si="1"/>
        <v>5789.4348107717215</v>
      </c>
      <c r="N53" s="227">
        <f>SQRT((ABS(AC53)-171.5+'Small Signal'!C$59)^2)</f>
        <v>99.609652576613712</v>
      </c>
      <c r="O53" s="227">
        <f t="shared" si="12"/>
        <v>91.260161356159685</v>
      </c>
      <c r="P53" s="227">
        <f t="shared" si="13"/>
        <v>41.600182525062891</v>
      </c>
      <c r="Q53" s="227">
        <f t="shared" si="14"/>
        <v>30.04387897210847</v>
      </c>
      <c r="R53" s="227" t="str">
        <f t="shared" si="2"/>
        <v>0.0878666666666667+0.000887224916962698i</v>
      </c>
      <c r="S53" s="227" t="str">
        <f t="shared" si="3"/>
        <v>0.0085-202.879784549117i</v>
      </c>
      <c r="T53" s="227" t="str">
        <f t="shared" si="24"/>
        <v>13.0365956916792-0.84118990844797i</v>
      </c>
      <c r="U53" s="227" t="str">
        <f t="shared" si="4"/>
        <v>80.9904614177212-0.80478816690009i</v>
      </c>
      <c r="V53" s="227">
        <f t="shared" si="16"/>
        <v>38.169106268057469</v>
      </c>
      <c r="W53" s="227">
        <f t="shared" si="17"/>
        <v>-0.56931948496925144</v>
      </c>
      <c r="X53" s="227" t="str">
        <f t="shared" si="5"/>
        <v>0.999999993581265-0.0000235929214142836i</v>
      </c>
      <c r="Y53" s="227" t="str">
        <f t="shared" si="6"/>
        <v>61.9232941374594+1.47371849865829i</v>
      </c>
      <c r="Z53" s="227" t="str">
        <f t="shared" si="7"/>
        <v>32.246968975526+0.766687519677605i</v>
      </c>
      <c r="AA53" s="227" t="str">
        <f t="shared" si="8"/>
        <v>19.0141652777169-0.627558016838848i</v>
      </c>
      <c r="AB53" s="227">
        <f t="shared" si="18"/>
        <v>25.586273549977946</v>
      </c>
      <c r="AC53" s="227">
        <f t="shared" si="19"/>
        <v>-1.8903474233862738</v>
      </c>
      <c r="AD53" s="229">
        <f t="shared" si="20"/>
        <v>16.013908975084941</v>
      </c>
      <c r="AE53" s="229">
        <f t="shared" si="21"/>
        <v>93.150508779545959</v>
      </c>
      <c r="AF53" s="227">
        <f t="shared" si="9"/>
        <v>41.600182525062891</v>
      </c>
      <c r="AG53" s="227">
        <f t="shared" si="10"/>
        <v>91.260161356159685</v>
      </c>
      <c r="AH53" s="229" t="str">
        <f t="shared" si="22"/>
        <v>0.347323874580719-6.31013373514096i</v>
      </c>
    </row>
    <row r="54" spans="1:34" x14ac:dyDescent="0.2">
      <c r="A54" s="227"/>
      <c r="B54" s="235" t="s">
        <v>141</v>
      </c>
      <c r="C54" s="229">
        <v>9.9999999999999998E-13</v>
      </c>
      <c r="D54" s="227"/>
      <c r="E54" s="227"/>
      <c r="F54" s="235"/>
      <c r="I54" s="227">
        <v>50</v>
      </c>
      <c r="J54" s="227">
        <f t="shared" si="0"/>
        <v>1.48750612633917</v>
      </c>
      <c r="K54" s="227">
        <f t="shared" si="23"/>
        <v>30.726007083493656</v>
      </c>
      <c r="L54" s="227">
        <f t="shared" si="11"/>
        <v>193.05719625530324</v>
      </c>
      <c r="M54" s="227">
        <f t="shared" si="1"/>
        <v>5788.7371953538941</v>
      </c>
      <c r="N54" s="227">
        <f>SQRT((ABS(AC54)-171.5+'Small Signal'!C$59)^2)</f>
        <v>99.566761435589825</v>
      </c>
      <c r="O54" s="227">
        <f t="shared" si="12"/>
        <v>91.259726488012831</v>
      </c>
      <c r="P54" s="227">
        <f t="shared" si="13"/>
        <v>41.40539689268612</v>
      </c>
      <c r="Q54" s="227">
        <f t="shared" si="14"/>
        <v>30.726007083493656</v>
      </c>
      <c r="R54" s="227" t="str">
        <f t="shared" si="2"/>
        <v>0.0878666666666667+0.000907368822399925i</v>
      </c>
      <c r="S54" s="227" t="str">
        <f t="shared" si="3"/>
        <v>0.0085-198.375782324009i</v>
      </c>
      <c r="T54" s="227" t="str">
        <f t="shared" si="24"/>
        <v>13.0341122168289-0.860124624784575i</v>
      </c>
      <c r="U54" s="227" t="str">
        <f t="shared" si="4"/>
        <v>80.9904223297002-0.823062848852522i</v>
      </c>
      <c r="V54" s="227">
        <f t="shared" si="16"/>
        <v>38.169121770609216</v>
      </c>
      <c r="W54" s="227">
        <f t="shared" si="17"/>
        <v>-0.58224667595666746</v>
      </c>
      <c r="X54" s="227" t="str">
        <f t="shared" si="5"/>
        <v>0.999999993286489-0.0000241285844337401i</v>
      </c>
      <c r="Y54" s="227" t="str">
        <f t="shared" si="6"/>
        <v>61.9240794525961+1.50717667463128i</v>
      </c>
      <c r="Z54" s="227" t="str">
        <f t="shared" si="7"/>
        <v>32.2473787553922+0.784093794884003i</v>
      </c>
      <c r="AA54" s="227" t="str">
        <f t="shared" si="8"/>
        <v>19.0132578531414-0.641777092314654i</v>
      </c>
      <c r="AB54" s="227">
        <f t="shared" si="18"/>
        <v>25.586076057574406</v>
      </c>
      <c r="AC54" s="227">
        <f t="shared" si="19"/>
        <v>-1.9332385644101715</v>
      </c>
      <c r="AD54" s="229">
        <f t="shared" si="20"/>
        <v>15.819320835111712</v>
      </c>
      <c r="AE54" s="229">
        <f t="shared" si="21"/>
        <v>93.192965052423006</v>
      </c>
      <c r="AF54" s="227">
        <f t="shared" si="9"/>
        <v>41.40539689268612</v>
      </c>
      <c r="AG54" s="227">
        <f t="shared" si="10"/>
        <v>91.259726488012831</v>
      </c>
      <c r="AH54" s="229" t="str">
        <f t="shared" si="22"/>
        <v>0.344201502408243-6.17008751143536i</v>
      </c>
    </row>
    <row r="55" spans="1:34" x14ac:dyDescent="0.2">
      <c r="A55" s="227"/>
      <c r="B55" s="235" t="s">
        <v>142</v>
      </c>
      <c r="C55" s="239">
        <v>1000000</v>
      </c>
      <c r="D55" s="227"/>
      <c r="E55" s="227"/>
      <c r="F55" s="235"/>
      <c r="I55" s="227">
        <v>51</v>
      </c>
      <c r="J55" s="227">
        <f t="shared" si="0"/>
        <v>1.4972562488659533</v>
      </c>
      <c r="K55" s="227">
        <f t="shared" si="23"/>
        <v>31.423622501320672</v>
      </c>
      <c r="L55" s="227">
        <f t="shared" si="11"/>
        <v>197.44044319865588</v>
      </c>
      <c r="M55" s="227">
        <f t="shared" si="1"/>
        <v>5788.0237409996944</v>
      </c>
      <c r="N55" s="227">
        <f>SQRT((ABS(AC55)-171.5+'Small Signal'!C$59)^2)</f>
        <v>99.522898430056244</v>
      </c>
      <c r="O55" s="227">
        <f t="shared" si="12"/>
        <v>91.259921927153655</v>
      </c>
      <c r="P55" s="227">
        <f t="shared" si="13"/>
        <v>41.210619013919924</v>
      </c>
      <c r="Q55" s="227">
        <f t="shared" si="14"/>
        <v>31.423622501320672</v>
      </c>
      <c r="R55" s="227" t="str">
        <f t="shared" si="2"/>
        <v>0.0878666666666667+0.000927970083033683i</v>
      </c>
      <c r="S55" s="227" t="str">
        <f t="shared" si="3"/>
        <v>0.0085-193.971770524704i</v>
      </c>
      <c r="T55" s="227" t="str">
        <f t="shared" si="24"/>
        <v>13.0315157030245-0.879477885260241i</v>
      </c>
      <c r="U55" s="227" t="str">
        <f t="shared" si="4"/>
        <v>80.990381444302-0.841752617320469i</v>
      </c>
      <c r="V55" s="227">
        <f t="shared" si="16"/>
        <v>38.16913798505329</v>
      </c>
      <c r="W55" s="227">
        <f t="shared" si="17"/>
        <v>-0.5954674501659114</v>
      </c>
      <c r="X55" s="227" t="str">
        <f t="shared" si="5"/>
        <v>0.999999992978176-0.0000246764093582601i</v>
      </c>
      <c r="Y55" s="227" t="str">
        <f t="shared" si="6"/>
        <v>61.9249008370695+1.54139437895652i</v>
      </c>
      <c r="Z55" s="227" t="str">
        <f t="shared" si="7"/>
        <v>32.2478073563431+0.801895206212934i</v>
      </c>
      <c r="AA55" s="227" t="str">
        <f t="shared" si="8"/>
        <v>19.012308844236-0.656316968337134i</v>
      </c>
      <c r="AB55" s="227">
        <f t="shared" si="18"/>
        <v>25.585869505125402</v>
      </c>
      <c r="AC55" s="227">
        <f t="shared" si="19"/>
        <v>-1.9771015699437555</v>
      </c>
      <c r="AD55" s="229">
        <f t="shared" si="20"/>
        <v>15.624749508794519</v>
      </c>
      <c r="AE55" s="229">
        <f t="shared" si="21"/>
        <v>93.237023497097411</v>
      </c>
      <c r="AF55" s="227">
        <f t="shared" si="9"/>
        <v>41.210619013919924</v>
      </c>
      <c r="AG55" s="227">
        <f t="shared" si="10"/>
        <v>91.259921927153655</v>
      </c>
      <c r="AH55" s="229" t="str">
        <f t="shared" si="22"/>
        <v>0.341216193981922-6.03314827048532i</v>
      </c>
    </row>
    <row r="56" spans="1:34" x14ac:dyDescent="0.2">
      <c r="A56" s="227"/>
      <c r="B56" s="235" t="s">
        <v>146</v>
      </c>
      <c r="C56" s="227">
        <v>1</v>
      </c>
      <c r="D56" s="227"/>
      <c r="E56" s="227"/>
      <c r="F56" s="235"/>
      <c r="I56" s="227">
        <v>52</v>
      </c>
      <c r="J56" s="227">
        <f t="shared" si="0"/>
        <v>1.5070063713927369</v>
      </c>
      <c r="K56" s="227">
        <f t="shared" si="23"/>
        <v>32.13707685552064</v>
      </c>
      <c r="L56" s="227">
        <f t="shared" si="11"/>
        <v>201.92320911430843</v>
      </c>
      <c r="M56" s="227">
        <f t="shared" si="1"/>
        <v>5787.2940880956457</v>
      </c>
      <c r="N56" s="227">
        <f>SQRT((ABS(AC56)-171.5+'Small Signal'!C$59)^2)</f>
        <v>99.478041630280131</v>
      </c>
      <c r="O56" s="227">
        <f t="shared" si="12"/>
        <v>91.260747462917294</v>
      </c>
      <c r="P56" s="227">
        <f t="shared" si="13"/>
        <v>41.015849337750446</v>
      </c>
      <c r="Q56" s="227">
        <f t="shared" si="14"/>
        <v>32.13707685552064</v>
      </c>
      <c r="R56" s="227" t="str">
        <f t="shared" si="2"/>
        <v>0.0878666666666667+0.00094903908283725i</v>
      </c>
      <c r="S56" s="227" t="str">
        <f t="shared" si="3"/>
        <v>0.0085-189.665529328752i</v>
      </c>
      <c r="T56" s="227" t="str">
        <f t="shared" si="24"/>
        <v>13.0288010535347-0.899258409478362i</v>
      </c>
      <c r="U56" s="227" t="str">
        <f t="shared" si="4"/>
        <v>80.9903386787702-0.860866908499539i</v>
      </c>
      <c r="V56" s="227">
        <f t="shared" si="16"/>
        <v>38.169154944078223</v>
      </c>
      <c r="W56" s="227">
        <f t="shared" si="17"/>
        <v>-0.60898847874239459</v>
      </c>
      <c r="X56" s="227" t="str">
        <f t="shared" si="5"/>
        <v>0.999999992655703-0.0000252366723165467i</v>
      </c>
      <c r="Y56" s="227" t="str">
        <f t="shared" si="6"/>
        <v>61.9257599477425+1.57638884794772i</v>
      </c>
      <c r="Z56" s="227" t="str">
        <f t="shared" si="7"/>
        <v>32.2482556429339+0.820100720610313i</v>
      </c>
      <c r="AA56" s="227" t="str">
        <f t="shared" si="8"/>
        <v>19.0113163495714-0.671184787055979i</v>
      </c>
      <c r="AB56" s="227">
        <f t="shared" si="18"/>
        <v>25.585653477460944</v>
      </c>
      <c r="AC56" s="227">
        <f t="shared" si="19"/>
        <v>-2.0219583697198624</v>
      </c>
      <c r="AD56" s="229">
        <f t="shared" si="20"/>
        <v>15.430195860289501</v>
      </c>
      <c r="AE56" s="229">
        <f t="shared" si="21"/>
        <v>93.282705832637163</v>
      </c>
      <c r="AF56" s="227">
        <f t="shared" si="9"/>
        <v>41.015849337750446</v>
      </c>
      <c r="AG56" s="227">
        <f t="shared" si="10"/>
        <v>91.260747462917294</v>
      </c>
      <c r="AH56" s="229" t="str">
        <f t="shared" si="22"/>
        <v>0.338361933910306-5.89924718548368i</v>
      </c>
    </row>
    <row r="57" spans="1:34" x14ac:dyDescent="0.2">
      <c r="A57" s="227"/>
      <c r="B57" s="235" t="s">
        <v>147</v>
      </c>
      <c r="C57" s="227">
        <v>20</v>
      </c>
      <c r="D57" s="227"/>
      <c r="E57" s="227"/>
      <c r="F57" s="235"/>
      <c r="I57" s="227">
        <v>53</v>
      </c>
      <c r="J57" s="227">
        <f t="shared" si="0"/>
        <v>1.5167564939195202</v>
      </c>
      <c r="K57" s="227">
        <f t="shared" si="23"/>
        <v>32.866729759569694</v>
      </c>
      <c r="L57" s="227">
        <f t="shared" si="11"/>
        <v>206.50775352037036</v>
      </c>
      <c r="M57" s="227">
        <f t="shared" si="1"/>
        <v>5786.5478688634648</v>
      </c>
      <c r="N57" s="227">
        <f>SQRT((ABS(AC57)-171.5+'Small Signal'!C$59)^2)</f>
        <v>99.432168618069511</v>
      </c>
      <c r="O57" s="227">
        <f t="shared" si="12"/>
        <v>91.262203179915332</v>
      </c>
      <c r="P57" s="227">
        <f t="shared" si="13"/>
        <v>40.821088329345891</v>
      </c>
      <c r="Q57" s="227">
        <f t="shared" si="14"/>
        <v>32.866729759569694</v>
      </c>
      <c r="R57" s="227" t="str">
        <f t="shared" si="2"/>
        <v>0.0878666666666667+0.000970586441545741i</v>
      </c>
      <c r="S57" s="227" t="str">
        <f t="shared" si="3"/>
        <v>0.0085-185.454888194538i</v>
      </c>
      <c r="T57" s="227" t="str">
        <f t="shared" si="24"/>
        <v>13.0259629463483-0.919475061401964i</v>
      </c>
      <c r="U57" s="227" t="str">
        <f t="shared" si="4"/>
        <v>80.9902939465242-0.880415373657985i</v>
      </c>
      <c r="V57" s="227">
        <f t="shared" si="16"/>
        <v>38.169172681872915</v>
      </c>
      <c r="W57" s="227">
        <f t="shared" si="17"/>
        <v>-0.62281658468018752</v>
      </c>
      <c r="X57" s="227" t="str">
        <f t="shared" si="5"/>
        <v>0.999999992318422-0.0000258096557066381i</v>
      </c>
      <c r="Y57" s="227" t="str">
        <f t="shared" si="6"/>
        <v>61.9266585176059+1.61217770867831i</v>
      </c>
      <c r="Z57" s="227" t="str">
        <f t="shared" si="7"/>
        <v>32.2487245194434+0.838719508305497i</v>
      </c>
      <c r="AA57" s="227" t="str">
        <f t="shared" si="8"/>
        <v>19.0102783811733-0.686387842966239i</v>
      </c>
      <c r="AB57" s="227">
        <f t="shared" si="18"/>
        <v>25.585427540429066</v>
      </c>
      <c r="AC57" s="227">
        <f t="shared" si="19"/>
        <v>-2.0678313819304788</v>
      </c>
      <c r="AD57" s="229">
        <f t="shared" si="20"/>
        <v>15.235660788916825</v>
      </c>
      <c r="AE57" s="229">
        <f t="shared" si="21"/>
        <v>93.330034561845807</v>
      </c>
      <c r="AF57" s="227">
        <f t="shared" si="9"/>
        <v>40.821088329345891</v>
      </c>
      <c r="AG57" s="227">
        <f t="shared" si="10"/>
        <v>91.262203179915332</v>
      </c>
      <c r="AH57" s="229" t="str">
        <f t="shared" si="22"/>
        <v>0.335632970684-5.76831694817839i</v>
      </c>
    </row>
    <row r="58" spans="1:34" x14ac:dyDescent="0.2">
      <c r="A58" s="227"/>
      <c r="B58" s="235" t="s">
        <v>181</v>
      </c>
      <c r="C58" s="227">
        <f>10^(80/20)</f>
        <v>10000</v>
      </c>
      <c r="D58" s="227"/>
      <c r="E58" s="227"/>
      <c r="F58" s="235"/>
      <c r="I58" s="227">
        <v>54</v>
      </c>
      <c r="J58" s="227">
        <f t="shared" si="0"/>
        <v>1.5265066164463037</v>
      </c>
      <c r="K58" s="227">
        <f t="shared" si="23"/>
        <v>33.612948991750621</v>
      </c>
      <c r="L58" s="227">
        <f t="shared" si="11"/>
        <v>211.1963872359444</v>
      </c>
      <c r="M58" s="227">
        <f t="shared" si="1"/>
        <v>5785.7847071746855</v>
      </c>
      <c r="N58" s="227">
        <f>SQRT((ABS(AC58)-171.5+'Small Signal'!C$59)^2)</f>
        <v>99.3852564763381</v>
      </c>
      <c r="O58" s="227">
        <f t="shared" si="12"/>
        <v>91.264289456596842</v>
      </c>
      <c r="P58" s="227">
        <f t="shared" si="13"/>
        <v>40.626336470961959</v>
      </c>
      <c r="Q58" s="227">
        <f t="shared" si="14"/>
        <v>33.612948991750621</v>
      </c>
      <c r="R58" s="227" t="str">
        <f t="shared" si="2"/>
        <v>0.0878666666666667+0.000992623020008939i</v>
      </c>
      <c r="S58" s="227" t="str">
        <f t="shared" si="3"/>
        <v>0.0085-181.337724767233i</v>
      </c>
      <c r="T58" s="227" t="str">
        <f t="shared" si="24"/>
        <v>13.0229958246409-0.940136849007739i</v>
      </c>
      <c r="U58" s="227" t="str">
        <f t="shared" si="4"/>
        <v>80.9902471569873-0.900407884077638i</v>
      </c>
      <c r="V58" s="227">
        <f t="shared" si="16"/>
        <v>38.169191234196106</v>
      </c>
      <c r="W58" s="227">
        <f t="shared" si="17"/>
        <v>-0.63695874629642679</v>
      </c>
      <c r="X58" s="227" t="str">
        <f t="shared" si="5"/>
        <v>0.999999991965651-0.0000263956483382492i</v>
      </c>
      <c r="Y58" s="227" t="str">
        <f t="shared" si="6"/>
        <v>61.9275983592778+1.64877898781305i</v>
      </c>
      <c r="Z58" s="227" t="str">
        <f t="shared" si="7"/>
        <v>32.2492149317002+0.857760947405459i</v>
      </c>
      <c r="AA58" s="227" t="str">
        <f t="shared" si="8"/>
        <v>19.0091928606229-0.701933585688517i</v>
      </c>
      <c r="AB58" s="227">
        <f t="shared" si="18"/>
        <v>25.585191240033112</v>
      </c>
      <c r="AC58" s="227">
        <f t="shared" si="19"/>
        <v>-2.1147435236619136</v>
      </c>
      <c r="AD58" s="229">
        <f t="shared" si="20"/>
        <v>15.041145230928844</v>
      </c>
      <c r="AE58" s="229">
        <f t="shared" si="21"/>
        <v>93.379032980258756</v>
      </c>
      <c r="AF58" s="227">
        <f t="shared" si="9"/>
        <v>40.626336470961959</v>
      </c>
      <c r="AG58" s="227">
        <f t="shared" si="10"/>
        <v>91.264289456596842</v>
      </c>
      <c r="AH58" s="229" t="str">
        <f t="shared" si="22"/>
        <v>0.333023805109759-5.64029173578025i</v>
      </c>
    </row>
    <row r="59" spans="1:34" x14ac:dyDescent="0.2">
      <c r="A59" s="227"/>
      <c r="B59" s="240" t="s">
        <v>168</v>
      </c>
      <c r="C59" s="241">
        <v>70</v>
      </c>
      <c r="D59" s="227"/>
      <c r="E59" s="227"/>
      <c r="F59" s="235"/>
      <c r="I59" s="227">
        <v>55</v>
      </c>
      <c r="J59" s="227">
        <f t="shared" si="0"/>
        <v>1.536256738973087</v>
      </c>
      <c r="K59" s="227">
        <f t="shared" si="23"/>
        <v>34.376110680529727</v>
      </c>
      <c r="L59" s="227">
        <f t="shared" si="11"/>
        <v>215.99147354588362</v>
      </c>
      <c r="M59" s="227">
        <f t="shared" si="1"/>
        <v>5785.0042183610722</v>
      </c>
      <c r="N59" s="227">
        <f>SQRT((ABS(AC59)-171.5+'Small Signal'!C$59)^2)</f>
        <v>99.337281778478484</v>
      </c>
      <c r="O59" s="227">
        <f t="shared" si="12"/>
        <v>91.26700696385268</v>
      </c>
      <c r="P59" s="227">
        <f t="shared" si="13"/>
        <v>40.431594262876629</v>
      </c>
      <c r="Q59" s="227">
        <f t="shared" si="14"/>
        <v>34.376110680529727</v>
      </c>
      <c r="R59" s="227" t="str">
        <f t="shared" si="2"/>
        <v>0.0878666666666667+0.00101515992566565i</v>
      </c>
      <c r="S59" s="227" t="str">
        <f t="shared" si="3"/>
        <v>0.0085-177.311963809024i</v>
      </c>
      <c r="T59" s="227" t="str">
        <f t="shared" si="24"/>
        <v>13.0198938868767-0.961252923692887i</v>
      </c>
      <c r="U59" s="227" t="str">
        <f t="shared" si="4"/>
        <v>80.9901982153995-0.920854536111012i</v>
      </c>
      <c r="V59" s="227">
        <f t="shared" si="16"/>
        <v>38.169210638448263</v>
      </c>
      <c r="W59" s="227">
        <f t="shared" si="17"/>
        <v>-0.65142210078649609</v>
      </c>
      <c r="X59" s="227" t="str">
        <f t="shared" si="5"/>
        <v>0.999999991596679-0.000026994945578345i</v>
      </c>
      <c r="Y59" s="227" t="str">
        <f t="shared" si="6"/>
        <v>61.928581368667+1.68621112063707i</v>
      </c>
      <c r="Z59" s="227" t="str">
        <f t="shared" si="7"/>
        <v>32.2497278689942+0.877234628591647i</v>
      </c>
      <c r="AA59" s="227" t="str">
        <f t="shared" si="8"/>
        <v>19.008057614981-0.717829622765395i</v>
      </c>
      <c r="AB59" s="227">
        <f t="shared" si="18"/>
        <v>25.584944101528215</v>
      </c>
      <c r="AC59" s="227">
        <f t="shared" si="19"/>
        <v>-2.1627182215215037</v>
      </c>
      <c r="AD59" s="229">
        <f t="shared" si="20"/>
        <v>14.846650161348418</v>
      </c>
      <c r="AE59" s="229">
        <f t="shared" si="21"/>
        <v>93.429725185374181</v>
      </c>
      <c r="AF59" s="227">
        <f t="shared" si="9"/>
        <v>40.431594262876629</v>
      </c>
      <c r="AG59" s="227">
        <f t="shared" si="10"/>
        <v>91.26700696385268</v>
      </c>
      <c r="AH59" s="229" t="str">
        <f t="shared" si="22"/>
        <v>0.330529179250654-5.51510717856503i</v>
      </c>
    </row>
    <row r="60" spans="1:34" x14ac:dyDescent="0.2">
      <c r="A60" s="227"/>
      <c r="B60" s="240" t="s">
        <v>19</v>
      </c>
      <c r="C60" s="242">
        <f>VLOOKUP(MIN('Small Signal'!N4:N504),'Small Signal'!N4:'Small Signal'!Q504,4,FALSE)</f>
        <v>7031.3024240562863</v>
      </c>
      <c r="D60" s="227"/>
      <c r="E60" s="227"/>
      <c r="F60" s="235"/>
      <c r="I60" s="227">
        <v>56</v>
      </c>
      <c r="J60" s="227">
        <f t="shared" si="0"/>
        <v>1.5460068614998703</v>
      </c>
      <c r="K60" s="227">
        <f t="shared" si="23"/>
        <v>35.156599494142888</v>
      </c>
      <c r="L60" s="227">
        <f t="shared" si="11"/>
        <v>220.89542939199586</v>
      </c>
      <c r="M60" s="227">
        <f t="shared" si="1"/>
        <v>5784.2060090207297</v>
      </c>
      <c r="N60" s="227">
        <f>SQRT((ABS(AC60)-171.5+'Small Signal'!C$59)^2)</f>
        <v>99.288220577542802</v>
      </c>
      <c r="O60" s="227">
        <f t="shared" si="12"/>
        <v>91.270356663654354</v>
      </c>
      <c r="P60" s="227">
        <f t="shared" si="13"/>
        <v>40.236862224359228</v>
      </c>
      <c r="Q60" s="227">
        <f t="shared" si="14"/>
        <v>35.156599494142888</v>
      </c>
      <c r="R60" s="227" t="str">
        <f t="shared" si="2"/>
        <v>0.0878666666666667+0.00103820851814238i</v>
      </c>
      <c r="S60" s="227" t="str">
        <f t="shared" si="3"/>
        <v>0.0085-173.375576153108i</v>
      </c>
      <c r="T60" s="227" t="str">
        <f t="shared" si="24"/>
        <v>13.0166510765377-0.982832579413827i</v>
      </c>
      <c r="U60" s="227" t="str">
        <f t="shared" si="4"/>
        <v>80.9901470226203-0.941765656357443i</v>
      </c>
      <c r="V60" s="227">
        <f t="shared" si="16"/>
        <v>38.169230933746562</v>
      </c>
      <c r="W60" s="227">
        <f t="shared" si="17"/>
        <v>-0.66621394786187249</v>
      </c>
      <c r="X60" s="227" t="str">
        <f t="shared" si="5"/>
        <v>0.999999991210763-0.000027607849500019i</v>
      </c>
      <c r="Y60" s="227" t="str">
        <f t="shared" si="6"/>
        <v>61.9296095287983+1.72449296028696i</v>
      </c>
      <c r="Z60" s="227" t="str">
        <f t="shared" si="7"/>
        <v>32.2502643660723+0.897150359921935i</v>
      </c>
      <c r="AA60" s="227" t="str">
        <f t="shared" si="8"/>
        <v>19.0068703725354-0.734083722471565i</v>
      </c>
      <c r="AB60" s="227">
        <f t="shared" si="18"/>
        <v>25.584685628478493</v>
      </c>
      <c r="AC60" s="227">
        <f t="shared" si="19"/>
        <v>-2.2117794224572105</v>
      </c>
      <c r="AD60" s="229">
        <f t="shared" si="20"/>
        <v>14.652176595880738</v>
      </c>
      <c r="AE60" s="229">
        <f t="shared" si="21"/>
        <v>93.482136086111566</v>
      </c>
      <c r="AF60" s="227">
        <f t="shared" si="9"/>
        <v>40.236862224359228</v>
      </c>
      <c r="AG60" s="227">
        <f t="shared" si="10"/>
        <v>91.270356663654354</v>
      </c>
      <c r="AH60" s="229" t="str">
        <f t="shared" si="22"/>
        <v>0.328144065850208-5.39270032815722i</v>
      </c>
    </row>
    <row r="61" spans="1:34" x14ac:dyDescent="0.2">
      <c r="A61" s="227"/>
      <c r="B61" s="235"/>
      <c r="C61" s="227"/>
      <c r="D61" s="227"/>
      <c r="E61" s="227"/>
      <c r="F61" s="235"/>
      <c r="I61" s="227">
        <v>57</v>
      </c>
      <c r="J61" s="227">
        <f t="shared" si="0"/>
        <v>1.5557569840266536</v>
      </c>
      <c r="K61" s="227">
        <f t="shared" si="23"/>
        <v>35.954808834485682</v>
      </c>
      <c r="L61" s="227">
        <f t="shared" si="11"/>
        <v>225.91072659129122</v>
      </c>
      <c r="M61" s="227">
        <f t="shared" si="1"/>
        <v>5783.3896768198092</v>
      </c>
      <c r="N61" s="227">
        <f>SQRT((ABS(AC61)-171.5+'Small Signal'!C$59)^2)</f>
        <v>99.238048395228873</v>
      </c>
      <c r="O61" s="227">
        <f t="shared" si="12"/>
        <v>91.274339807720665</v>
      </c>
      <c r="P61" s="227">
        <f t="shared" si="13"/>
        <v>40.042140894673651</v>
      </c>
      <c r="Q61" s="227">
        <f t="shared" si="14"/>
        <v>35.954808834485682</v>
      </c>
      <c r="R61" s="227" t="str">
        <f t="shared" si="2"/>
        <v>0.0878666666666667+0.00106178041497907i</v>
      </c>
      <c r="S61" s="227" t="str">
        <f t="shared" si="3"/>
        <v>0.0085-169.526577680893i</v>
      </c>
      <c r="T61" s="227" t="str">
        <f t="shared" si="24"/>
        <v>13.0132610714696-1.00488525153487i</v>
      </c>
      <c r="U61" s="227" t="str">
        <f t="shared" si="4"/>
        <v>80.990093474929-0.963151806961499i</v>
      </c>
      <c r="V61" s="227">
        <f t="shared" si="16"/>
        <v>38.169252161004188</v>
      </c>
      <c r="W61" s="227">
        <f t="shared" si="17"/>
        <v>-0.68134175347274883</v>
      </c>
      <c r="X61" s="227" t="str">
        <f t="shared" si="5"/>
        <v>0.999999990807123-0.0000282346690347514i</v>
      </c>
      <c r="Y61" s="227" t="str">
        <f t="shared" si="6"/>
        <v>61.9306849138203+1.76364378718828i</v>
      </c>
      <c r="Z61" s="227" t="str">
        <f t="shared" si="7"/>
        <v>32.2508255052301+0.917518171739915i</v>
      </c>
      <c r="AA61" s="227" t="str">
        <f t="shared" si="8"/>
        <v>19.0056287583598-0.750703816634418i</v>
      </c>
      <c r="AB61" s="227">
        <f t="shared" si="18"/>
        <v>25.58441530177123</v>
      </c>
      <c r="AC61" s="227">
        <f t="shared" si="19"/>
        <v>-2.261951604771133</v>
      </c>
      <c r="AD61" s="229">
        <f t="shared" si="20"/>
        <v>14.457725592902424</v>
      </c>
      <c r="AE61" s="229">
        <f t="shared" si="21"/>
        <v>93.536291412491792</v>
      </c>
      <c r="AF61" s="227">
        <f t="shared" si="9"/>
        <v>40.042140894673651</v>
      </c>
      <c r="AG61" s="227">
        <f t="shared" si="10"/>
        <v>91.274339807720665</v>
      </c>
      <c r="AH61" s="229" t="str">
        <f t="shared" si="22"/>
        <v>0.325863658219445-5.27300962648293i</v>
      </c>
    </row>
    <row r="62" spans="1:34" x14ac:dyDescent="0.2">
      <c r="A62" s="227"/>
      <c r="B62" s="235"/>
      <c r="C62" s="227"/>
      <c r="D62" s="227"/>
      <c r="E62" s="227"/>
      <c r="F62" s="235"/>
      <c r="I62" s="227">
        <v>58</v>
      </c>
      <c r="J62" s="227">
        <f t="shared" si="0"/>
        <v>1.5655071065534372</v>
      </c>
      <c r="K62" s="227">
        <f t="shared" si="23"/>
        <v>36.771141035405968</v>
      </c>
      <c r="L62" s="227">
        <f t="shared" si="11"/>
        <v>231.03989308189114</v>
      </c>
      <c r="M62" s="227">
        <f t="shared" si="1"/>
        <v>5782.5548102897164</v>
      </c>
      <c r="N62" s="227">
        <f>SQRT((ABS(AC62)-171.5+'Small Signal'!C$59)^2)</f>
        <v>99.186740210672269</v>
      </c>
      <c r="O62" s="227">
        <f t="shared" si="12"/>
        <v>91.278957936202644</v>
      </c>
      <c r="P62" s="227">
        <f t="shared" si="13"/>
        <v>39.847430834117411</v>
      </c>
      <c r="Q62" s="227">
        <f t="shared" si="14"/>
        <v>36.771141035405968</v>
      </c>
      <c r="R62" s="227" t="str">
        <f t="shared" si="2"/>
        <v>0.0878666666666667+0.00108588749748489i</v>
      </c>
      <c r="S62" s="227" t="str">
        <f t="shared" si="3"/>
        <v>0.0085-165.763028321914i</v>
      </c>
      <c r="T62" s="227" t="str">
        <f t="shared" si="24"/>
        <v>13.0097172728338-1.02742051536306i</v>
      </c>
      <c r="U62" s="227" t="str">
        <f t="shared" si="4"/>
        <v>80.9900374638098-0.985023791036591i</v>
      </c>
      <c r="V62" s="227">
        <f t="shared" si="16"/>
        <v>38.169274363012498</v>
      </c>
      <c r="W62" s="227">
        <f t="shared" si="17"/>
        <v>-0.69681315361749008</v>
      </c>
      <c r="X62" s="227" t="str">
        <f t="shared" si="5"/>
        <v>0.999999990384947-0.0000288757201281253i</v>
      </c>
      <c r="Y62" s="227" t="str">
        <f t="shared" si="6"/>
        <v>61.9318096931957+1.80368331870372i</v>
      </c>
      <c r="Z62" s="227" t="str">
        <f t="shared" si="7"/>
        <v>32.2514124184982+0.938348321693769i</v>
      </c>
      <c r="AA62" s="227" t="str">
        <f t="shared" si="8"/>
        <v>19.0043302896774-0.767698003461712i</v>
      </c>
      <c r="AB62" s="227">
        <f t="shared" si="18"/>
        <v>25.584132578586647</v>
      </c>
      <c r="AC62" s="227">
        <f t="shared" si="19"/>
        <v>-2.3132597893277267</v>
      </c>
      <c r="AD62" s="229">
        <f t="shared" si="20"/>
        <v>14.263298255530765</v>
      </c>
      <c r="AE62" s="229">
        <f t="shared" si="21"/>
        <v>93.592217725530375</v>
      </c>
      <c r="AF62" s="227">
        <f t="shared" si="9"/>
        <v>39.847430834117411</v>
      </c>
      <c r="AG62" s="227">
        <f t="shared" si="10"/>
        <v>91.278957936202644</v>
      </c>
      <c r="AH62" s="229" t="str">
        <f t="shared" si="22"/>
        <v>0.323683360566603-5.15597487537895i</v>
      </c>
    </row>
    <row r="63" spans="1:34" x14ac:dyDescent="0.2">
      <c r="I63" s="227">
        <v>59</v>
      </c>
      <c r="J63" s="227">
        <f t="shared" si="0"/>
        <v>1.5752572290802207</v>
      </c>
      <c r="K63" s="227">
        <f t="shared" si="23"/>
        <v>37.606007565498388</v>
      </c>
      <c r="L63" s="227">
        <f t="shared" si="11"/>
        <v>236.28551419722382</v>
      </c>
      <c r="M63" s="227">
        <f t="shared" si="1"/>
        <v>5781.700988619712</v>
      </c>
      <c r="N63" s="227">
        <f>SQRT((ABS(AC63)-171.5+'Small Signal'!C$59)^2)</f>
        <v>99.13427044904256</v>
      </c>
      <c r="O63" s="227">
        <f t="shared" si="12"/>
        <v>91.284212876378191</v>
      </c>
      <c r="P63" s="227">
        <f t="shared" si="13"/>
        <v>39.652732625099489</v>
      </c>
      <c r="Q63" s="227">
        <f t="shared" si="14"/>
        <v>37.606007565498388</v>
      </c>
      <c r="R63" s="227" t="str">
        <f t="shared" si="2"/>
        <v>0.0878666666666667+0.00111054191672695i</v>
      </c>
      <c r="S63" s="227" t="str">
        <f t="shared" si="3"/>
        <v>0.0085-162.08303107595i</v>
      </c>
      <c r="T63" s="227" t="str">
        <f t="shared" si="24"/>
        <v>13.006012793658-1.05044808434431i</v>
      </c>
      <c r="U63" s="227" t="str">
        <f t="shared" si="4"/>
        <v>80.9899788757281-1.00739265821689i</v>
      </c>
      <c r="V63" s="227">
        <f t="shared" si="16"/>
        <v>38.16929758452715</v>
      </c>
      <c r="W63" s="227">
        <f t="shared" si="17"/>
        <v>-0.71263595824094161</v>
      </c>
      <c r="X63" s="227" t="str">
        <f t="shared" si="5"/>
        <v>0.999999989943383-0.0000295313258990769i</v>
      </c>
      <c r="Y63" s="227" t="str">
        <f t="shared" si="6"/>
        <v>61.9329861360824+1.84463171899677i</v>
      </c>
      <c r="Z63" s="227" t="str">
        <f t="shared" si="7"/>
        <v>32.2520262899283+0.959651299867198i</v>
      </c>
      <c r="AA63" s="227" t="str">
        <f t="shared" si="8"/>
        <v>19.0029723710222-0.78507455037269i</v>
      </c>
      <c r="AB63" s="227">
        <f t="shared" si="18"/>
        <v>25.583836891321894</v>
      </c>
      <c r="AC63" s="227">
        <f t="shared" si="19"/>
        <v>-2.3657295509574454</v>
      </c>
      <c r="AD63" s="229">
        <f t="shared" si="20"/>
        <v>14.068895733777591</v>
      </c>
      <c r="AE63" s="229">
        <f t="shared" si="21"/>
        <v>93.649942427335631</v>
      </c>
      <c r="AF63" s="227">
        <f t="shared" si="9"/>
        <v>39.652732625099489</v>
      </c>
      <c r="AG63" s="227">
        <f t="shared" si="10"/>
        <v>91.284212876378191</v>
      </c>
      <c r="AH63" s="229" t="str">
        <f t="shared" si="22"/>
        <v>0.321598778750214-5.04153720684607i</v>
      </c>
    </row>
    <row r="64" spans="1:34" x14ac:dyDescent="0.2">
      <c r="I64" s="227">
        <v>60</v>
      </c>
      <c r="J64" s="227">
        <f t="shared" si="0"/>
        <v>1.585007351607004</v>
      </c>
      <c r="K64" s="227">
        <f t="shared" si="23"/>
        <v>38.459829235503271</v>
      </c>
      <c r="L64" s="227">
        <f t="shared" si="11"/>
        <v>241.65023396915007</v>
      </c>
      <c r="M64" s="227">
        <f t="shared" si="1"/>
        <v>5780.8277814448002</v>
      </c>
      <c r="N64" s="227">
        <f>SQRT((ABS(AC64)-171.5+'Small Signal'!C$59)^2)</f>
        <v>99.080612969944013</v>
      </c>
      <c r="O64" s="227">
        <f t="shared" si="12"/>
        <v>91.290106741346705</v>
      </c>
      <c r="P64" s="227">
        <f t="shared" si="13"/>
        <v>39.458046873257032</v>
      </c>
      <c r="Q64" s="227">
        <f t="shared" si="14"/>
        <v>38.459829235503271</v>
      </c>
      <c r="R64" s="227" t="str">
        <f t="shared" si="2"/>
        <v>0.0878666666666667+0.00113575609965501i</v>
      </c>
      <c r="S64" s="227" t="str">
        <f t="shared" si="3"/>
        <v>0.0085-158.48473105685i</v>
      </c>
      <c r="T64" s="227" t="str">
        <f t="shared" si="24"/>
        <v>13.0021404469751-1.07397780789402i</v>
      </c>
      <c r="U64" s="227" t="str">
        <f t="shared" si="4"/>
        <v>80.9899175918985-1.03026971034098i</v>
      </c>
      <c r="V64" s="227">
        <f t="shared" si="16"/>
        <v>38.169321872358459</v>
      </c>
      <c r="W64" s="227">
        <f t="shared" si="17"/>
        <v>-0.72881815522387405</v>
      </c>
      <c r="X64" s="227" t="str">
        <f t="shared" si="5"/>
        <v>0.99999998948154-0.0000302018168027627i</v>
      </c>
      <c r="Y64" s="227" t="str">
        <f t="shared" si="6"/>
        <v>61.9342166159201+1.88650960911521i</v>
      </c>
      <c r="Z64" s="227" t="str">
        <f t="shared" si="7"/>
        <v>32.2526683579864+0.98143783402469i</v>
      </c>
      <c r="AA64" s="227" t="str">
        <f t="shared" si="8"/>
        <v>19.0015522891876-0.802841896828448i</v>
      </c>
      <c r="AB64" s="227">
        <f t="shared" si="18"/>
        <v>25.583527646466244</v>
      </c>
      <c r="AC64" s="227">
        <f t="shared" si="19"/>
        <v>-2.4193870300559985</v>
      </c>
      <c r="AD64" s="229">
        <f t="shared" si="20"/>
        <v>13.874519226790785</v>
      </c>
      <c r="AE64" s="229">
        <f t="shared" si="21"/>
        <v>93.709493771402705</v>
      </c>
      <c r="AF64" s="227">
        <f t="shared" si="9"/>
        <v>39.458046873257032</v>
      </c>
      <c r="AG64" s="227">
        <f t="shared" si="10"/>
        <v>91.290106741346705</v>
      </c>
      <c r="AH64" s="229" t="str">
        <f t="shared" si="22"/>
        <v>0.319605711437072-4.92963905393386i</v>
      </c>
    </row>
    <row r="65" spans="9:34" x14ac:dyDescent="0.2">
      <c r="I65" s="227">
        <v>61</v>
      </c>
      <c r="J65" s="227">
        <f t="shared" si="0"/>
        <v>1.5947574741337873</v>
      </c>
      <c r="K65" s="227">
        <f t="shared" si="23"/>
        <v>39.33303641041455</v>
      </c>
      <c r="L65" s="227">
        <f t="shared" si="11"/>
        <v>247.13675646067639</v>
      </c>
      <c r="M65" s="227">
        <f t="shared" si="1"/>
        <v>5779.9347486288116</v>
      </c>
      <c r="N65" s="227">
        <f>SQRT((ABS(AC65)-171.5+'Small Signal'!C$59)^2)</f>
        <v>99.025741055620301</v>
      </c>
      <c r="O65" s="227">
        <f t="shared" si="12"/>
        <v>91.296641928713498</v>
      </c>
      <c r="P65" s="227">
        <f t="shared" si="13"/>
        <v>39.263374208614465</v>
      </c>
      <c r="Q65" s="227">
        <f t="shared" si="14"/>
        <v>39.33303641041455</v>
      </c>
      <c r="R65" s="227" t="str">
        <f t="shared" si="2"/>
        <v>0.0878666666666667+0.00116154275536518i</v>
      </c>
      <c r="S65" s="227" t="str">
        <f t="shared" si="3"/>
        <v>0.0085-154.966314557581i</v>
      </c>
      <c r="T65" s="227" t="str">
        <f t="shared" si="24"/>
        <v>12.9980927335415-1.09801966883413i</v>
      </c>
      <c r="U65" s="227" t="str">
        <f t="shared" si="4"/>
        <v>80.9898534880381-1.0536665072707i</v>
      </c>
      <c r="V65" s="227">
        <f t="shared" si="16"/>
        <v>38.169347275465434</v>
      </c>
      <c r="W65" s="227">
        <f t="shared" si="17"/>
        <v>-0.74536791446591244</v>
      </c>
      <c r="X65" s="227" t="str">
        <f t="shared" si="5"/>
        <v>0.999999988998487-0.000030887530797124i</v>
      </c>
      <c r="Y65" s="227" t="str">
        <f t="shared" si="6"/>
        <v>61.9355036152239+1.92933807729941i</v>
      </c>
      <c r="Z65" s="227" t="str">
        <f t="shared" si="7"/>
        <v>32.2533399180543+1.00371889497369i</v>
      </c>
      <c r="AA65" s="227" t="str">
        <f t="shared" si="8"/>
        <v>19.0000672079558-0.821008657157353i</v>
      </c>
      <c r="AB65" s="227">
        <f t="shared" si="18"/>
        <v>25.583204223426424</v>
      </c>
      <c r="AC65" s="227">
        <f t="shared" si="19"/>
        <v>-2.4742589443797063</v>
      </c>
      <c r="AD65" s="229">
        <f t="shared" si="20"/>
        <v>13.680169985188044</v>
      </c>
      <c r="AE65" s="229">
        <f t="shared" si="21"/>
        <v>93.770900873093211</v>
      </c>
      <c r="AF65" s="227">
        <f t="shared" si="9"/>
        <v>39.263374208614465</v>
      </c>
      <c r="AG65" s="227">
        <f t="shared" si="10"/>
        <v>91.296641928713498</v>
      </c>
      <c r="AH65" s="229" t="str">
        <f t="shared" si="22"/>
        <v>0.317700141647397-4.8202241222452i</v>
      </c>
    </row>
    <row r="66" spans="9:34" x14ac:dyDescent="0.2">
      <c r="I66" s="227">
        <v>62</v>
      </c>
      <c r="J66" s="227">
        <f t="shared" si="0"/>
        <v>1.6045075966605709</v>
      </c>
      <c r="K66" s="227">
        <f t="shared" si="23"/>
        <v>40.226069226403119</v>
      </c>
      <c r="L66" s="227">
        <f t="shared" si="11"/>
        <v>252.74784712892497</v>
      </c>
      <c r="M66" s="227">
        <f t="shared" si="1"/>
        <v>5779.0214400425493</v>
      </c>
      <c r="N66" s="227">
        <f>SQRT((ABS(AC66)-171.5+'Small Signal'!C$59)^2)</f>
        <v>98.969627398963752</v>
      </c>
      <c r="O66" s="227">
        <f t="shared" si="12"/>
        <v>91.303821119253186</v>
      </c>
      <c r="P66" s="227">
        <f t="shared" si="13"/>
        <v>39.068715286784922</v>
      </c>
      <c r="Q66" s="227">
        <f t="shared" si="14"/>
        <v>40.226069226403119</v>
      </c>
      <c r="R66" s="227" t="str">
        <f t="shared" si="2"/>
        <v>0.0878666666666667+0.00118791488150595i</v>
      </c>
      <c r="S66" s="227" t="str">
        <f t="shared" si="3"/>
        <v>0.0085-151.526008136046i</v>
      </c>
      <c r="T66" s="227" t="str">
        <f t="shared" si="24"/>
        <v>12.9938618291271-1.12258378040612i</v>
      </c>
      <c r="U66" s="227" t="str">
        <f t="shared" si="4"/>
        <v>80.9897864341106-1.0775948728483i</v>
      </c>
      <c r="V66" s="227">
        <f t="shared" si="16"/>
        <v>38.169373845054444</v>
      </c>
      <c r="W66" s="227">
        <f t="shared" si="17"/>
        <v>-0.76229359206396297</v>
      </c>
      <c r="X66" s="227" t="str">
        <f t="shared" si="5"/>
        <v>0.999999988493251-0.0000315888135132325i</v>
      </c>
      <c r="Y66" s="227" t="str">
        <f t="shared" si="6"/>
        <v>61.9368497306016+1.97313868951998i</v>
      </c>
      <c r="Z66" s="227" t="str">
        <f t="shared" si="7"/>
        <v>32.2540423250473+1.02650570204608i</v>
      </c>
      <c r="AA66" s="227" t="str">
        <f t="shared" si="8"/>
        <v>18.9985141625968-0.839583623370431i</v>
      </c>
      <c r="AB66" s="227">
        <f t="shared" si="18"/>
        <v>25.582865973299004</v>
      </c>
      <c r="AC66" s="227">
        <f t="shared" si="19"/>
        <v>-2.5303726010362575</v>
      </c>
      <c r="AD66" s="229">
        <f t="shared" si="20"/>
        <v>13.48584931348592</v>
      </c>
      <c r="AE66" s="229">
        <f t="shared" si="21"/>
        <v>93.834193720289448</v>
      </c>
      <c r="AF66" s="227">
        <f t="shared" si="9"/>
        <v>39.068715286784922</v>
      </c>
      <c r="AG66" s="227">
        <f t="shared" si="10"/>
        <v>91.303821119253186</v>
      </c>
      <c r="AH66" s="229" t="str">
        <f t="shared" si="22"/>
        <v>0.315878228670269-4.71323736204796i</v>
      </c>
    </row>
    <row r="67" spans="9:34" x14ac:dyDescent="0.2">
      <c r="I67" s="227">
        <v>63</v>
      </c>
      <c r="J67" s="227">
        <f t="shared" si="0"/>
        <v>1.6142577191873544</v>
      </c>
      <c r="K67" s="227">
        <f t="shared" si="23"/>
        <v>41.139377812665586</v>
      </c>
      <c r="L67" s="227">
        <f t="shared" si="11"/>
        <v>258.48633421905026</v>
      </c>
      <c r="M67" s="227">
        <f t="shared" si="1"/>
        <v>5778.0873953369055</v>
      </c>
      <c r="N67" s="227">
        <f>SQRT((ABS(AC67)-171.5+'Small Signal'!C$59)^2)</f>
        <v>98.912244091329143</v>
      </c>
      <c r="O67" s="227">
        <f t="shared" si="12"/>
        <v>91.311647275540395</v>
      </c>
      <c r="P67" s="227">
        <f t="shared" si="13"/>
        <v>38.874070790218219</v>
      </c>
      <c r="Q67" s="227">
        <f t="shared" si="14"/>
        <v>41.139377812665586</v>
      </c>
      <c r="R67" s="227" t="str">
        <f t="shared" si="2"/>
        <v>0.0878666666666667+0.00121488577082954i</v>
      </c>
      <c r="S67" s="227" t="str">
        <f t="shared" si="3"/>
        <v>0.0085-148.162077721179i</v>
      </c>
      <c r="T67" s="227" t="str">
        <f t="shared" si="24"/>
        <v>12.98943957137-1.14768038282875i</v>
      </c>
      <c r="U67" s="227" t="str">
        <f t="shared" si="4"/>
        <v>80.9897162940599-1.10206690099612i</v>
      </c>
      <c r="V67" s="227">
        <f t="shared" si="16"/>
        <v>38.169401634682501</v>
      </c>
      <c r="W67" s="227">
        <f t="shared" si="17"/>
        <v>-0.77960373458895371</v>
      </c>
      <c r="X67" s="227" t="str">
        <f t="shared" si="5"/>
        <v>0.999999987964811-0.0000323060184295046i</v>
      </c>
      <c r="Y67" s="227" t="str">
        <f t="shared" si="6"/>
        <v>61.9382576780029+2.01793350024997i</v>
      </c>
      <c r="Z67" s="227" t="str">
        <f t="shared" si="7"/>
        <v>32.2547769961535+1.04980972870155i</v>
      </c>
      <c r="AA67" s="227" t="str">
        <f t="shared" si="8"/>
        <v>18.9968900541292-0.858575767961716i</v>
      </c>
      <c r="AB67" s="227">
        <f t="shared" si="18"/>
        <v>25.582512217588153</v>
      </c>
      <c r="AC67" s="227">
        <f t="shared" si="19"/>
        <v>-2.5877559086708453</v>
      </c>
      <c r="AD67" s="229">
        <f t="shared" si="20"/>
        <v>13.291558572630066</v>
      </c>
      <c r="AE67" s="229">
        <f t="shared" si="21"/>
        <v>93.899403184211238</v>
      </c>
      <c r="AF67" s="227">
        <f t="shared" si="9"/>
        <v>38.874070790218219</v>
      </c>
      <c r="AG67" s="227">
        <f t="shared" si="10"/>
        <v>91.311647275540395</v>
      </c>
      <c r="AH67" s="229" t="str">
        <f t="shared" si="22"/>
        <v>0.31413630033321-4.60862494098297i</v>
      </c>
    </row>
    <row r="68" spans="9:34" x14ac:dyDescent="0.2">
      <c r="I68" s="227">
        <v>64</v>
      </c>
      <c r="J68" s="227">
        <f t="shared" ref="J68:J131" si="25">1+I68*(LOG(fsw)-1)/500</f>
        <v>1.6240078417141377</v>
      </c>
      <c r="K68" s="227">
        <f t="shared" si="23"/>
        <v>42.073422518309876</v>
      </c>
      <c r="L68" s="227">
        <f t="shared" si="11"/>
        <v>264.35511018980338</v>
      </c>
      <c r="M68" s="227">
        <f t="shared" ref="M68:M131" si="26">SQRT((Fco_target-K69)^2)</f>
        <v>5777.1321437108227</v>
      </c>
      <c r="N68" s="227">
        <f>SQRT((ABS(AC68)-171.5+'Small Signal'!C$59)^2)</f>
        <v>98.853562610153375</v>
      </c>
      <c r="O68" s="227">
        <f t="shared" si="12"/>
        <v>91.320123640535627</v>
      </c>
      <c r="P68" s="227">
        <f t="shared" si="13"/>
        <v>38.679441429494624</v>
      </c>
      <c r="Q68" s="227">
        <f t="shared" si="14"/>
        <v>42.073422518309876</v>
      </c>
      <c r="R68" s="227" t="str">
        <f t="shared" ref="R68:R131" si="27">IMSUM(COMPLEX(DCRss,Lss*L68),COMPLEX(Rdsonss,0),COMPLEX(40/3*Risense,0))</f>
        <v>0.0878666666666667+0.00124246901789208i</v>
      </c>
      <c r="S68" s="227" t="str">
        <f t="shared" ref="S68:S131" si="28">IMSUM(COMPLEX(ESRss,0),IMDIV(COMPLEX(1,0),COMPLEX(0,L68*Cbulkss)))</f>
        <v>0.0085-144.872827738901i</v>
      </c>
      <c r="T68" s="227" t="str">
        <f t="shared" ref="T68:T131" si="29">IMDIV(IMPRODUCT(S68,COMPLEX(Ross,0)),IMSUM(S68,COMPLEX(Ross,0)))</f>
        <v>12.9848174461872-1.17331983936601i</v>
      </c>
      <c r="U68" s="227" t="str">
        <f t="shared" ref="U68:U131" si="30">IMPRODUCT(COMPLEX(Vinss,0),COMPLEX(M^2,0),IMDIV(IMSUB(COMPLEX(1,0),IMDIV(IMPRODUCT(R68,COMPLEX(M^2,0)),COMPLEX(Ross,0))),IMSUM(COMPLEX(1,0),IMDIV(IMPRODUCT(R68,COMPLEX(M^2,0)),T68))))</f>
        <v>80.9896429255266-1.12709496196174i</v>
      </c>
      <c r="V68" s="227">
        <f t="shared" si="16"/>
        <v>38.169430700364934</v>
      </c>
      <c r="W68" s="227">
        <f t="shared" si="17"/>
        <v>-0.79730708346285584</v>
      </c>
      <c r="X68" s="227" t="str">
        <f t="shared" ref="X68:X131" si="31">IMSUM(COMPLEX(1,L68/(wn*q0)),IMPOWER(COMPLEX(0,L68/wn),2))</f>
        <v>0.999999987412104-0.0000330395070498705i</v>
      </c>
      <c r="Y68" s="227" t="str">
        <f t="shared" ref="Y68:Y131" si="32">IMPRODUCT(COMPLEX(2*Ioutss*M^2,0),IMDIV(IMSUM(COMPLEX(1,0),IMDIV(COMPLEX(Ross,0),IMPRODUCT(COMPLEX(2,0),S68))),IMSUM(COMPLEX(1,0),IMDIV(IMPRODUCT(R68,COMPLEX(M^2,0)),T68))))</f>
        <v>61.9397302982068+2.06374506347632i</v>
      </c>
      <c r="Z68" s="227" t="str">
        <f t="shared" ref="Z68:Z131" si="33">IMPRODUCT(COMPLEX(Fm*40/3*Risense,0),Y68,X68)</f>
        <v>32.255545413697+1.0736427082555i</v>
      </c>
      <c r="AA68" s="227" t="str">
        <f t="shared" ref="AA68:AA131" si="34">IMDIV(IMPRODUCT(COMPLEX(Fm,0),U68),IMSUM(COMPLEX(1,0),Z68))</f>
        <v>18.9951916433322-0.87799424668776i</v>
      </c>
      <c r="AB68" s="227">
        <f t="shared" si="18"/>
        <v>25.582142246865978</v>
      </c>
      <c r="AC68" s="227">
        <f t="shared" si="19"/>
        <v>-2.6464373898466316</v>
      </c>
      <c r="AD68" s="229">
        <f t="shared" si="20"/>
        <v>13.097299182628648</v>
      </c>
      <c r="AE68" s="229">
        <f t="shared" si="21"/>
        <v>93.966561030382252</v>
      </c>
      <c r="AF68" s="227">
        <f t="shared" ref="AF68:AF131" si="35">AD68+AB68</f>
        <v>38.679441429494624</v>
      </c>
      <c r="AG68" s="227">
        <f t="shared" ref="AG68:AG131" si="36">AE68+AC68</f>
        <v>91.320123640535627</v>
      </c>
      <c r="AH68" s="229" t="str">
        <f t="shared" ref="AH68:AH131" si="37">IMDIV(IMPRODUCT(COMPLEX(gea*Rea*Rslss/(Rslss+Rshss),0),COMPLEX(1,L68*Ccompss*Rcompss),COMPLEX(1,k_3*L68*Cffss*Rshss)),IMPRODUCT(COMPLEX(1,L68*Rea*Ccompss),COMPLEX(1,L68*Rcompss*Chfss),COMPLEX(1,k_3*L68*Rffss*Cffss)))</f>
        <v>0.312470845610365-4.50633421735529i</v>
      </c>
    </row>
    <row r="69" spans="9:34" x14ac:dyDescent="0.2">
      <c r="I69" s="227">
        <v>65</v>
      </c>
      <c r="J69" s="227">
        <f t="shared" si="25"/>
        <v>1.633757964240921</v>
      </c>
      <c r="K69" s="227">
        <f t="shared" si="23"/>
        <v>43.02867414439217</v>
      </c>
      <c r="L69" s="227">
        <f t="shared" ref="L69:L132" si="38">2*PI()*K69</f>
        <v>270.35713317146303</v>
      </c>
      <c r="M69" s="227">
        <f t="shared" si="26"/>
        <v>5776.1552036739931</v>
      </c>
      <c r="N69" s="227">
        <f>SQRT((ABS(AC69)-171.5+'Small Signal'!C$59)^2)</f>
        <v>98.793553806381851</v>
      </c>
      <c r="O69" s="227">
        <f t="shared" ref="O69:O132" si="39">ABS(AG69)</f>
        <v>91.329253736113415</v>
      </c>
      <c r="P69" s="227">
        <f t="shared" ref="P69:P132" si="40">ABS(AF69)</f>
        <v>38.484827944669249</v>
      </c>
      <c r="Q69" s="227">
        <f t="shared" ref="Q69:Q132" si="41">K69</f>
        <v>43.02867414439217</v>
      </c>
      <c r="R69" s="227" t="str">
        <f t="shared" si="27"/>
        <v>0.0878666666666667+0.00127067852590588i</v>
      </c>
      <c r="S69" s="227" t="str">
        <f t="shared" si="28"/>
        <v>0.0085-141.65660025747i</v>
      </c>
      <c r="T69" s="227" t="str">
        <f t="shared" si="29"/>
        <v>12.9799865737371-1.19951263187016i</v>
      </c>
      <c r="U69" s="227" t="str">
        <f t="shared" si="30"/>
        <v>80.9895661795532-1.15269170871307i</v>
      </c>
      <c r="V69" s="227">
        <f t="shared" ref="V69:V132" si="42">20*LOG(IMABS(U69))</f>
        <v>38.169461100688075</v>
      </c>
      <c r="W69" s="227">
        <f t="shared" ref="W69:W132" si="43">IF(DEGREES(IMARGUMENT(U69))&gt;0,DEGREES(IMARGUMENT(U69))-360, DEGREES(IMARGUMENT(U69)))</f>
        <v>-0.81541257943890588</v>
      </c>
      <c r="X69" s="227" t="str">
        <f t="shared" si="31"/>
        <v>0.999999986834014-0.0000337896490859887i</v>
      </c>
      <c r="Y69" s="227" t="str">
        <f t="shared" si="32"/>
        <v>61.9412705625635+2.11059644395565i</v>
      </c>
      <c r="Z69" s="227" t="str">
        <f t="shared" si="33"/>
        <v>32.2563491281341+1.09801663973392i</v>
      </c>
      <c r="AA69" s="227" t="str">
        <f t="shared" si="34"/>
        <v>18.9934155444997-0.89784840132013i</v>
      </c>
      <c r="AB69" s="227">
        <f t="shared" ref="AB69:AB132" si="44">20*LOG(IMABS(AA69))</f>
        <v>25.581755319373485</v>
      </c>
      <c r="AC69" s="227">
        <f t="shared" ref="AC69:AC132" si="45">IF(DEGREES(IMARGUMENT(AA69))&gt;0,DEGREES(IMARGUMENT(AA69))-360, DEGREES(IMARGUMENT(AA69)))</f>
        <v>-2.7064461936181576</v>
      </c>
      <c r="AD69" s="229">
        <f t="shared" ref="AD69:AD132" si="46">20*LOG(IMABS(AH69))</f>
        <v>12.903072625295763</v>
      </c>
      <c r="AE69" s="229">
        <f t="shared" ref="AE69:AE132" si="47">180+DEGREES(IMARGUMENT(AH69))</f>
        <v>94.035699929731578</v>
      </c>
      <c r="AF69" s="227">
        <f t="shared" si="35"/>
        <v>38.484827944669249</v>
      </c>
      <c r="AG69" s="227">
        <f t="shared" si="36"/>
        <v>91.329253736113415</v>
      </c>
      <c r="AH69" s="229" t="str">
        <f t="shared" si="37"/>
        <v>0.310878507554538-4.40631371399854i</v>
      </c>
    </row>
    <row r="70" spans="9:34" x14ac:dyDescent="0.2">
      <c r="I70" s="227">
        <v>66</v>
      </c>
      <c r="J70" s="227">
        <f t="shared" si="25"/>
        <v>1.6435080867677043</v>
      </c>
      <c r="K70" s="227">
        <f t="shared" si="23"/>
        <v>44.005614181222008</v>
      </c>
      <c r="L70" s="227">
        <f t="shared" si="38"/>
        <v>276.49542845686773</v>
      </c>
      <c r="M70" s="227">
        <f t="shared" si="26"/>
        <v>5775.1560828041593</v>
      </c>
      <c r="N70" s="227">
        <f>SQRT((ABS(AC70)-171.5+'Small Signal'!C$59)^2)</f>
        <v>98.732187891703461</v>
      </c>
      <c r="O70" s="227">
        <f t="shared" si="39"/>
        <v>91.33904136151844</v>
      </c>
      <c r="P70" s="227">
        <f t="shared" si="40"/>
        <v>38.290231106665978</v>
      </c>
      <c r="Q70" s="227">
        <f t="shared" si="41"/>
        <v>44.005614181222008</v>
      </c>
      <c r="R70" s="227" t="str">
        <f t="shared" si="27"/>
        <v>0.0878666666666667+0.00129952851374728i</v>
      </c>
      <c r="S70" s="227" t="str">
        <f t="shared" si="28"/>
        <v>0.0085-138.51177415181i</v>
      </c>
      <c r="T70" s="227" t="str">
        <f t="shared" si="29"/>
        <v>12.9749376939276-1.22626935576164i</v>
      </c>
      <c r="U70" s="227" t="str">
        <f t="shared" si="30"/>
        <v>80.9894859002781-1.17887008348704i</v>
      </c>
      <c r="V70" s="227">
        <f t="shared" si="42"/>
        <v>38.169492896927515</v>
      </c>
      <c r="W70" s="227">
        <f t="shared" si="43"/>
        <v>-0.83392936718740995</v>
      </c>
      <c r="X70" s="227" t="str">
        <f t="shared" si="31"/>
        <v>0.999999986229375-0.0000345568226435973i</v>
      </c>
      <c r="Y70" s="227" t="str">
        <f t="shared" si="32"/>
        <v>61.9428815790051+2.15851122871991i</v>
      </c>
      <c r="Z70" s="227" t="str">
        <f t="shared" si="33"/>
        <v>32.2571897611895+1.12294379385824i</v>
      </c>
      <c r="AA70" s="227" t="str">
        <f t="shared" si="34"/>
        <v>18.9915582189243-0.918147762364264i</v>
      </c>
      <c r="AB70" s="227">
        <f t="shared" si="44"/>
        <v>25.581350659558616</v>
      </c>
      <c r="AC70" s="227">
        <f t="shared" si="45"/>
        <v>-2.7678121082965266</v>
      </c>
      <c r="AD70" s="229">
        <f t="shared" si="46"/>
        <v>12.708880447107362</v>
      </c>
      <c r="AE70" s="229">
        <f t="shared" si="47"/>
        <v>94.106853469814965</v>
      </c>
      <c r="AF70" s="227">
        <f t="shared" si="35"/>
        <v>38.290231106665978</v>
      </c>
      <c r="AG70" s="227">
        <f t="shared" si="36"/>
        <v>91.33904136151844</v>
      </c>
      <c r="AH70" s="229" t="str">
        <f t="shared" si="37"/>
        <v>0.309356076538899-4.30851309269981i</v>
      </c>
    </row>
    <row r="71" spans="9:34" x14ac:dyDescent="0.2">
      <c r="I71" s="227">
        <v>67</v>
      </c>
      <c r="J71" s="227">
        <f t="shared" si="25"/>
        <v>1.6532582092944879</v>
      </c>
      <c r="K71" s="227">
        <f t="shared" si="23"/>
        <v>45.004735051055434</v>
      </c>
      <c r="L71" s="227">
        <f t="shared" si="38"/>
        <v>282.77309002630165</v>
      </c>
      <c r="M71" s="227">
        <f t="shared" si="26"/>
        <v>5774.1342774989171</v>
      </c>
      <c r="N71" s="227">
        <f>SQRT((ABS(AC71)-171.5+'Small Signal'!C$59)^2)</f>
        <v>98.669434425596222</v>
      </c>
      <c r="O71" s="227">
        <f t="shared" si="39"/>
        <v>91.349490591735318</v>
      </c>
      <c r="P71" s="227">
        <f t="shared" si="40"/>
        <v>38.095651718726188</v>
      </c>
      <c r="Q71" s="227">
        <f t="shared" si="41"/>
        <v>45.004735051055434</v>
      </c>
      <c r="R71" s="227" t="str">
        <f t="shared" si="27"/>
        <v>0.0878666666666667+0.00132903352312362i</v>
      </c>
      <c r="S71" s="227" t="str">
        <f t="shared" si="28"/>
        <v>0.0085-135.436764286387i</v>
      </c>
      <c r="T71" s="227" t="str">
        <f t="shared" si="29"/>
        <v>12.9696611514653-1.25360071440593i</v>
      </c>
      <c r="U71" s="227" t="str">
        <f t="shared" si="30"/>
        <v>80.98940192461-1.2056433244959i</v>
      </c>
      <c r="V71" s="227">
        <f t="shared" si="42"/>
        <v>38.169526153171212</v>
      </c>
      <c r="W71" s="227">
        <f t="shared" si="43"/>
        <v>-0.85286679998982629</v>
      </c>
      <c r="X71" s="227" t="str">
        <f t="shared" si="31"/>
        <v>0.999999985596969-0.0000353414144130966i</v>
      </c>
      <c r="Y71" s="227" t="str">
        <f t="shared" si="32"/>
        <v>61.9445665983251+2.20751353883655i</v>
      </c>
      <c r="Z71" s="227" t="str">
        <f t="shared" si="33"/>
        <v>32.2580690091331+1.14843671916253i</v>
      </c>
      <c r="AA71" s="227" t="str">
        <f t="shared" si="34"/>
        <v>18.989615968104-0.938902051737449i</v>
      </c>
      <c r="AB71" s="227">
        <f t="shared" si="44"/>
        <v>25.58092745655037</v>
      </c>
      <c r="AC71" s="227">
        <f t="shared" si="45"/>
        <v>-2.8305655744037668</v>
      </c>
      <c r="AD71" s="229">
        <f t="shared" si="46"/>
        <v>12.514724262175822</v>
      </c>
      <c r="AE71" s="229">
        <f t="shared" si="47"/>
        <v>94.180056166139082</v>
      </c>
      <c r="AF71" s="227">
        <f t="shared" si="35"/>
        <v>38.095651718726188</v>
      </c>
      <c r="AG71" s="227">
        <f t="shared" si="36"/>
        <v>91.349490591735318</v>
      </c>
      <c r="AH71" s="229" t="str">
        <f t="shared" si="37"/>
        <v>0.307900483794819-4.21288312917469i</v>
      </c>
    </row>
    <row r="72" spans="9:34" x14ac:dyDescent="0.2">
      <c r="I72" s="227">
        <v>68</v>
      </c>
      <c r="J72" s="227">
        <f t="shared" si="25"/>
        <v>1.6630083318212712</v>
      </c>
      <c r="K72" s="227">
        <f t="shared" ref="K72:K135" si="48">10^(J72)</f>
        <v>46.026540356298057</v>
      </c>
      <c r="L72" s="227">
        <f t="shared" si="38"/>
        <v>289.19328210700024</v>
      </c>
      <c r="M72" s="227">
        <f t="shared" si="26"/>
        <v>5773.0892727218716</v>
      </c>
      <c r="N72" s="227">
        <f>SQRT((ABS(AC72)-171.5+'Small Signal'!C$59)^2)</f>
        <v>98.605262302185679</v>
      </c>
      <c r="O72" s="227">
        <f t="shared" si="39"/>
        <v>91.360605775755985</v>
      </c>
      <c r="P72" s="227">
        <f t="shared" si="40"/>
        <v>37.901090617912033</v>
      </c>
      <c r="Q72" s="227">
        <f t="shared" si="41"/>
        <v>46.026540356298057</v>
      </c>
      <c r="R72" s="227" t="str">
        <f t="shared" si="27"/>
        <v>0.0878666666666667+0.0013592084259029i</v>
      </c>
      <c r="S72" s="227" t="str">
        <f t="shared" si="28"/>
        <v>0.0085-132.430020716233i</v>
      </c>
      <c r="T72" s="227" t="str">
        <f t="shared" si="29"/>
        <v>12.9641468804441-1.28151751284514i</v>
      </c>
      <c r="U72" s="227" t="str">
        <f t="shared" si="30"/>
        <v>80.9893140818898-1.23302497279561i</v>
      </c>
      <c r="V72" s="227">
        <f t="shared" si="42"/>
        <v>38.169560936448541</v>
      </c>
      <c r="W72" s="227">
        <f t="shared" si="43"/>
        <v>-0.87223444454399801</v>
      </c>
      <c r="X72" s="227" t="str">
        <f t="shared" si="31"/>
        <v>0.999999984935521-0.0000361438198644589i</v>
      </c>
      <c r="Y72" s="227" t="str">
        <f t="shared" si="32"/>
        <v>61.9463290207525+2.25762804142906i</v>
      </c>
      <c r="Z72" s="227" t="str">
        <f t="shared" si="33"/>
        <v>32.2589886462103+1.17450824824604i</v>
      </c>
      <c r="AA72" s="227" t="str">
        <f t="shared" si="34"/>
        <v>18.9875849266564-0.960121185398057i</v>
      </c>
      <c r="AB72" s="227">
        <f t="shared" si="44"/>
        <v>25.580484862564234</v>
      </c>
      <c r="AC72" s="227">
        <f t="shared" si="45"/>
        <v>-2.8947376978143189</v>
      </c>
      <c r="AD72" s="229">
        <f t="shared" si="46"/>
        <v>12.320605755347799</v>
      </c>
      <c r="AE72" s="229">
        <f t="shared" si="47"/>
        <v>94.255343473570306</v>
      </c>
      <c r="AF72" s="227">
        <f t="shared" si="35"/>
        <v>37.901090617912033</v>
      </c>
      <c r="AG72" s="227">
        <f t="shared" si="36"/>
        <v>91.360605775755985</v>
      </c>
      <c r="AH72" s="229" t="str">
        <f t="shared" si="37"/>
        <v>0.30650879523292-4.11937568858126i</v>
      </c>
    </row>
    <row r="73" spans="9:34" x14ac:dyDescent="0.2">
      <c r="I73" s="227">
        <v>69</v>
      </c>
      <c r="J73" s="227">
        <f t="shared" si="25"/>
        <v>1.6727584543480547</v>
      </c>
      <c r="K73" s="227">
        <f t="shared" si="48"/>
        <v>47.071545133343776</v>
      </c>
      <c r="L73" s="227">
        <f t="shared" si="38"/>
        <v>295.75924076806638</v>
      </c>
      <c r="M73" s="227">
        <f t="shared" si="26"/>
        <v>5772.0205417430388</v>
      </c>
      <c r="N73" s="227">
        <f>SQRT((ABS(AC73)-171.5+'Small Signal'!C$59)^2)</f>
        <v>98.539639736919895</v>
      </c>
      <c r="O73" s="227">
        <f t="shared" si="39"/>
        <v>91.372391534728337</v>
      </c>
      <c r="P73" s="227">
        <f t="shared" si="40"/>
        <v>37.706548676666849</v>
      </c>
      <c r="Q73" s="227">
        <f t="shared" si="41"/>
        <v>47.071545133343776</v>
      </c>
      <c r="R73" s="227" t="str">
        <f t="shared" si="27"/>
        <v>0.0878666666666667+0.00139006843160991i</v>
      </c>
      <c r="S73" s="227" t="str">
        <f t="shared" si="28"/>
        <v>0.0085-129.4900279057i</v>
      </c>
      <c r="T73" s="227" t="str">
        <f t="shared" si="29"/>
        <v>12.9583843884704-1.31003065083967i</v>
      </c>
      <c r="U73" s="227" t="str">
        <f t="shared" si="30"/>
        <v>80.9892221935364-1.26102887932036i</v>
      </c>
      <c r="V73" s="227">
        <f t="shared" si="42"/>
        <v>38.169597316865307</v>
      </c>
      <c r="W73" s="227">
        <f t="shared" si="43"/>
        <v>-0.89204208588317357</v>
      </c>
      <c r="X73" s="227" t="str">
        <f t="shared" si="31"/>
        <v>0.999999984243695-0.0000369644434465629i</v>
      </c>
      <c r="Y73" s="227" t="str">
        <f t="shared" si="32"/>
        <v>61.9481724028308+2.30887996196297i</v>
      </c>
      <c r="Z73" s="227" t="str">
        <f t="shared" si="33"/>
        <v>32.2599505282314+1.20117150416387i</v>
      </c>
      <c r="AA73" s="227" t="str">
        <f t="shared" si="34"/>
        <v>18.9854610549317-0.981815275917561i</v>
      </c>
      <c r="AB73" s="227">
        <f t="shared" si="44"/>
        <v>25.580021991237317</v>
      </c>
      <c r="AC73" s="227">
        <f t="shared" si="45"/>
        <v>-2.9603602630801054</v>
      </c>
      <c r="AD73" s="229">
        <f t="shared" si="46"/>
        <v>12.126526685429532</v>
      </c>
      <c r="AE73" s="229">
        <f t="shared" si="47"/>
        <v>94.332751797808442</v>
      </c>
      <c r="AF73" s="227">
        <f t="shared" si="35"/>
        <v>37.706548676666849</v>
      </c>
      <c r="AG73" s="227">
        <f t="shared" si="36"/>
        <v>91.372391534728337</v>
      </c>
      <c r="AH73" s="229" t="str">
        <f t="shared" si="37"/>
        <v>0.305178205534884-4.02794370156172i</v>
      </c>
    </row>
    <row r="74" spans="9:34" x14ac:dyDescent="0.2">
      <c r="I74" s="227">
        <v>70</v>
      </c>
      <c r="J74" s="227">
        <f t="shared" si="25"/>
        <v>1.682508576874838</v>
      </c>
      <c r="K74" s="227">
        <f t="shared" si="48"/>
        <v>48.140276112176416</v>
      </c>
      <c r="L74" s="227">
        <f t="shared" si="38"/>
        <v>302.47427555159527</v>
      </c>
      <c r="M74" s="227">
        <f t="shared" si="26"/>
        <v>5770.9275458733491</v>
      </c>
      <c r="N74" s="227">
        <f>SQRT((ABS(AC74)-171.5+'Small Signal'!C$59)^2)</f>
        <v>98.472534253063884</v>
      </c>
      <c r="O74" s="227">
        <f t="shared" si="39"/>
        <v>91.384852759967885</v>
      </c>
      <c r="P74" s="227">
        <f t="shared" si="40"/>
        <v>37.512026804435735</v>
      </c>
      <c r="Q74" s="227">
        <f t="shared" si="41"/>
        <v>48.140276112176416</v>
      </c>
      <c r="R74" s="227" t="str">
        <f t="shared" si="27"/>
        <v>0.0878666666666667+0.0014216290950925i</v>
      </c>
      <c r="S74" s="227" t="str">
        <f t="shared" si="28"/>
        <v>0.0085-126.615303964561i</v>
      </c>
      <c r="T74" s="227" t="str">
        <f t="shared" si="29"/>
        <v>12.9523627403265-1.33915111517302i</v>
      </c>
      <c r="U74" s="227" t="str">
        <f t="shared" si="30"/>
        <v>80.989126072675-1.28966921208798i</v>
      </c>
      <c r="V74" s="227">
        <f t="shared" si="42"/>
        <v>38.169635367744846</v>
      </c>
      <c r="W74" s="227">
        <f t="shared" si="43"/>
        <v>-0.91229973241193063</v>
      </c>
      <c r="X74" s="227" t="str">
        <f t="shared" si="31"/>
        <v>0.999999983520098-0.0000378036987910547i</v>
      </c>
      <c r="Y74" s="227" t="str">
        <f t="shared" si="32"/>
        <v>61.9501004646101+2.36129509680311i</v>
      </c>
      <c r="Z74" s="227" t="str">
        <f t="shared" si="33"/>
        <v>32.2609565963243+1.22843990695861i</v>
      </c>
      <c r="AA74" s="227" t="str">
        <f t="shared" si="34"/>
        <v>18.9832401313128-1.00399463498639i</v>
      </c>
      <c r="AB74" s="227">
        <f t="shared" si="44"/>
        <v>25.579537915890139</v>
      </c>
      <c r="AC74" s="227">
        <f t="shared" si="45"/>
        <v>-3.0274657469361048</v>
      </c>
      <c r="AD74" s="229">
        <f t="shared" si="46"/>
        <v>11.932488888545594</v>
      </c>
      <c r="AE74" s="229">
        <f t="shared" si="47"/>
        <v>94.412318506903986</v>
      </c>
      <c r="AF74" s="227">
        <f t="shared" si="35"/>
        <v>37.512026804435735</v>
      </c>
      <c r="AG74" s="227">
        <f t="shared" si="36"/>
        <v>91.384852759967885</v>
      </c>
      <c r="AH74" s="229" t="str">
        <f t="shared" si="37"/>
        <v>0.303906032504236-3.93854114080142i</v>
      </c>
    </row>
    <row r="75" spans="9:34" x14ac:dyDescent="0.2">
      <c r="I75" s="227">
        <v>71</v>
      </c>
      <c r="J75" s="227">
        <f t="shared" si="25"/>
        <v>1.6922586994016213</v>
      </c>
      <c r="K75" s="227">
        <f t="shared" si="48"/>
        <v>49.233271981865734</v>
      </c>
      <c r="L75" s="227">
        <f t="shared" si="38"/>
        <v>309.34177114083519</v>
      </c>
      <c r="M75" s="227">
        <f t="shared" si="26"/>
        <v>5769.8097341931243</v>
      </c>
      <c r="N75" s="227">
        <f>SQRT((ABS(AC75)-171.5+'Small Signal'!C$59)^2)</f>
        <v>98.403912668018421</v>
      </c>
      <c r="O75" s="227">
        <f t="shared" si="39"/>
        <v>91.397994610814138</v>
      </c>
      <c r="P75" s="227">
        <f t="shared" si="40"/>
        <v>37.317525949348017</v>
      </c>
      <c r="Q75" s="227">
        <f t="shared" si="41"/>
        <v>49.233271981865734</v>
      </c>
      <c r="R75" s="227" t="str">
        <f t="shared" si="27"/>
        <v>0.0878666666666667+0.00145390632436193i</v>
      </c>
      <c r="S75" s="227" t="str">
        <f t="shared" si="28"/>
        <v>0.0085-123.804399901071i</v>
      </c>
      <c r="T75" s="227" t="str">
        <f t="shared" si="29"/>
        <v>12.9460705411716-1.36888997117004i</v>
      </c>
      <c r="U75" s="227" t="str">
        <f t="shared" si="30"/>
        <v>80.9890255237454-1.31896046358057i</v>
      </c>
      <c r="V75" s="227">
        <f t="shared" si="42"/>
        <v>38.169675165775367</v>
      </c>
      <c r="W75" s="227">
        <f t="shared" si="43"/>
        <v>-0.93301762106180897</v>
      </c>
      <c r="X75" s="227" t="str">
        <f t="shared" si="31"/>
        <v>0.999999982763271-0.0000386620089208371i</v>
      </c>
      <c r="Y75" s="227" t="str">
        <f t="shared" si="32"/>
        <v>61.9521170971709+2.41489982604739i</v>
      </c>
      <c r="Z75" s="227" t="str">
        <f t="shared" si="33"/>
        <v>32.2620088808608+1.25632718033578i</v>
      </c>
      <c r="AA75" s="227" t="str">
        <f t="shared" si="34"/>
        <v>18.980917744189-1.02666977584351i</v>
      </c>
      <c r="AB75" s="227">
        <f t="shared" si="44"/>
        <v>25.579031667711259</v>
      </c>
      <c r="AC75" s="227">
        <f t="shared" si="45"/>
        <v>-3.0960873319815834</v>
      </c>
      <c r="AD75" s="229">
        <f t="shared" si="46"/>
        <v>11.738494281636758</v>
      </c>
      <c r="AE75" s="229">
        <f t="shared" si="47"/>
        <v>94.494081942795717</v>
      </c>
      <c r="AF75" s="227">
        <f t="shared" si="35"/>
        <v>37.317525949348017</v>
      </c>
      <c r="AG75" s="227">
        <f t="shared" si="36"/>
        <v>91.397994610814138</v>
      </c>
      <c r="AH75" s="229" t="str">
        <f t="shared" si="37"/>
        <v>0.302689711664766-3.85112299809489i</v>
      </c>
    </row>
    <row r="76" spans="9:34" x14ac:dyDescent="0.2">
      <c r="I76" s="227">
        <v>72</v>
      </c>
      <c r="J76" s="227">
        <f t="shared" si="25"/>
        <v>1.7020088219284049</v>
      </c>
      <c r="K76" s="227">
        <f t="shared" si="48"/>
        <v>50.351083662091241</v>
      </c>
      <c r="L76" s="227">
        <f t="shared" si="38"/>
        <v>316.36518906622183</v>
      </c>
      <c r="M76" s="227">
        <f t="shared" si="26"/>
        <v>5768.6665432743848</v>
      </c>
      <c r="N76" s="227">
        <f>SQRT((ABS(AC76)-171.5+'Small Signal'!C$59)^2)</f>
        <v>98.333741079467217</v>
      </c>
      <c r="O76" s="227">
        <f t="shared" si="39"/>
        <v>91.411822512310707</v>
      </c>
      <c r="P76" s="227">
        <f t="shared" si="40"/>
        <v>37.123047099963038</v>
      </c>
      <c r="Q76" s="227">
        <f t="shared" si="41"/>
        <v>50.351083662091241</v>
      </c>
      <c r="R76" s="227" t="str">
        <f t="shared" si="27"/>
        <v>0.0878666666666667+0.00148691638861124i</v>
      </c>
      <c r="S76" s="227" t="str">
        <f t="shared" si="28"/>
        <v>0.0085-121.05589889161i</v>
      </c>
      <c r="T76" s="227" t="str">
        <f t="shared" si="29"/>
        <v>12.9394959192869-1.39925835337674i</v>
      </c>
      <c r="U76" s="227" t="str">
        <f t="shared" si="30"/>
        <v>80.9889203420971-1.34891745830574i</v>
      </c>
      <c r="V76" s="227">
        <f t="shared" si="42"/>
        <v>38.169716791164682</v>
      </c>
      <c r="W76" s="227">
        <f t="shared" si="43"/>
        <v>-0.95420622257008259</v>
      </c>
      <c r="X76" s="227" t="str">
        <f t="shared" si="31"/>
        <v>0.999999981971686-0.000039539806463292i</v>
      </c>
      <c r="Y76" s="227" t="str">
        <f t="shared" si="32"/>
        <v>61.9542263704994+2.46972112664306i</v>
      </c>
      <c r="Z76" s="227" t="str">
        <f t="shared" si="33"/>
        <v>32.2631095055655+1.28484735848612i</v>
      </c>
      <c r="AA76" s="227" t="str">
        <f t="shared" si="34"/>
        <v>18.9784892835923-1.04985141561943i</v>
      </c>
      <c r="AB76" s="227">
        <f t="shared" si="44"/>
        <v>25.578502233862221</v>
      </c>
      <c r="AC76" s="227">
        <f t="shared" si="45"/>
        <v>-3.1662589205327794</v>
      </c>
      <c r="AD76" s="229">
        <f t="shared" si="46"/>
        <v>11.544544866100818</v>
      </c>
      <c r="AE76" s="229">
        <f t="shared" si="47"/>
        <v>94.57808143284349</v>
      </c>
      <c r="AF76" s="227">
        <f t="shared" si="35"/>
        <v>37.123047099963038</v>
      </c>
      <c r="AG76" s="227">
        <f t="shared" si="36"/>
        <v>91.411822512310707</v>
      </c>
      <c r="AH76" s="229" t="str">
        <f t="shared" si="37"/>
        <v>0.301526791095687-3.76564526190777i</v>
      </c>
    </row>
    <row r="77" spans="9:34" x14ac:dyDescent="0.2">
      <c r="I77" s="227">
        <v>73</v>
      </c>
      <c r="J77" s="227">
        <f t="shared" si="25"/>
        <v>1.7117589444551882</v>
      </c>
      <c r="K77" s="227">
        <f t="shared" si="48"/>
        <v>51.494274580830655</v>
      </c>
      <c r="L77" s="227">
        <f t="shared" si="38"/>
        <v>323.54806945014644</v>
      </c>
      <c r="M77" s="227">
        <f t="shared" si="26"/>
        <v>5767.4973968968616</v>
      </c>
      <c r="N77" s="227">
        <f>SQRT((ABS(AC77)-171.5+'Small Signal'!C$59)^2)</f>
        <v>98.261984851359131</v>
      </c>
      <c r="O77" s="227">
        <f t="shared" si="39"/>
        <v>91.426342152688704</v>
      </c>
      <c r="P77" s="227">
        <f t="shared" si="40"/>
        <v>36.928591287082611</v>
      </c>
      <c r="Q77" s="227">
        <f t="shared" si="41"/>
        <v>51.494274580830655</v>
      </c>
      <c r="R77" s="227" t="str">
        <f t="shared" si="27"/>
        <v>0.0878666666666667+0.00152067592641569i</v>
      </c>
      <c r="S77" s="227" t="str">
        <f t="shared" si="28"/>
        <v>0.0085-118.368415566536i</v>
      </c>
      <c r="T77" s="227" t="str">
        <f t="shared" si="29"/>
        <v>12.9326265083694-1.4302674553469i</v>
      </c>
      <c r="U77" s="227" t="str">
        <f t="shared" si="30"/>
        <v>80.9888103135578-1.37955536054248i</v>
      </c>
      <c r="V77" s="227">
        <f t="shared" si="42"/>
        <v>38.169760327801143</v>
      </c>
      <c r="W77" s="227">
        <f t="shared" si="43"/>
        <v>-0.97587624688433505</v>
      </c>
      <c r="X77" s="227" t="str">
        <f t="shared" si="31"/>
        <v>0.999999981143749-0.0000404375338683445i</v>
      </c>
      <c r="Y77" s="227" t="str">
        <f t="shared" si="32"/>
        <v>61.9564325417212+2.52578658579126i</v>
      </c>
      <c r="Z77" s="227" t="str">
        <f t="shared" si="33"/>
        <v>32.2642606918121+1.31401479305785i</v>
      </c>
      <c r="AA77" s="227" t="str">
        <f t="shared" si="34"/>
        <v>18.9759499324828-1.07355047758098i</v>
      </c>
      <c r="AB77" s="227">
        <f t="shared" si="44"/>
        <v>25.577948555498963</v>
      </c>
      <c r="AC77" s="227">
        <f t="shared" si="45"/>
        <v>-3.2380151486408564</v>
      </c>
      <c r="AD77" s="229">
        <f t="shared" si="46"/>
        <v>11.350642731583651</v>
      </c>
      <c r="AE77" s="229">
        <f t="shared" si="47"/>
        <v>94.664357301329559</v>
      </c>
      <c r="AF77" s="227">
        <f t="shared" si="35"/>
        <v>36.928591287082611</v>
      </c>
      <c r="AG77" s="227">
        <f t="shared" si="36"/>
        <v>91.426342152688704</v>
      </c>
      <c r="AH77" s="229" t="str">
        <f t="shared" si="37"/>
        <v>0.300414926493255-3.68206489542524i</v>
      </c>
    </row>
    <row r="78" spans="9:34" x14ac:dyDescent="0.2">
      <c r="I78" s="227">
        <v>74</v>
      </c>
      <c r="J78" s="227">
        <f t="shared" si="25"/>
        <v>1.7215090669819717</v>
      </c>
      <c r="K78" s="227">
        <f t="shared" si="48"/>
        <v>52.663420958353441</v>
      </c>
      <c r="L78" s="227">
        <f t="shared" si="38"/>
        <v>330.89403279133984</v>
      </c>
      <c r="M78" s="227">
        <f t="shared" si="26"/>
        <v>5766.3017057575535</v>
      </c>
      <c r="N78" s="227">
        <f>SQRT((ABS(AC78)-171.5+'Small Signal'!C$59)^2)</f>
        <v>98.188608599730884</v>
      </c>
      <c r="O78" s="227">
        <f t="shared" si="39"/>
        <v>91.441559480629962</v>
      </c>
      <c r="P78" s="227">
        <f t="shared" si="40"/>
        <v>36.734159585632426</v>
      </c>
      <c r="Q78" s="227">
        <f t="shared" si="41"/>
        <v>52.663420958353441</v>
      </c>
      <c r="R78" s="227" t="str">
        <f t="shared" si="27"/>
        <v>0.0878666666666667+0.0015552019541193i</v>
      </c>
      <c r="S78" s="227" t="str">
        <f t="shared" si="28"/>
        <v>0.0085-115.740595311901i</v>
      </c>
      <c r="T78" s="227" t="str">
        <f t="shared" si="29"/>
        <v>12.9254494293824-1.46192851847779i</v>
      </c>
      <c r="U78" s="227" t="str">
        <f t="shared" si="30"/>
        <v>80.9886952139869-1.41088968227795i</v>
      </c>
      <c r="V78" s="227">
        <f t="shared" si="42"/>
        <v>38.169805863422759</v>
      </c>
      <c r="W78" s="227">
        <f t="shared" si="43"/>
        <v>-0.99803864869681125</v>
      </c>
      <c r="X78" s="227" t="str">
        <f t="shared" si="31"/>
        <v>0.999999980277789-0.0000413556436314778i</v>
      </c>
      <c r="Y78" s="227" t="str">
        <f t="shared" si="32"/>
        <v>61.9587400637182+2.58312441464529i</v>
      </c>
      <c r="Z78" s="227" t="str">
        <f t="shared" si="33"/>
        <v>32.2654647631201+1.34384416028153i</v>
      </c>
      <c r="AA78" s="227" t="str">
        <f t="shared" si="34"/>
        <v>18.9732946576709-1.09777809326574i</v>
      </c>
      <c r="AB78" s="227">
        <f t="shared" si="44"/>
        <v>25.577369525706629</v>
      </c>
      <c r="AC78" s="227">
        <f t="shared" si="45"/>
        <v>-3.3113914002691236</v>
      </c>
      <c r="AD78" s="229">
        <f t="shared" si="46"/>
        <v>11.1567900599258</v>
      </c>
      <c r="AE78" s="229">
        <f t="shared" si="47"/>
        <v>94.752950880899093</v>
      </c>
      <c r="AF78" s="227">
        <f t="shared" si="35"/>
        <v>36.734159585632426</v>
      </c>
      <c r="AG78" s="227">
        <f t="shared" si="36"/>
        <v>91.441559480629962</v>
      </c>
      <c r="AH78" s="229" t="str">
        <f t="shared" si="37"/>
        <v>0.299351876448891-3.60033981507673i</v>
      </c>
    </row>
    <row r="79" spans="9:34" x14ac:dyDescent="0.2">
      <c r="I79" s="227">
        <v>75</v>
      </c>
      <c r="J79" s="227">
        <f t="shared" si="25"/>
        <v>1.731259189508755</v>
      </c>
      <c r="K79" s="227">
        <f t="shared" si="48"/>
        <v>53.859112097661878</v>
      </c>
      <c r="L79" s="227">
        <f t="shared" si="38"/>
        <v>338.40678178976742</v>
      </c>
      <c r="M79" s="227">
        <f t="shared" si="26"/>
        <v>5765.0788671736882</v>
      </c>
      <c r="N79" s="227">
        <f>SQRT((ABS(AC79)-171.5+'Small Signal'!C$59)^2)</f>
        <v>98.113576178377286</v>
      </c>
      <c r="O79" s="227">
        <f t="shared" si="39"/>
        <v>91.457480702285935</v>
      </c>
      <c r="P79" s="227">
        <f t="shared" si="40"/>
        <v>36.539753116613326</v>
      </c>
      <c r="Q79" s="227">
        <f t="shared" si="41"/>
        <v>53.859112097661878</v>
      </c>
      <c r="R79" s="227" t="str">
        <f t="shared" si="27"/>
        <v>0.0878666666666667+0.00159051187441191i</v>
      </c>
      <c r="S79" s="227" t="str">
        <f t="shared" si="28"/>
        <v>0.0085-113.171113586659i</v>
      </c>
      <c r="T79" s="227" t="str">
        <f t="shared" si="29"/>
        <v>12.9179512719752-1.49425281983525i</v>
      </c>
      <c r="U79" s="227" t="str">
        <f t="shared" si="30"/>
        <v>80.9885748088043-1.44293629133955i</v>
      </c>
      <c r="V79" s="227">
        <f t="shared" si="42"/>
        <v>38.169853489793518</v>
      </c>
      <c r="W79" s="227">
        <f t="shared" si="43"/>
        <v>-1.0207046331113558</v>
      </c>
      <c r="X79" s="227" t="str">
        <f t="shared" si="31"/>
        <v>0.999999979372061-0.0000422945985218117i</v>
      </c>
      <c r="Y79" s="227" t="str">
        <f t="shared" si="32"/>
        <v>61.9611535941405+2.64176346230924i</v>
      </c>
      <c r="Z79" s="227" t="str">
        <f t="shared" si="33"/>
        <v>32.2667241498566+1.37435046825116i</v>
      </c>
      <c r="AA79" s="227" t="str">
        <f t="shared" si="34"/>
        <v>18.9705182003619-1.12254560449298i</v>
      </c>
      <c r="AB79" s="227">
        <f t="shared" si="44"/>
        <v>25.576763987343682</v>
      </c>
      <c r="AC79" s="227">
        <f t="shared" si="45"/>
        <v>-3.3864238216227034</v>
      </c>
      <c r="AD79" s="229">
        <f t="shared" si="46"/>
        <v>10.962989129269642</v>
      </c>
      <c r="AE79" s="229">
        <f t="shared" si="47"/>
        <v>94.843904523908634</v>
      </c>
      <c r="AF79" s="227">
        <f t="shared" si="35"/>
        <v>36.539753116613326</v>
      </c>
      <c r="AG79" s="227">
        <f t="shared" si="36"/>
        <v>91.457480702285935</v>
      </c>
      <c r="AH79" s="229" t="str">
        <f t="shared" si="37"/>
        <v>0.298335497934319-3.52042886952667i</v>
      </c>
    </row>
    <row r="80" spans="9:34" x14ac:dyDescent="0.2">
      <c r="I80" s="227">
        <v>76</v>
      </c>
      <c r="J80" s="227">
        <f t="shared" si="25"/>
        <v>1.7410093120355383</v>
      </c>
      <c r="K80" s="227">
        <f t="shared" si="48"/>
        <v>55.081950681526784</v>
      </c>
      <c r="L80" s="227">
        <f t="shared" si="38"/>
        <v>346.09010321295966</v>
      </c>
      <c r="M80" s="227">
        <f t="shared" si="26"/>
        <v>5763.8282647789483</v>
      </c>
      <c r="N80" s="227">
        <f>SQRT((ABS(AC80)-171.5+'Small Signal'!C$59)^2)</f>
        <v>98.036850664378505</v>
      </c>
      <c r="O80" s="227">
        <f t="shared" si="39"/>
        <v>91.474112278027206</v>
      </c>
      <c r="P80" s="227">
        <f t="shared" si="40"/>
        <v>36.345373049126465</v>
      </c>
      <c r="Q80" s="227">
        <f t="shared" si="41"/>
        <v>55.081950681526784</v>
      </c>
      <c r="R80" s="227" t="str">
        <f t="shared" si="27"/>
        <v>0.0878666666666667+0.00162662348510091i</v>
      </c>
      <c r="S80" s="227" t="str">
        <f t="shared" si="28"/>
        <v>0.0085-110.658675255038i</v>
      </c>
      <c r="T80" s="227" t="str">
        <f t="shared" si="29"/>
        <v>12.9101180754857-1.52725165890471i</v>
      </c>
      <c r="U80" s="227" t="str">
        <f t="shared" si="30"/>
        <v>80.9884488524979-1.47571141972835i</v>
      </c>
      <c r="V80" s="227">
        <f t="shared" si="42"/>
        <v>38.169903302888095</v>
      </c>
      <c r="W80" s="227">
        <f t="shared" si="43"/>
        <v>-1.0438856614468115</v>
      </c>
      <c r="X80" s="227" t="str">
        <f t="shared" si="31"/>
        <v>0.999999978424738-0.0000432548718153588i</v>
      </c>
      <c r="Y80" s="227" t="str">
        <f t="shared" si="32"/>
        <v>61.9636780048378+2.70173323014242i</v>
      </c>
      <c r="Z80" s="227" t="str">
        <f t="shared" si="33"/>
        <v>32.2680413941581+1.40554906436421i</v>
      </c>
      <c r="AA80" s="227" t="str">
        <f t="shared" si="34"/>
        <v>18.9676150663109-1.14786456523665i</v>
      </c>
      <c r="AB80" s="227">
        <f t="shared" si="44"/>
        <v>25.576130730792155</v>
      </c>
      <c r="AC80" s="227">
        <f t="shared" si="45"/>
        <v>-3.463149335621488</v>
      </c>
      <c r="AD80" s="229">
        <f t="shared" si="46"/>
        <v>10.76924231833431</v>
      </c>
      <c r="AE80" s="229">
        <f t="shared" si="47"/>
        <v>94.937261613648701</v>
      </c>
      <c r="AF80" s="227">
        <f t="shared" si="35"/>
        <v>36.345373049126465</v>
      </c>
      <c r="AG80" s="227">
        <f t="shared" si="36"/>
        <v>91.474112278027206</v>
      </c>
      <c r="AH80" s="229" t="str">
        <f t="shared" si="37"/>
        <v>0.297363741984683-3.44229181912216i</v>
      </c>
    </row>
    <row r="81" spans="9:34" x14ac:dyDescent="0.2">
      <c r="I81" s="227">
        <v>77</v>
      </c>
      <c r="J81" s="227">
        <f t="shared" si="25"/>
        <v>1.7507594345623216</v>
      </c>
      <c r="K81" s="227">
        <f t="shared" si="48"/>
        <v>56.332553076266926</v>
      </c>
      <c r="L81" s="227">
        <f t="shared" si="38"/>
        <v>353.94786980471457</v>
      </c>
      <c r="M81" s="227">
        <f t="shared" si="26"/>
        <v>5762.5492682127897</v>
      </c>
      <c r="N81" s="227">
        <f>SQRT((ABS(AC81)-171.5+'Small Signal'!C$59)^2)</f>
        <v>97.958394343490994</v>
      </c>
      <c r="O81" s="227">
        <f t="shared" si="39"/>
        <v>91.4914609188951</v>
      </c>
      <c r="P81" s="227">
        <f t="shared" si="40"/>
        <v>36.151020602472883</v>
      </c>
      <c r="Q81" s="227">
        <f t="shared" si="41"/>
        <v>56.332553076266926</v>
      </c>
      <c r="R81" s="227" t="str">
        <f t="shared" si="27"/>
        <v>0.0878666666666667+0.00166355498808216i</v>
      </c>
      <c r="S81" s="227" t="str">
        <f t="shared" si="28"/>
        <v>0.0085-108.202013933735i</v>
      </c>
      <c r="T81" s="227" t="str">
        <f t="shared" si="29"/>
        <v>12.901935309543-1.56093634320256i</v>
      </c>
      <c r="U81" s="227" t="str">
        <f t="shared" si="30"/>
        <v>80.9883170881063-1.50923167215945i</v>
      </c>
      <c r="V81" s="227">
        <f t="shared" si="42"/>
        <v>38.169955403084842</v>
      </c>
      <c r="W81" s="227">
        <f t="shared" si="43"/>
        <v>-1.0675934571804209</v>
      </c>
      <c r="X81" s="227" t="str">
        <f t="shared" si="31"/>
        <v>0.999999977433909-0.0000442369475335779i</v>
      </c>
      <c r="Y81" s="227" t="str">
        <f t="shared" si="32"/>
        <v>61.9663183917253+2.76306388637587i</v>
      </c>
      <c r="Z81" s="227" t="str">
        <f t="shared" si="33"/>
        <v>32.2694191550779+1.43745564292391i</v>
      </c>
      <c r="AA81" s="227" t="str">
        <f t="shared" si="34"/>
        <v>18.9645795155716-1.17374674334559i</v>
      </c>
      <c r="AB81" s="227">
        <f t="shared" si="44"/>
        <v>25.575468491609271</v>
      </c>
      <c r="AC81" s="227">
        <f t="shared" si="45"/>
        <v>-3.5416056565090082</v>
      </c>
      <c r="AD81" s="229">
        <f t="shared" si="46"/>
        <v>10.575552110863615</v>
      </c>
      <c r="AE81" s="229">
        <f t="shared" si="47"/>
        <v>95.033066575404106</v>
      </c>
      <c r="AF81" s="227">
        <f t="shared" si="35"/>
        <v>36.151020602472883</v>
      </c>
      <c r="AG81" s="227">
        <f t="shared" si="36"/>
        <v>91.4914609188951</v>
      </c>
      <c r="AH81" s="229" t="str">
        <f t="shared" si="37"/>
        <v>0.296434649570942-3.36588931578763i</v>
      </c>
    </row>
    <row r="82" spans="9:34" x14ac:dyDescent="0.2">
      <c r="I82" s="227">
        <v>78</v>
      </c>
      <c r="J82" s="227">
        <f t="shared" si="25"/>
        <v>1.7605095570891052</v>
      </c>
      <c r="K82" s="227">
        <f t="shared" si="48"/>
        <v>57.611549642425857</v>
      </c>
      <c r="L82" s="227">
        <f t="shared" si="38"/>
        <v>361.98404223713749</v>
      </c>
      <c r="M82" s="227">
        <f t="shared" si="26"/>
        <v>5761.2412328027131</v>
      </c>
      <c r="N82" s="227">
        <f>SQRT((ABS(AC82)-171.5+'Small Signal'!C$59)^2)</f>
        <v>97.878168695414018</v>
      </c>
      <c r="O82" s="227">
        <f t="shared" si="39"/>
        <v>91.509533582727556</v>
      </c>
      <c r="P82" s="227">
        <f t="shared" si="40"/>
        <v>35.956697048332074</v>
      </c>
      <c r="Q82" s="227">
        <f t="shared" si="41"/>
        <v>57.611549642425857</v>
      </c>
      <c r="R82" s="227" t="str">
        <f t="shared" si="27"/>
        <v>0.0878666666666667+0.00170132499851455i</v>
      </c>
      <c r="S82" s="227" t="str">
        <f t="shared" si="28"/>
        <v>0.0085-105.799891353598i</v>
      </c>
      <c r="T82" s="227" t="str">
        <f t="shared" si="29"/>
        <v>12.8933878542923-1.59531817267902i</v>
      </c>
      <c r="U82" s="227" t="str">
        <f t="shared" si="30"/>
        <v>80.9881792466749-1.54351403481496i</v>
      </c>
      <c r="V82" s="227">
        <f t="shared" si="42"/>
        <v>38.1700098953675</v>
      </c>
      <c r="W82" s="227">
        <f t="shared" si="43"/>
        <v>-1.0918400120348264</v>
      </c>
      <c r="X82" s="227" t="str">
        <f t="shared" si="31"/>
        <v>0.999999976397578-0.000045241320687342i</v>
      </c>
      <c r="Y82" s="227" t="str">
        <f t="shared" si="32"/>
        <v>61.9690800850996+2.82578628104738i</v>
      </c>
      <c r="Z82" s="227" t="str">
        <f t="shared" si="33"/>
        <v>32.2708602139694+1.47008625290711i</v>
      </c>
      <c r="AA82" s="227" t="str">
        <f t="shared" si="34"/>
        <v>18.9614055518287-1.20020412209446i</v>
      </c>
      <c r="AB82" s="227">
        <f t="shared" si="44"/>
        <v>25.574775948077949</v>
      </c>
      <c r="AC82" s="227">
        <f t="shared" si="45"/>
        <v>-3.6218313045859931</v>
      </c>
      <c r="AD82" s="229">
        <f t="shared" si="46"/>
        <v>10.381921100254122</v>
      </c>
      <c r="AE82" s="229">
        <f t="shared" si="47"/>
        <v>95.131364887313552</v>
      </c>
      <c r="AF82" s="227">
        <f t="shared" si="35"/>
        <v>35.956697048332074</v>
      </c>
      <c r="AG82" s="227">
        <f t="shared" si="36"/>
        <v>91.509533582727556</v>
      </c>
      <c r="AH82" s="229" t="str">
        <f t="shared" si="37"/>
        <v>0.295546347653301-3.29118288335756i</v>
      </c>
    </row>
    <row r="83" spans="9:34" x14ac:dyDescent="0.2">
      <c r="I83" s="227">
        <v>79</v>
      </c>
      <c r="J83" s="227">
        <f t="shared" si="25"/>
        <v>1.7702596796158887</v>
      </c>
      <c r="K83" s="227">
        <f t="shared" si="48"/>
        <v>58.919585052502107</v>
      </c>
      <c r="L83" s="227">
        <f t="shared" si="38"/>
        <v>370.20267110699922</v>
      </c>
      <c r="M83" s="227">
        <f t="shared" si="26"/>
        <v>5759.9034992393217</v>
      </c>
      <c r="N83" s="227">
        <f>SQRT((ABS(AC83)-171.5+'Small Signal'!C$59)^2)</f>
        <v>97.796134378941957</v>
      </c>
      <c r="O83" s="227">
        <f t="shared" si="39"/>
        <v>91.52833746992755</v>
      </c>
      <c r="P83" s="227">
        <f t="shared" si="40"/>
        <v>35.762403713019296</v>
      </c>
      <c r="Q83" s="227">
        <f t="shared" si="41"/>
        <v>58.919585052502107</v>
      </c>
      <c r="R83" s="227" t="str">
        <f t="shared" si="27"/>
        <v>0.0878666666666667+0.0017399525542029i</v>
      </c>
      <c r="S83" s="227" t="str">
        <f t="shared" si="28"/>
        <v>0.0085-103.451096735486i</v>
      </c>
      <c r="T83" s="227" t="str">
        <f t="shared" si="29"/>
        <v>12.8844599802663-1.63040842284107i</v>
      </c>
      <c r="U83" s="227" t="str">
        <f t="shared" si="30"/>
        <v>80.9880350466909-1.5785758843164i</v>
      </c>
      <c r="V83" s="227">
        <f t="shared" si="42"/>
        <v>38.170066889536614</v>
      </c>
      <c r="W83" s="227">
        <f t="shared" si="43"/>
        <v>-1.1166375922129126</v>
      </c>
      <c r="X83" s="227" t="str">
        <f t="shared" si="31"/>
        <v>0.999999975313653-0.0000462684975264472i</v>
      </c>
      <c r="Y83" s="227" t="str">
        <f t="shared" si="32"/>
        <v>61.971968660442+2.88993196126084i</v>
      </c>
      <c r="Z83" s="227" t="str">
        <f t="shared" si="33"/>
        <v>32.2723674801227+1.50345730590073i</v>
      </c>
      <c r="AA83" s="227" t="str">
        <f t="shared" si="34"/>
        <v>18.958086911295-1.22724890154779i</v>
      </c>
      <c r="AB83" s="227">
        <f t="shared" si="44"/>
        <v>25.574051718650182</v>
      </c>
      <c r="AC83" s="227">
        <f t="shared" si="45"/>
        <v>-3.7038656210580352</v>
      </c>
      <c r="AD83" s="229">
        <f t="shared" si="46"/>
        <v>10.188351994369116</v>
      </c>
      <c r="AE83" s="229">
        <f t="shared" si="47"/>
        <v>95.232203090985578</v>
      </c>
      <c r="AF83" s="227">
        <f t="shared" si="35"/>
        <v>35.762403713019296</v>
      </c>
      <c r="AG83" s="227">
        <f t="shared" si="36"/>
        <v>91.52833746992755</v>
      </c>
      <c r="AH83" s="229" t="str">
        <f t="shared" si="37"/>
        <v>0.294697045407692-3.21813489833777i</v>
      </c>
    </row>
    <row r="84" spans="9:34" x14ac:dyDescent="0.2">
      <c r="I84" s="227">
        <v>80</v>
      </c>
      <c r="J84" s="227">
        <f t="shared" si="25"/>
        <v>1.780009802142672</v>
      </c>
      <c r="K84" s="227">
        <f t="shared" si="48"/>
        <v>60.257318615893624</v>
      </c>
      <c r="L84" s="227">
        <f t="shared" si="38"/>
        <v>378.60789897742177</v>
      </c>
      <c r="M84" s="227">
        <f t="shared" si="26"/>
        <v>5758.5353932439957</v>
      </c>
      <c r="N84" s="227">
        <f>SQRT((ABS(AC84)-171.5+'Small Signal'!C$59)^2)</f>
        <v>97.712251217014654</v>
      </c>
      <c r="O84" s="227">
        <f t="shared" si="39"/>
        <v>91.547880018841568</v>
      </c>
      <c r="P84" s="227">
        <f t="shared" si="40"/>
        <v>35.568141979825164</v>
      </c>
      <c r="Q84" s="227">
        <f t="shared" si="41"/>
        <v>60.257318615893624</v>
      </c>
      <c r="R84" s="227" t="str">
        <f t="shared" si="27"/>
        <v>0.0878666666666667+0.00177945712519388i</v>
      </c>
      <c r="S84" s="227" t="str">
        <f t="shared" si="28"/>
        <v>0.0085-101.154446179976i</v>
      </c>
      <c r="T84" s="227" t="str">
        <f t="shared" si="29"/>
        <v>12.8751353279344-1.66621832652098i</v>
      </c>
      <c r="U84" s="227" t="str">
        <f t="shared" si="30"/>
        <v>80.9878841934836-1.61443499692203i</v>
      </c>
      <c r="V84" s="227">
        <f t="shared" si="42"/>
        <v>38.170126500430072</v>
      </c>
      <c r="W84" s="227">
        <f t="shared" si="43"/>
        <v>-1.1419987447840454</v>
      </c>
      <c r="X84" s="227" t="str">
        <f t="shared" si="31"/>
        <v>0.999999974179951-0.0000473189957947849i</v>
      </c>
      <c r="Y84" s="227" t="str">
        <f t="shared" si="32"/>
        <v>61.9749899497119+2.95553318677685i</v>
      </c>
      <c r="Z84" s="227" t="str">
        <f t="shared" si="33"/>
        <v>32.2739439966582+1.53758558421044i</v>
      </c>
      <c r="AA84" s="227" t="str">
        <f t="shared" si="34"/>
        <v>18.9546170511613-1.25489349971864i</v>
      </c>
      <c r="AB84" s="227">
        <f t="shared" si="44"/>
        <v>25.573294359280247</v>
      </c>
      <c r="AC84" s="227">
        <f t="shared" si="45"/>
        <v>-3.7877487829853438</v>
      </c>
      <c r="AD84" s="229">
        <f t="shared" si="46"/>
        <v>9.9948476205449168</v>
      </c>
      <c r="AE84" s="229">
        <f t="shared" si="47"/>
        <v>95.335628801826914</v>
      </c>
      <c r="AF84" s="227">
        <f t="shared" si="35"/>
        <v>35.568141979825164</v>
      </c>
      <c r="AG84" s="227">
        <f t="shared" si="36"/>
        <v>91.547880018841568</v>
      </c>
      <c r="AH84" s="229" t="str">
        <f t="shared" si="37"/>
        <v>0.293885030617751-3.14670857108631i</v>
      </c>
    </row>
    <row r="85" spans="9:34" x14ac:dyDescent="0.2">
      <c r="I85" s="227">
        <v>81</v>
      </c>
      <c r="J85" s="227">
        <f t="shared" si="25"/>
        <v>1.7897599246694553</v>
      </c>
      <c r="K85" s="227">
        <f t="shared" si="48"/>
        <v>61.625424611219827</v>
      </c>
      <c r="L85" s="227">
        <f t="shared" si="38"/>
        <v>387.20396246591969</v>
      </c>
      <c r="M85" s="227">
        <f t="shared" si="26"/>
        <v>5757.1362252290264</v>
      </c>
      <c r="N85" s="227">
        <f>SQRT((ABS(AC85)-171.5+'Small Signal'!C$59)^2)</f>
        <v>97.626478181679175</v>
      </c>
      <c r="O85" s="227">
        <f t="shared" si="39"/>
        <v>91.568168900713758</v>
      </c>
      <c r="P85" s="227">
        <f t="shared" si="40"/>
        <v>35.373913291439528</v>
      </c>
      <c r="Q85" s="227">
        <f t="shared" si="41"/>
        <v>61.625424611219827</v>
      </c>
      <c r="R85" s="227" t="str">
        <f t="shared" si="27"/>
        <v>0.0878666666666667+0.00181985862358982i</v>
      </c>
      <c r="S85" s="227" t="str">
        <f t="shared" si="28"/>
        <v>0.0085-98.9087820706289i</v>
      </c>
      <c r="T85" s="227" t="str">
        <f t="shared" si="29"/>
        <v>12.8653968869628-1.70275905421318i</v>
      </c>
      <c r="U85" s="227" t="str">
        <f t="shared" si="30"/>
        <v>80.9877263785995-1.65110955795646i</v>
      </c>
      <c r="V85" s="227">
        <f t="shared" si="42"/>
        <v>38.170188848153941</v>
      </c>
      <c r="W85" s="227">
        <f t="shared" si="43"/>
        <v>-1.1679363042262174</v>
      </c>
      <c r="X85" s="227" t="str">
        <f t="shared" si="31"/>
        <v>0.999999972994183-0.0000483933449913086i</v>
      </c>
      <c r="Y85" s="227" t="str">
        <f t="shared" si="32"/>
        <v>61.9781500531672+3.02262294594026i</v>
      </c>
      <c r="Z85" s="227" t="str">
        <f t="shared" si="33"/>
        <v>32.2755929466932+1.57248824914438i</v>
      </c>
      <c r="AA85" s="227" t="str">
        <f t="shared" si="34"/>
        <v>18.9509891375833-1.28315055350165i</v>
      </c>
      <c r="AB85" s="227">
        <f t="shared" si="44"/>
        <v>25.572502360642812</v>
      </c>
      <c r="AC85" s="227">
        <f t="shared" si="45"/>
        <v>-3.8735218183208366</v>
      </c>
      <c r="AD85" s="229">
        <f t="shared" si="46"/>
        <v>9.8014109307967185</v>
      </c>
      <c r="AE85" s="229">
        <f t="shared" si="47"/>
        <v>95.441690719034597</v>
      </c>
      <c r="AF85" s="227">
        <f t="shared" si="35"/>
        <v>35.373913291439528</v>
      </c>
      <c r="AG85" s="227">
        <f t="shared" si="36"/>
        <v>91.568168900713758</v>
      </c>
      <c r="AH85" s="229" t="str">
        <f t="shared" si="37"/>
        <v>0.293108666225054-3.07686792740533i</v>
      </c>
    </row>
    <row r="86" spans="9:34" x14ac:dyDescent="0.2">
      <c r="I86" s="227">
        <v>82</v>
      </c>
      <c r="J86" s="227">
        <f t="shared" si="25"/>
        <v>1.7995100471962389</v>
      </c>
      <c r="K86" s="227">
        <f t="shared" si="48"/>
        <v>63.024592626188472</v>
      </c>
      <c r="L86" s="227">
        <f t="shared" si="38"/>
        <v>395.99519437984628</v>
      </c>
      <c r="M86" s="227">
        <f t="shared" si="26"/>
        <v>5755.7052899500359</v>
      </c>
      <c r="N86" s="227">
        <f>SQRT((ABS(AC86)-171.5+'Small Signal'!C$59)^2)</f>
        <v>97.538773378978021</v>
      </c>
      <c r="O86" s="227">
        <f t="shared" si="39"/>
        <v>91.589212014178017</v>
      </c>
      <c r="P86" s="227">
        <f t="shared" si="40"/>
        <v>35.179719152462347</v>
      </c>
      <c r="Q86" s="227">
        <f t="shared" si="41"/>
        <v>63.024592626188472</v>
      </c>
      <c r="R86" s="227" t="str">
        <f t="shared" si="27"/>
        <v>0.0878666666666667+0.00186117741358528i</v>
      </c>
      <c r="S86" s="227" t="str">
        <f t="shared" si="28"/>
        <v>0.0085-96.7129724904932i</v>
      </c>
      <c r="T86" s="227" t="str">
        <f t="shared" si="29"/>
        <v>12.8552269752263-1.74004169289957i</v>
      </c>
      <c r="U86" s="227" t="str">
        <f t="shared" si="30"/>
        <v>80.9875612791474-1.68861817147913i</v>
      </c>
      <c r="V86" s="227">
        <f t="shared" si="42"/>
        <v>38.170254058324097</v>
      </c>
      <c r="W86" s="227">
        <f t="shared" si="43"/>
        <v>-1.1944633991282256</v>
      </c>
      <c r="X86" s="227" t="str">
        <f t="shared" si="31"/>
        <v>0.999999971753961-0.0000494920866369257i</v>
      </c>
      <c r="Y86" s="227" t="str">
        <f t="shared" si="32"/>
        <v>61.9814553517297+3.09123497195198i</v>
      </c>
      <c r="Z86" s="227" t="str">
        <f t="shared" si="33"/>
        <v>32.2773176597954+1.6081828494759i</v>
      </c>
      <c r="AA86" s="227" t="str">
        <f t="shared" si="34"/>
        <v>18.947196033191-1.31203291935913i</v>
      </c>
      <c r="AB86" s="227">
        <f t="shared" si="44"/>
        <v>25.571674145231803</v>
      </c>
      <c r="AC86" s="227">
        <f t="shared" si="45"/>
        <v>-3.9612266210219791</v>
      </c>
      <c r="AD86" s="229">
        <f t="shared" si="46"/>
        <v>9.6080450072305457</v>
      </c>
      <c r="AE86" s="229">
        <f t="shared" si="47"/>
        <v>95.550438635199995</v>
      </c>
      <c r="AF86" s="227">
        <f t="shared" si="35"/>
        <v>35.179719152462347</v>
      </c>
      <c r="AG86" s="227">
        <f t="shared" si="36"/>
        <v>91.589212014178017</v>
      </c>
      <c r="AH86" s="229" t="str">
        <f t="shared" si="37"/>
        <v>0.292366387030657-3.00857779053519i</v>
      </c>
    </row>
    <row r="87" spans="9:34" x14ac:dyDescent="0.2">
      <c r="I87" s="227">
        <v>83</v>
      </c>
      <c r="J87" s="227">
        <f t="shared" si="25"/>
        <v>1.8092601697230224</v>
      </c>
      <c r="K87" s="227">
        <f t="shared" si="48"/>
        <v>64.455527905179423</v>
      </c>
      <c r="L87" s="227">
        <f t="shared" si="38"/>
        <v>404.98602590032715</v>
      </c>
      <c r="M87" s="227">
        <f t="shared" si="26"/>
        <v>5754.2418661504953</v>
      </c>
      <c r="N87" s="227">
        <f>SQRT((ABS(AC87)-171.5+'Small Signal'!C$59)^2)</f>
        <v>97.449094033779886</v>
      </c>
      <c r="O87" s="227">
        <f t="shared" si="39"/>
        <v>91.611017479249696</v>
      </c>
      <c r="P87" s="227">
        <f t="shared" si="40"/>
        <v>34.985561132002289</v>
      </c>
      <c r="Q87" s="227">
        <f t="shared" si="41"/>
        <v>64.455527905179423</v>
      </c>
      <c r="R87" s="227" t="str">
        <f t="shared" si="27"/>
        <v>0.0878666666666667+0.00190343432173154i</v>
      </c>
      <c r="S87" s="227" t="str">
        <f t="shared" si="28"/>
        <v>0.0085-94.5659106515716i</v>
      </c>
      <c r="T87" s="227" t="str">
        <f t="shared" si="29"/>
        <v>12.8446072176178-1.77807722328059i</v>
      </c>
      <c r="U87" s="227" t="str">
        <f t="shared" si="30"/>
        <v>80.9873885571068-1.72697987019865i</v>
      </c>
      <c r="V87" s="227">
        <f t="shared" si="42"/>
        <v>38.170322262318393</v>
      </c>
      <c r="W87" s="227">
        <f t="shared" si="43"/>
        <v>-1.2215934590562771</v>
      </c>
      <c r="X87" s="227" t="str">
        <f t="shared" si="31"/>
        <v>0.999999970456782-0.0000506157745474482i</v>
      </c>
      <c r="Y87" s="227" t="str">
        <f t="shared" si="32"/>
        <v>61.9849125199206+3.16140375949066i</v>
      </c>
      <c r="Z87" s="227" t="str">
        <f t="shared" si="33"/>
        <v>32.2791216187315+1.64468733008812i</v>
      </c>
      <c r="AA87" s="227" t="str">
        <f t="shared" si="34"/>
        <v>18.9432302841044-1.34155367373714i</v>
      </c>
      <c r="AB87" s="227">
        <f t="shared" si="44"/>
        <v>25.570808064334649</v>
      </c>
      <c r="AC87" s="227">
        <f t="shared" si="45"/>
        <v>-4.0509059662201095</v>
      </c>
      <c r="AD87" s="229">
        <f t="shared" si="46"/>
        <v>9.4147530676676396</v>
      </c>
      <c r="AE87" s="229">
        <f t="shared" si="47"/>
        <v>95.66192344546981</v>
      </c>
      <c r="AF87" s="227">
        <f t="shared" si="35"/>
        <v>34.985561132002289</v>
      </c>
      <c r="AG87" s="227">
        <f t="shared" si="36"/>
        <v>91.611017479249696</v>
      </c>
      <c r="AH87" s="229" t="str">
        <f t="shared" si="37"/>
        <v>0.291656696541308-2.94180376354215i</v>
      </c>
    </row>
    <row r="88" spans="9:34" x14ac:dyDescent="0.2">
      <c r="I88" s="227">
        <v>84</v>
      </c>
      <c r="J88" s="227">
        <f t="shared" si="25"/>
        <v>1.8190102922498057</v>
      </c>
      <c r="K88" s="227">
        <f t="shared" si="48"/>
        <v>65.918951704719817</v>
      </c>
      <c r="L88" s="227">
        <f t="shared" si="38"/>
        <v>414.18098881577629</v>
      </c>
      <c r="M88" s="227">
        <f t="shared" si="26"/>
        <v>5752.7452161981846</v>
      </c>
      <c r="N88" s="227">
        <f>SQRT((ABS(AC88)-171.5+'Small Signal'!C$59)^2)</f>
        <v>97.357396474570578</v>
      </c>
      <c r="O88" s="227">
        <f t="shared" si="39"/>
        <v>91.633593630775451</v>
      </c>
      <c r="P88" s="227">
        <f t="shared" si="40"/>
        <v>34.791440866366401</v>
      </c>
      <c r="Q88" s="227">
        <f t="shared" si="41"/>
        <v>65.918951704719817</v>
      </c>
      <c r="R88" s="227" t="str">
        <f t="shared" si="27"/>
        <v>0.0878666666666667+0.00194665064743415i</v>
      </c>
      <c r="S88" s="227" t="str">
        <f t="shared" si="28"/>
        <v>0.0085-92.4665143369486i</v>
      </c>
      <c r="T88" s="227" t="str">
        <f t="shared" si="29"/>
        <v>12.8335185247068-1.81687649532703i</v>
      </c>
      <c r="U88" s="227" t="str">
        <f t="shared" si="30"/>
        <v>80.9872078586081-1.76621412564082i</v>
      </c>
      <c r="V88" s="227">
        <f t="shared" si="42"/>
        <v>38.170393597540937</v>
      </c>
      <c r="W88" s="227">
        <f t="shared" si="43"/>
        <v>-1.2493402215897478</v>
      </c>
      <c r="X88" s="227" t="str">
        <f t="shared" si="31"/>
        <v>0.999999969100031-0.0000517649751127414i</v>
      </c>
      <c r="Y88" s="227" t="str">
        <f t="shared" si="32"/>
        <v>61.988528539399+3.23316458169173i</v>
      </c>
      <c r="Z88" s="227" t="str">
        <f t="shared" si="33"/>
        <v>32.2810084665319+1.68202004080418i</v>
      </c>
      <c r="AA88" s="227" t="str">
        <f t="shared" si="34"/>
        <v>18.9390841064414-1.3717261131871i</v>
      </c>
      <c r="AB88" s="227">
        <f t="shared" si="44"/>
        <v>25.569902394877715</v>
      </c>
      <c r="AC88" s="227">
        <f t="shared" si="45"/>
        <v>-4.1426035254294256</v>
      </c>
      <c r="AD88" s="229">
        <f t="shared" si="46"/>
        <v>9.221538471488687</v>
      </c>
      <c r="AE88" s="229">
        <f t="shared" si="47"/>
        <v>95.776197156204873</v>
      </c>
      <c r="AF88" s="227">
        <f t="shared" si="35"/>
        <v>34.791440866366401</v>
      </c>
      <c r="AG88" s="227">
        <f t="shared" si="36"/>
        <v>91.633593630775451</v>
      </c>
      <c r="AH88" s="229" t="str">
        <f t="shared" si="37"/>
        <v>0.290978163954012-2.87651221209149i</v>
      </c>
    </row>
    <row r="89" spans="9:34" x14ac:dyDescent="0.2">
      <c r="I89" s="227">
        <v>85</v>
      </c>
      <c r="J89" s="227">
        <f t="shared" si="25"/>
        <v>1.828760414776589</v>
      </c>
      <c r="K89" s="227">
        <f t="shared" si="48"/>
        <v>67.415601657030422</v>
      </c>
      <c r="L89" s="227">
        <f t="shared" si="38"/>
        <v>423.5847178061253</v>
      </c>
      <c r="M89" s="227">
        <f t="shared" si="26"/>
        <v>5751.2145857133892</v>
      </c>
      <c r="N89" s="227">
        <f>SQRT((ABS(AC89)-171.5+'Small Signal'!C$59)^2)</f>
        <v>97.263636118223303</v>
      </c>
      <c r="O89" s="227">
        <f t="shared" si="39"/>
        <v>91.656949011296661</v>
      </c>
      <c r="P89" s="227">
        <f t="shared" si="40"/>
        <v>34.597360061841037</v>
      </c>
      <c r="Q89" s="227">
        <f t="shared" si="41"/>
        <v>67.415601657030422</v>
      </c>
      <c r="R89" s="227" t="str">
        <f t="shared" si="27"/>
        <v>0.0878666666666667+0.00199084817368879i</v>
      </c>
      <c r="S89" s="227" t="str">
        <f t="shared" si="28"/>
        <v>0.0085-90.4137253553005i</v>
      </c>
      <c r="T89" s="227" t="str">
        <f t="shared" si="29"/>
        <v>12.821941071306-1.85645020206497i</v>
      </c>
      <c r="U89" s="227" t="str">
        <f t="shared" si="30"/>
        <v>80.9870188131712-1.80634085857779i</v>
      </c>
      <c r="V89" s="227">
        <f t="shared" si="42"/>
        <v>38.170468207697873</v>
      </c>
      <c r="W89" s="227">
        <f t="shared" si="43"/>
        <v>-1.2777177395308283</v>
      </c>
      <c r="X89" s="227" t="str">
        <f t="shared" si="31"/>
        <v>0.999999967680972-0.0000529402675822104i</v>
      </c>
      <c r="Y89" s="227" t="str">
        <f t="shared" si="32"/>
        <v>61.9923107131235+3.30655350748981i</v>
      </c>
      <c r="Z89" s="227" t="str">
        <f t="shared" si="33"/>
        <v>32.2829820138801+1.72019974540638i</v>
      </c>
      <c r="AA89" s="227" t="str">
        <f t="shared" si="34"/>
        <v>18.9347493723001-1.40256375416669i</v>
      </c>
      <c r="AB89" s="227">
        <f t="shared" si="44"/>
        <v>25.568955336136781</v>
      </c>
      <c r="AC89" s="227">
        <f t="shared" si="45"/>
        <v>-4.2363638817766862</v>
      </c>
      <c r="AD89" s="229">
        <f t="shared" si="46"/>
        <v>9.0284047257042541</v>
      </c>
      <c r="AE89" s="229">
        <f t="shared" si="47"/>
        <v>95.893312893073343</v>
      </c>
      <c r="AF89" s="227">
        <f t="shared" si="35"/>
        <v>34.597360061841037</v>
      </c>
      <c r="AG89" s="227">
        <f t="shared" si="36"/>
        <v>91.656949011296661</v>
      </c>
      <c r="AH89" s="229" t="str">
        <f t="shared" si="37"/>
        <v>0.290329421272855-2.8126702475977i</v>
      </c>
    </row>
    <row r="90" spans="9:34" x14ac:dyDescent="0.2">
      <c r="I90" s="227">
        <v>86</v>
      </c>
      <c r="J90" s="227">
        <f t="shared" si="25"/>
        <v>1.8385105373033723</v>
      </c>
      <c r="K90" s="227">
        <f t="shared" si="48"/>
        <v>68.946232141825661</v>
      </c>
      <c r="L90" s="227">
        <f t="shared" si="38"/>
        <v>433.2019527789119</v>
      </c>
      <c r="M90" s="227">
        <f t="shared" si="26"/>
        <v>5749.6492031886601</v>
      </c>
      <c r="N90" s="227">
        <f>SQRT((ABS(AC90)-171.5+'Small Signal'!C$59)^2)</f>
        <v>97.167767454770001</v>
      </c>
      <c r="O90" s="227">
        <f t="shared" si="39"/>
        <v>91.681092363280868</v>
      </c>
      <c r="P90" s="227">
        <f t="shared" si="40"/>
        <v>34.403320497567904</v>
      </c>
      <c r="Q90" s="227">
        <f t="shared" si="41"/>
        <v>68.946232141825661</v>
      </c>
      <c r="R90" s="227" t="str">
        <f t="shared" si="27"/>
        <v>0.0878666666666667+0.00203604917806089i</v>
      </c>
      <c r="S90" s="227" t="str">
        <f t="shared" si="28"/>
        <v>0.0085-88.4065090075231i</v>
      </c>
      <c r="T90" s="227" t="str">
        <f t="shared" si="29"/>
        <v>12.8098542750132-1.8968088515042i</v>
      </c>
      <c r="U90" s="227" t="str">
        <f t="shared" si="30"/>
        <v>80.986821032911-1.84738044972628i</v>
      </c>
      <c r="V90" s="227">
        <f t="shared" si="42"/>
        <v>38.170546243086278</v>
      </c>
      <c r="W90" s="227">
        <f t="shared" si="43"/>
        <v>-1.3067403882927517</v>
      </c>
      <c r="X90" s="227" t="str">
        <f t="shared" si="31"/>
        <v>0.999999966196744-0.0000541422443567675i</v>
      </c>
      <c r="Y90" s="227" t="str">
        <f t="shared" si="32"/>
        <v>61.9962666801723+3.38160741933158i</v>
      </c>
      <c r="Z90" s="227" t="str">
        <f t="shared" si="33"/>
        <v>32.2850462468458+1.75924563084777i</v>
      </c>
      <c r="AA90" s="227" t="str">
        <f t="shared" si="34"/>
        <v>18.9302175952031-1.43408033249213i</v>
      </c>
      <c r="AB90" s="227">
        <f t="shared" si="44"/>
        <v>25.567965006308686</v>
      </c>
      <c r="AC90" s="227">
        <f t="shared" si="45"/>
        <v>-4.3322325452300063</v>
      </c>
      <c r="AD90" s="229">
        <f t="shared" si="46"/>
        <v>8.8353554912592216</v>
      </c>
      <c r="AE90" s="229">
        <f t="shared" si="47"/>
        <v>96.013324908510867</v>
      </c>
      <c r="AF90" s="227">
        <f t="shared" si="35"/>
        <v>34.403320497567904</v>
      </c>
      <c r="AG90" s="227">
        <f t="shared" si="36"/>
        <v>91.681092363280868</v>
      </c>
      <c r="AH90" s="229" t="str">
        <f t="shared" si="37"/>
        <v>0.289709160552328-2.750245710744i</v>
      </c>
    </row>
    <row r="91" spans="9:34" x14ac:dyDescent="0.2">
      <c r="I91" s="227">
        <v>87</v>
      </c>
      <c r="J91" s="227">
        <f t="shared" si="25"/>
        <v>1.8482606598301559</v>
      </c>
      <c r="K91" s="227">
        <f t="shared" si="48"/>
        <v>70.511614666555275</v>
      </c>
      <c r="L91" s="227">
        <f t="shared" si="38"/>
        <v>443.03754125840874</v>
      </c>
      <c r="M91" s="227">
        <f t="shared" si="26"/>
        <v>5748.048279599936</v>
      </c>
      <c r="N91" s="227">
        <f>SQRT((ABS(AC91)-171.5+'Small Signal'!C$59)^2)</f>
        <v>97.069744032195729</v>
      </c>
      <c r="O91" s="227">
        <f t="shared" si="39"/>
        <v>91.706032620671522</v>
      </c>
      <c r="P91" s="227">
        <f t="shared" si="40"/>
        <v>34.20932402851615</v>
      </c>
      <c r="Q91" s="227">
        <f t="shared" si="41"/>
        <v>70.511614666555275</v>
      </c>
      <c r="R91" s="227" t="str">
        <f t="shared" si="27"/>
        <v>0.0878666666666667+0.00208227644391452i</v>
      </c>
      <c r="S91" s="227" t="str">
        <f t="shared" si="28"/>
        <v>0.0085-86.443853565194i</v>
      </c>
      <c r="T91" s="227" t="str">
        <f t="shared" si="29"/>
        <v>12.7972367747998-1.93796273661854i</v>
      </c>
      <c r="U91" s="227" t="str">
        <f t="shared" si="30"/>
        <v>80.9866141117005-1.88935375072383i</v>
      </c>
      <c r="V91" s="227">
        <f t="shared" si="42"/>
        <v>38.170627860895934</v>
      </c>
      <c r="W91" s="227">
        <f t="shared" si="43"/>
        <v>-1.3364228734722416</v>
      </c>
      <c r="X91" s="227" t="str">
        <f t="shared" si="31"/>
        <v>0.999999964644353-0.00005537151128743i</v>
      </c>
      <c r="Y91" s="227" t="str">
        <f t="shared" si="32"/>
        <v>62.0004044312455+3.4583640312654i</v>
      </c>
      <c r="Z91" s="227" t="str">
        <f t="shared" si="33"/>
        <v>32.2872053349734+1.79917731665958i</v>
      </c>
      <c r="AA91" s="227" t="str">
        <f t="shared" si="34"/>
        <v>18.9254799149882-1.46628980241217i</v>
      </c>
      <c r="AB91" s="227">
        <f t="shared" si="44"/>
        <v>25.566929438938757</v>
      </c>
      <c r="AC91" s="227">
        <f t="shared" si="45"/>
        <v>-4.4302559678042748</v>
      </c>
      <c r="AD91" s="229">
        <f t="shared" si="46"/>
        <v>8.6423945895773926</v>
      </c>
      <c r="AE91" s="229">
        <f t="shared" si="47"/>
        <v>96.136288588475793</v>
      </c>
      <c r="AF91" s="227">
        <f t="shared" si="35"/>
        <v>34.20932402851615</v>
      </c>
      <c r="AG91" s="227">
        <f t="shared" si="36"/>
        <v>91.706032620671522</v>
      </c>
      <c r="AH91" s="229" t="str">
        <f t="shared" si="37"/>
        <v>0.289116131261574-2.68920715536306i</v>
      </c>
    </row>
    <row r="92" spans="9:34" x14ac:dyDescent="0.2">
      <c r="I92" s="227">
        <v>88</v>
      </c>
      <c r="J92" s="227">
        <f t="shared" si="25"/>
        <v>1.8580107823569392</v>
      </c>
      <c r="K92" s="227">
        <f t="shared" si="48"/>
        <v>72.112538255279276</v>
      </c>
      <c r="L92" s="227">
        <f t="shared" si="38"/>
        <v>453.09644082899661</v>
      </c>
      <c r="M92" s="227">
        <f t="shared" si="26"/>
        <v>5746.4110080088431</v>
      </c>
      <c r="N92" s="227">
        <f>SQRT((ABS(AC92)-171.5+'Small Signal'!C$59)^2)</f>
        <v>96.969518441281991</v>
      </c>
      <c r="O92" s="227">
        <f t="shared" si="39"/>
        <v>91.731778899704437</v>
      </c>
      <c r="P92" s="227">
        <f t="shared" si="40"/>
        <v>34.015372588549326</v>
      </c>
      <c r="Q92" s="227">
        <f t="shared" si="41"/>
        <v>72.112538255279276</v>
      </c>
      <c r="R92" s="227" t="str">
        <f t="shared" si="27"/>
        <v>0.0878666666666667+0.00212955327189628i</v>
      </c>
      <c r="S92" s="227" t="str">
        <f t="shared" si="28"/>
        <v>0.0085-84.5247697606161i</v>
      </c>
      <c r="T92" s="227" t="str">
        <f t="shared" si="29"/>
        <v>12.7840664097325-1.97992190328498i</v>
      </c>
      <c r="U92" s="227" t="str">
        <f t="shared" si="30"/>
        <v>80.9863976242912-1.93228209539082i</v>
      </c>
      <c r="V92" s="227">
        <f t="shared" si="42"/>
        <v>38.170713225524793</v>
      </c>
      <c r="W92" s="227">
        <f t="shared" si="43"/>
        <v>-1.3667802386107752</v>
      </c>
      <c r="X92" s="227" t="str">
        <f t="shared" si="31"/>
        <v>0.999999963020671-0.000056628687980696i</v>
      </c>
      <c r="Y92" s="227" t="str">
        <f t="shared" si="32"/>
        <v>62.0047323248906+3.53686190741504i</v>
      </c>
      <c r="Z92" s="227" t="str">
        <f t="shared" si="33"/>
        <v>32.2894636397488+1.84001486455813i</v>
      </c>
      <c r="AA92" s="227" t="str">
        <f t="shared" si="34"/>
        <v>18.9205270821258-1.49920633527158i</v>
      </c>
      <c r="AB92" s="227">
        <f t="shared" si="44"/>
        <v>25.56584657919641</v>
      </c>
      <c r="AC92" s="227">
        <f t="shared" si="45"/>
        <v>-4.5304815587179998</v>
      </c>
      <c r="AD92" s="229">
        <f t="shared" si="46"/>
        <v>8.4495260093529119</v>
      </c>
      <c r="AE92" s="229">
        <f t="shared" si="47"/>
        <v>96.262260458422432</v>
      </c>
      <c r="AF92" s="227">
        <f t="shared" si="35"/>
        <v>34.015372588549326</v>
      </c>
      <c r="AG92" s="227">
        <f t="shared" si="36"/>
        <v>91.731778899704437</v>
      </c>
      <c r="AH92" s="229" t="str">
        <f t="shared" si="37"/>
        <v>0.288549137764251-2.62952383267112i</v>
      </c>
    </row>
    <row r="93" spans="9:34" x14ac:dyDescent="0.2">
      <c r="I93" s="227">
        <v>89</v>
      </c>
      <c r="J93" s="227">
        <f t="shared" si="25"/>
        <v>1.8677609048837227</v>
      </c>
      <c r="K93" s="227">
        <f t="shared" si="48"/>
        <v>73.749809846372202</v>
      </c>
      <c r="L93" s="227">
        <f t="shared" si="38"/>
        <v>463.38372163401419</v>
      </c>
      <c r="M93" s="227">
        <f t="shared" si="26"/>
        <v>5744.7365631559587</v>
      </c>
      <c r="N93" s="227">
        <f>SQRT((ABS(AC93)-171.5+'Small Signal'!C$59)^2)</f>
        <v>96.867042300525213</v>
      </c>
      <c r="O93" s="227">
        <f t="shared" si="39"/>
        <v>91.758340488935602</v>
      </c>
      <c r="P93" s="227">
        <f t="shared" si="40"/>
        <v>33.82146819359361</v>
      </c>
      <c r="Q93" s="227">
        <f t="shared" si="41"/>
        <v>73.749809846372202</v>
      </c>
      <c r="R93" s="227" t="str">
        <f t="shared" si="27"/>
        <v>0.0878666666666667+0.00217790349167987i</v>
      </c>
      <c r="S93" s="227" t="str">
        <f t="shared" si="28"/>
        <v>0.0085-82.6482902881809i</v>
      </c>
      <c r="T93" s="227" t="str">
        <f t="shared" si="29"/>
        <v>12.7703201979165-2.02269611608701i</v>
      </c>
      <c r="U93" s="227" t="str">
        <f t="shared" si="30"/>
        <v>80.986171125394-1.97618731128846i</v>
      </c>
      <c r="V93" s="227">
        <f t="shared" si="42"/>
        <v>38.170802508909354</v>
      </c>
      <c r="W93" s="227">
        <f t="shared" si="43"/>
        <v>-1.397827873150844</v>
      </c>
      <c r="X93" s="227" t="str">
        <f t="shared" si="31"/>
        <v>0.999999961322422-0.0000579144081108548i</v>
      </c>
      <c r="Y93" s="227" t="str">
        <f t="shared" si="32"/>
        <v>62.0092591044792+3.61714048084383i</v>
      </c>
      <c r="Z93" s="227" t="str">
        <f t="shared" si="33"/>
        <v>32.2918257234571+1.88177878825472i</v>
      </c>
      <c r="AA93" s="227" t="str">
        <f t="shared" si="34"/>
        <v>18.9153494414555-1.53284431773094i</v>
      </c>
      <c r="AB93" s="227">
        <f t="shared" si="44"/>
        <v>25.56471427999675</v>
      </c>
      <c r="AC93" s="227">
        <f t="shared" si="45"/>
        <v>-4.6329576994747974</v>
      </c>
      <c r="AD93" s="229">
        <f t="shared" si="46"/>
        <v>8.2567539135968619</v>
      </c>
      <c r="AE93" s="229">
        <f t="shared" si="47"/>
        <v>96.391298188410403</v>
      </c>
      <c r="AF93" s="227">
        <f t="shared" si="35"/>
        <v>33.82146819359361</v>
      </c>
      <c r="AG93" s="227">
        <f t="shared" si="36"/>
        <v>91.758340488935602</v>
      </c>
      <c r="AH93" s="229" t="str">
        <f t="shared" si="37"/>
        <v>0.288007036908988-2.57116567584844i</v>
      </c>
    </row>
    <row r="94" spans="9:34" x14ac:dyDescent="0.2">
      <c r="I94" s="227">
        <v>90</v>
      </c>
      <c r="J94" s="227">
        <f t="shared" si="25"/>
        <v>1.877511027410506</v>
      </c>
      <c r="K94" s="227">
        <f t="shared" si="48"/>
        <v>75.42425469925638</v>
      </c>
      <c r="L94" s="227">
        <f t="shared" si="38"/>
        <v>473.90456893133853</v>
      </c>
      <c r="M94" s="227">
        <f t="shared" si="26"/>
        <v>5743.0241010448444</v>
      </c>
      <c r="N94" s="227">
        <f>SQRT((ABS(AC94)-171.5+'Small Signal'!C$59)^2)</f>
        <v>96.76226624115975</v>
      </c>
      <c r="O94" s="227">
        <f t="shared" si="39"/>
        <v>91.785726838423656</v>
      </c>
      <c r="P94" s="227">
        <f t="shared" si="40"/>
        <v>33.627612944903468</v>
      </c>
      <c r="Q94" s="227">
        <f t="shared" si="41"/>
        <v>75.42425469925638</v>
      </c>
      <c r="R94" s="227" t="str">
        <f t="shared" si="27"/>
        <v>0.0878666666666667+0.00222735147397729i</v>
      </c>
      <c r="S94" s="227" t="str">
        <f t="shared" si="28"/>
        <v>0.0085-80.8134693168031i</v>
      </c>
      <c r="T94" s="227" t="str">
        <f t="shared" si="29"/>
        <v>12.7559743157639-2.06629482188717i</v>
      </c>
      <c r="U94" s="227" t="str">
        <f t="shared" si="30"/>
        <v>80.9859341487089-2.02109173158142i</v>
      </c>
      <c r="V94" s="227">
        <f t="shared" si="42"/>
        <v>38.170895890869623</v>
      </c>
      <c r="W94" s="227">
        <f t="shared" si="43"/>
        <v>-1.4295815205925215</v>
      </c>
      <c r="X94" s="227" t="str">
        <f t="shared" si="31"/>
        <v>0.999999959546182-0.0000592293197393873i</v>
      </c>
      <c r="Y94" s="227" t="str">
        <f t="shared" si="32"/>
        <v>62.0139939159674+3.69924007281631i</v>
      </c>
      <c r="Z94" s="227" t="str">
        <f t="shared" si="33"/>
        <v>32.2942963584503+1.92449006347189i</v>
      </c>
      <c r="AA94" s="227" t="str">
        <f t="shared" si="34"/>
        <v>18.9099369153203-1.56721834950618i</v>
      </c>
      <c r="AB94" s="227">
        <f t="shared" si="44"/>
        <v>25.563530297959268</v>
      </c>
      <c r="AC94" s="227">
        <f t="shared" si="45"/>
        <v>-4.7377337588402497</v>
      </c>
      <c r="AD94" s="229">
        <f t="shared" si="46"/>
        <v>8.0640826469442004</v>
      </c>
      <c r="AE94" s="229">
        <f t="shared" si="47"/>
        <v>96.523460597263906</v>
      </c>
      <c r="AF94" s="227">
        <f t="shared" si="35"/>
        <v>33.627612944903468</v>
      </c>
      <c r="AG94" s="227">
        <f t="shared" si="36"/>
        <v>91.785726838423656</v>
      </c>
      <c r="AH94" s="229" t="str">
        <f t="shared" si="37"/>
        <v>0.287488735725558-2.51410328495812i</v>
      </c>
    </row>
    <row r="95" spans="9:34" x14ac:dyDescent="0.2">
      <c r="I95" s="227">
        <v>91</v>
      </c>
      <c r="J95" s="227">
        <f t="shared" si="25"/>
        <v>1.8872611499372893</v>
      </c>
      <c r="K95" s="227">
        <f t="shared" si="48"/>
        <v>77.136716810370729</v>
      </c>
      <c r="L95" s="227">
        <f t="shared" si="38"/>
        <v>484.66428570699395</v>
      </c>
      <c r="M95" s="227">
        <f t="shared" si="26"/>
        <v>5741.2727585166322</v>
      </c>
      <c r="N95" s="227">
        <f>SQRT((ABS(AC95)-171.5+'Small Signal'!C$59)^2)</f>
        <v>96.655139892317834</v>
      </c>
      <c r="O95" s="227">
        <f t="shared" si="39"/>
        <v>91.813947548003767</v>
      </c>
      <c r="P95" s="227">
        <f t="shared" si="40"/>
        <v>33.433809032427462</v>
      </c>
      <c r="Q95" s="227">
        <f t="shared" si="41"/>
        <v>77.136716810370729</v>
      </c>
      <c r="R95" s="227" t="str">
        <f t="shared" si="27"/>
        <v>0.0878666666666667+0.00227792214282287i</v>
      </c>
      <c r="S95" s="227" t="str">
        <f t="shared" si="28"/>
        <v>0.0085-79.0193820131792i</v>
      </c>
      <c r="T95" s="227" t="str">
        <f t="shared" si="29"/>
        <v>12.7410040776985-2.11072711107287i</v>
      </c>
      <c r="U95" s="227" t="str">
        <f t="shared" si="30"/>
        <v>80.9856862059055-2.06701820721507i</v>
      </c>
      <c r="V95" s="227">
        <f t="shared" si="42"/>
        <v>38.170993559469778</v>
      </c>
      <c r="W95" s="227">
        <f t="shared" si="43"/>
        <v>-1.4620572868562574</v>
      </c>
      <c r="X95" s="227" t="str">
        <f t="shared" si="31"/>
        <v>0.999999957688369-0.0000605740856416187i</v>
      </c>
      <c r="Y95" s="227" t="str">
        <f t="shared" si="32"/>
        <v>62.0189463264846+3.78320191246374i</v>
      </c>
      <c r="Z95" s="227" t="str">
        <f t="shared" si="33"/>
        <v>32.2968805368465+1.9681701381696i</v>
      </c>
      <c r="AA95" s="227" t="str">
        <f t="shared" si="34"/>
        <v>18.9042789860876-1.6023432405897i</v>
      </c>
      <c r="AB95" s="227">
        <f t="shared" si="44"/>
        <v>25.562292289199252</v>
      </c>
      <c r="AC95" s="227">
        <f t="shared" si="45"/>
        <v>-4.8448601076821731</v>
      </c>
      <c r="AD95" s="229">
        <f t="shared" si="46"/>
        <v>7.8715167432282076</v>
      </c>
      <c r="AE95" s="229">
        <f t="shared" si="47"/>
        <v>96.658807655685948</v>
      </c>
      <c r="AF95" s="227">
        <f t="shared" si="35"/>
        <v>33.433809032427462</v>
      </c>
      <c r="AG95" s="227">
        <f t="shared" si="36"/>
        <v>91.813947548003767</v>
      </c>
      <c r="AH95" s="229" t="str">
        <f t="shared" si="37"/>
        <v>0.286993189222073-2.45830791219622i</v>
      </c>
    </row>
    <row r="96" spans="9:34" x14ac:dyDescent="0.2">
      <c r="I96" s="227">
        <v>92</v>
      </c>
      <c r="J96" s="227">
        <f t="shared" si="25"/>
        <v>1.8970112724640729</v>
      </c>
      <c r="K96" s="227">
        <f t="shared" si="48"/>
        <v>78.888059338582948</v>
      </c>
      <c r="L96" s="227">
        <f t="shared" si="38"/>
        <v>495.66829534809574</v>
      </c>
      <c r="M96" s="227">
        <f t="shared" si="26"/>
        <v>5739.481652814954</v>
      </c>
      <c r="N96" s="227">
        <f>SQRT((ABS(AC96)-171.5+'Small Signal'!C$59)^2)</f>
        <v>96.545611866359451</v>
      </c>
      <c r="O96" s="227">
        <f t="shared" si="39"/>
        <v>91.843012354591551</v>
      </c>
      <c r="P96" s="227">
        <f t="shared" si="40"/>
        <v>33.240058738275778</v>
      </c>
      <c r="Q96" s="227">
        <f t="shared" si="41"/>
        <v>78.888059338582948</v>
      </c>
      <c r="R96" s="227" t="str">
        <f t="shared" si="27"/>
        <v>0.0878666666666667+0.00232964098813605i</v>
      </c>
      <c r="S96" s="227" t="str">
        <f t="shared" si="28"/>
        <v>0.0085-77.2651240756276i</v>
      </c>
      <c r="T96" s="227" t="str">
        <f t="shared" si="29"/>
        <v>12.7253839164209-2.15600167638049i</v>
      </c>
      <c r="U96" s="227" t="str">
        <f t="shared" si="30"/>
        <v>80.9854267855569-2.1139901194182i</v>
      </c>
      <c r="V96" s="227">
        <f t="shared" si="42"/>
        <v>38.171095711395829</v>
      </c>
      <c r="W96" s="227">
        <f t="shared" si="43"/>
        <v>-1.4952716488583564</v>
      </c>
      <c r="X96" s="227" t="str">
        <f t="shared" si="31"/>
        <v>0.999999955745238-0.0000619493836407873i</v>
      </c>
      <c r="Y96" s="227" t="str">
        <f t="shared" si="32"/>
        <v>62.0241263437849+3.86906815686109i</v>
      </c>
      <c r="Z96" s="227" t="str">
        <f t="shared" si="33"/>
        <v>32.299583480679+2.01284094298506i</v>
      </c>
      <c r="AA96" s="227" t="str">
        <f t="shared" si="34"/>
        <v>18.8983646780434-1.63823400791252i</v>
      </c>
      <c r="AB96" s="227">
        <f t="shared" si="44"/>
        <v>25.560997804946027</v>
      </c>
      <c r="AC96" s="227">
        <f t="shared" si="45"/>
        <v>-4.9543881336405589</v>
      </c>
      <c r="AD96" s="229">
        <f t="shared" si="46"/>
        <v>7.6790609333297546</v>
      </c>
      <c r="AE96" s="229">
        <f t="shared" si="47"/>
        <v>96.797400488232114</v>
      </c>
      <c r="AF96" s="227">
        <f t="shared" si="35"/>
        <v>33.240058738275778</v>
      </c>
      <c r="AG96" s="227">
        <f t="shared" si="36"/>
        <v>91.843012354591551</v>
      </c>
      <c r="AH96" s="229" t="str">
        <f t="shared" si="37"/>
        <v>0.28651939827891-2.40375144746626i</v>
      </c>
    </row>
    <row r="97" spans="9:34" x14ac:dyDescent="0.2">
      <c r="I97" s="227">
        <v>93</v>
      </c>
      <c r="J97" s="227">
        <f t="shared" si="25"/>
        <v>1.9067613949908562</v>
      </c>
      <c r="K97" s="227">
        <f t="shared" si="48"/>
        <v>80.67916504026104</v>
      </c>
      <c r="L97" s="227">
        <f t="shared" si="38"/>
        <v>506.92214437648511</v>
      </c>
      <c r="M97" s="227">
        <f t="shared" si="26"/>
        <v>5737.649881140992</v>
      </c>
      <c r="N97" s="227">
        <f>SQRT((ABS(AC97)-171.5+'Small Signal'!C$59)^2)</f>
        <v>96.433629744409956</v>
      </c>
      <c r="O97" s="227">
        <f t="shared" si="39"/>
        <v>91.872931118446232</v>
      </c>
      <c r="P97" s="227">
        <f t="shared" si="40"/>
        <v>33.046364440287817</v>
      </c>
      <c r="Q97" s="227">
        <f t="shared" si="41"/>
        <v>80.67916504026104</v>
      </c>
      <c r="R97" s="227" t="str">
        <f t="shared" si="27"/>
        <v>0.0878666666666667+0.00238253407856948i</v>
      </c>
      <c r="S97" s="227" t="str">
        <f t="shared" si="28"/>
        <v>0.0085-75.5498112782822i</v>
      </c>
      <c r="T97" s="227" t="str">
        <f t="shared" si="29"/>
        <v>12.7090873638689-2.20212676920313i</v>
      </c>
      <c r="U97" s="227" t="str">
        <f t="shared" si="30"/>
        <v>80.9851553520143-2.16203139254123i</v>
      </c>
      <c r="V97" s="227">
        <f t="shared" si="42"/>
        <v>38.171202552350032</v>
      </c>
      <c r="W97" s="227">
        <f t="shared" si="43"/>
        <v>-1.529241463305191</v>
      </c>
      <c r="X97" s="227" t="str">
        <f t="shared" si="31"/>
        <v>0.99999995371287-0.0000633559069496981i</v>
      </c>
      <c r="Y97" s="227" t="str">
        <f t="shared" si="32"/>
        <v>62.0295444365995+3.95688191152153i</v>
      </c>
      <c r="Z97" s="227" t="str">
        <f t="shared" si="33"/>
        <v>32.3024106525165+2.05852490188948i</v>
      </c>
      <c r="AA97" s="227" t="str">
        <f t="shared" si="34"/>
        <v>18.8921825386451-1.67490587140398i</v>
      </c>
      <c r="AB97" s="227">
        <f t="shared" si="44"/>
        <v>25.559644286981147</v>
      </c>
      <c r="AC97" s="227">
        <f t="shared" si="45"/>
        <v>-5.0663702555900461</v>
      </c>
      <c r="AD97" s="229">
        <f t="shared" si="46"/>
        <v>7.486720153306667</v>
      </c>
      <c r="AE97" s="229">
        <f t="shared" si="47"/>
        <v>96.939301374036276</v>
      </c>
      <c r="AF97" s="227">
        <f t="shared" si="35"/>
        <v>33.046364440287817</v>
      </c>
      <c r="AG97" s="227">
        <f t="shared" si="36"/>
        <v>91.872931118446232</v>
      </c>
      <c r="AH97" s="229" t="str">
        <f t="shared" si="37"/>
        <v>0.28606640763498-2.35040640427084i</v>
      </c>
    </row>
    <row r="98" spans="9:34" x14ac:dyDescent="0.2">
      <c r="I98" s="227">
        <v>94</v>
      </c>
      <c r="J98" s="227">
        <f t="shared" si="25"/>
        <v>1.9165115175176397</v>
      </c>
      <c r="K98" s="227">
        <f t="shared" si="48"/>
        <v>82.510936714222979</v>
      </c>
      <c r="L98" s="227">
        <f t="shared" si="38"/>
        <v>518.43150524443047</v>
      </c>
      <c r="M98" s="227">
        <f t="shared" si="26"/>
        <v>5735.7765201984275</v>
      </c>
      <c r="N98" s="227">
        <f>SQRT((ABS(AC98)-171.5+'Small Signal'!C$59)^2)</f>
        <v>96.319140062144299</v>
      </c>
      <c r="O98" s="227">
        <f t="shared" si="39"/>
        <v>91.903713808324056</v>
      </c>
      <c r="P98" s="227">
        <f t="shared" si="40"/>
        <v>32.852728615699604</v>
      </c>
      <c r="Q98" s="227">
        <f t="shared" si="41"/>
        <v>82.510936714222979</v>
      </c>
      <c r="R98" s="227" t="str">
        <f t="shared" si="27"/>
        <v>0.0878666666666667+0.00243662807464882i</v>
      </c>
      <c r="S98" s="227" t="str">
        <f t="shared" si="28"/>
        <v>0.0085-73.8725790253986i</v>
      </c>
      <c r="T98" s="227" t="str">
        <f t="shared" si="29"/>
        <v>12.6920870330204-2.24911015328922i</v>
      </c>
      <c r="U98" s="227" t="str">
        <f t="shared" si="30"/>
        <v>80.9848713442234-2.21116650724167i</v>
      </c>
      <c r="V98" s="227">
        <f t="shared" si="42"/>
        <v>38.171314297463127</v>
      </c>
      <c r="W98" s="227">
        <f t="shared" si="43"/>
        <v>-1.5639839757131053</v>
      </c>
      <c r="X98" s="227" t="str">
        <f t="shared" si="31"/>
        <v>0.999999951587167-0.0000647943645201342i</v>
      </c>
      <c r="Y98" s="227" t="str">
        <f t="shared" si="32"/>
        <v>62.0352115559341+4.04668725131537i</v>
      </c>
      <c r="Z98" s="227" t="str">
        <f t="shared" si="33"/>
        <v>32.3053677665753+2.1052449430652i</v>
      </c>
      <c r="AA98" s="227" t="str">
        <f t="shared" si="34"/>
        <v>18.8857206191204-1.71237424940323i</v>
      </c>
      <c r="AB98" s="227">
        <f t="shared" si="44"/>
        <v>25.558229062890216</v>
      </c>
      <c r="AC98" s="227">
        <f t="shared" si="45"/>
        <v>-5.1808599378556863</v>
      </c>
      <c r="AD98" s="229">
        <f t="shared" si="46"/>
        <v>7.2944995528093894</v>
      </c>
      <c r="AE98" s="229">
        <f t="shared" si="47"/>
        <v>97.084573746179743</v>
      </c>
      <c r="AF98" s="227">
        <f t="shared" si="35"/>
        <v>32.852728615699604</v>
      </c>
      <c r="AG98" s="227">
        <f t="shared" si="36"/>
        <v>91.903713808324056</v>
      </c>
      <c r="AH98" s="229" t="str">
        <f t="shared" si="37"/>
        <v>0.285633303962389-2.29824590591357i</v>
      </c>
    </row>
    <row r="99" spans="9:34" x14ac:dyDescent="0.2">
      <c r="I99" s="227">
        <v>95</v>
      </c>
      <c r="J99" s="227">
        <f t="shared" si="25"/>
        <v>1.926261640044423</v>
      </c>
      <c r="K99" s="227">
        <f t="shared" si="48"/>
        <v>84.384297656787894</v>
      </c>
      <c r="L99" s="227">
        <f t="shared" si="38"/>
        <v>530.20217919379843</v>
      </c>
      <c r="M99" s="227">
        <f t="shared" si="26"/>
        <v>5733.8606257280553</v>
      </c>
      <c r="N99" s="227">
        <f>SQRT((ABS(AC99)-171.5+'Small Signal'!C$59)^2)</f>
        <v>96.202088295861842</v>
      </c>
      <c r="O99" s="227">
        <f t="shared" si="39"/>
        <v>91.935370485445944</v>
      </c>
      <c r="P99" s="227">
        <f t="shared" si="40"/>
        <v>32.659153844912154</v>
      </c>
      <c r="Q99" s="227">
        <f t="shared" si="41"/>
        <v>84.384297656787894</v>
      </c>
      <c r="R99" s="227" t="str">
        <f t="shared" si="27"/>
        <v>0.0878666666666667+0.00249195024221085i</v>
      </c>
      <c r="S99" s="227" t="str">
        <f t="shared" si="28"/>
        <v>0.0085-72.2325819155621i</v>
      </c>
      <c r="T99" s="227" t="str">
        <f t="shared" si="29"/>
        <v>12.6743546007013-2.29695905574177i</v>
      </c>
      <c r="U99" s="227" t="str">
        <f t="shared" si="30"/>
        <v>80.9845741744853-2.26142051402844i</v>
      </c>
      <c r="V99" s="227">
        <f t="shared" si="42"/>
        <v>38.17143117172607</v>
      </c>
      <c r="W99" s="227">
        <f t="shared" si="43"/>
        <v>-1.5995168296607243</v>
      </c>
      <c r="X99" s="227" t="str">
        <f t="shared" si="31"/>
        <v>0.999999949363842-0.0000662654814002i</v>
      </c>
      <c r="Y99" s="227" t="str">
        <f t="shared" si="32"/>
        <v>62.0411391573629+4.13852924182045i</v>
      </c>
      <c r="Z99" s="227" t="str">
        <f t="shared" si="33"/>
        <v>32.3084608003521+2.15302451000693i</v>
      </c>
      <c r="AA99" s="227" t="str">
        <f t="shared" si="34"/>
        <v>18.8789664544022-1.75065475337356i</v>
      </c>
      <c r="AB99" s="227">
        <f t="shared" si="44"/>
        <v>25.556749341122604</v>
      </c>
      <c r="AC99" s="227">
        <f t="shared" si="45"/>
        <v>-5.2979117041381647</v>
      </c>
      <c r="AD99" s="229">
        <f t="shared" si="46"/>
        <v>7.102404503789554</v>
      </c>
      <c r="AE99" s="229">
        <f t="shared" si="47"/>
        <v>97.233282189584102</v>
      </c>
      <c r="AF99" s="227">
        <f t="shared" si="35"/>
        <v>32.659153844912154</v>
      </c>
      <c r="AG99" s="227">
        <f t="shared" si="36"/>
        <v>91.935370485445944</v>
      </c>
      <c r="AH99" s="229" t="str">
        <f t="shared" si="37"/>
        <v>0.285219214025561-2.24724367200486i</v>
      </c>
    </row>
    <row r="100" spans="9:34" x14ac:dyDescent="0.2">
      <c r="I100" s="227">
        <v>96</v>
      </c>
      <c r="J100" s="227">
        <f t="shared" si="25"/>
        <v>1.9360117625712063</v>
      </c>
      <c r="K100" s="227">
        <f t="shared" si="48"/>
        <v>86.300192127160031</v>
      </c>
      <c r="L100" s="227">
        <f t="shared" si="38"/>
        <v>542.24009918014735</v>
      </c>
      <c r="M100" s="227">
        <f t="shared" si="26"/>
        <v>5731.901232031837</v>
      </c>
      <c r="N100" s="227">
        <f>SQRT((ABS(AC100)-171.5+'Small Signal'!C$59)^2)</f>
        <v>96.082418848896339</v>
      </c>
      <c r="O100" s="227">
        <f t="shared" si="39"/>
        <v>91.967911286200945</v>
      </c>
      <c r="P100" s="227">
        <f t="shared" si="40"/>
        <v>32.465642815357931</v>
      </c>
      <c r="Q100" s="227">
        <f t="shared" si="41"/>
        <v>86.300192127160031</v>
      </c>
      <c r="R100" s="227" t="str">
        <f t="shared" si="27"/>
        <v>0.0878666666666667+0.00254852846614669i</v>
      </c>
      <c r="S100" s="227" t="str">
        <f t="shared" si="28"/>
        <v>0.0085-70.6289933155644i</v>
      </c>
      <c r="T100" s="227" t="str">
        <f t="shared" si="29"/>
        <v>12.655860791572-2.34568011523133i</v>
      </c>
      <c r="U100" s="227" t="str">
        <f t="shared" si="30"/>
        <v>80.9842632271491-2.31281904717735i</v>
      </c>
      <c r="V100" s="227">
        <f t="shared" si="42"/>
        <v>38.171553410440836</v>
      </c>
      <c r="W100" s="227">
        <f t="shared" si="43"/>
        <v>-1.6358580762810742</v>
      </c>
      <c r="X100" s="227" t="str">
        <f t="shared" si="31"/>
        <v>0.999999947038413-0.0000677699990997791i</v>
      </c>
      <c r="Y100" s="227" t="str">
        <f t="shared" si="32"/>
        <v>62.0473392243537+4.23245396111016i</v>
      </c>
      <c r="Z100" s="227" t="str">
        <f t="shared" si="33"/>
        <v>32.3116960067947+2.20188757285024i</v>
      </c>
      <c r="AA100" s="227" t="str">
        <f t="shared" si="34"/>
        <v>18.8719070423878-1.78976318186825i</v>
      </c>
      <c r="AB100" s="227">
        <f t="shared" si="44"/>
        <v>25.555202205851906</v>
      </c>
      <c r="AC100" s="227">
        <f t="shared" si="45"/>
        <v>-5.4175811511036729</v>
      </c>
      <c r="AD100" s="229">
        <f t="shared" si="46"/>
        <v>6.9104406095060238</v>
      </c>
      <c r="AE100" s="229">
        <f t="shared" si="47"/>
        <v>97.38549243730462</v>
      </c>
      <c r="AF100" s="227">
        <f t="shared" si="35"/>
        <v>32.465642815357931</v>
      </c>
      <c r="AG100" s="227">
        <f t="shared" si="36"/>
        <v>91.967911286200945</v>
      </c>
      <c r="AH100" s="229" t="str">
        <f t="shared" si="37"/>
        <v>0.284823302921147-2.19737400526475i</v>
      </c>
    </row>
    <row r="101" spans="9:34" x14ac:dyDescent="0.2">
      <c r="I101" s="227">
        <v>97</v>
      </c>
      <c r="J101" s="227">
        <f t="shared" si="25"/>
        <v>1.9457618850979896</v>
      </c>
      <c r="K101" s="227">
        <f t="shared" si="48"/>
        <v>88.259585823377776</v>
      </c>
      <c r="L101" s="227">
        <f t="shared" si="38"/>
        <v>554.5513328632029</v>
      </c>
      <c r="M101" s="227">
        <f t="shared" si="26"/>
        <v>5729.8973514861455</v>
      </c>
      <c r="N101" s="227">
        <f>SQRT((ABS(AC101)-171.5+'Small Signal'!C$59)^2)</f>
        <v>95.960075038411475</v>
      </c>
      <c r="O101" s="227">
        <f t="shared" si="39"/>
        <v>92.001346403503433</v>
      </c>
      <c r="P101" s="227">
        <f t="shared" si="40"/>
        <v>32.272198325464316</v>
      </c>
      <c r="Q101" s="227">
        <f t="shared" si="41"/>
        <v>88.259585823377776</v>
      </c>
      <c r="R101" s="227" t="str">
        <f t="shared" si="27"/>
        <v>0.0878666666666667+0.00260639126445705i</v>
      </c>
      <c r="S101" s="227" t="str">
        <f t="shared" si="28"/>
        <v>0.0085-69.0610049437439i</v>
      </c>
      <c r="T101" s="227" t="str">
        <f t="shared" si="29"/>
        <v>12.6365753634838-2.39527932734042i</v>
      </c>
      <c r="U101" s="227" t="str">
        <f t="shared" si="30"/>
        <v>80.9839378572357-2.36538833903025i</v>
      </c>
      <c r="V101" s="227">
        <f t="shared" si="42"/>
        <v>38.171681259691738</v>
      </c>
      <c r="W101" s="227">
        <f t="shared" si="43"/>
        <v>-1.673026184000723</v>
      </c>
      <c r="X101" s="227" t="str">
        <f t="shared" si="31"/>
        <v>0.99999994460619-0.0000693086759642886i</v>
      </c>
      <c r="Y101" s="227" t="str">
        <f t="shared" si="32"/>
        <v>62.053824292678+4.32850852198613i</v>
      </c>
      <c r="Z101" s="227" t="str">
        <f t="shared" si="33"/>
        <v>32.3150799270385+2.25185863993085i</v>
      </c>
      <c r="AA101" s="227" t="str">
        <f t="shared" si="34"/>
        <v>18.8645288225137-1.82971551369315i</v>
      </c>
      <c r="AB101" s="227">
        <f t="shared" si="44"/>
        <v>25.553584611630875</v>
      </c>
      <c r="AC101" s="227">
        <f t="shared" si="45"/>
        <v>-5.5399249615885298</v>
      </c>
      <c r="AD101" s="229">
        <f t="shared" si="46"/>
        <v>6.7186137138334381</v>
      </c>
      <c r="AE101" s="229">
        <f t="shared" si="47"/>
        <v>97.541271365091959</v>
      </c>
      <c r="AF101" s="227">
        <f t="shared" si="35"/>
        <v>32.272198325464316</v>
      </c>
      <c r="AG101" s="227">
        <f t="shared" si="36"/>
        <v>92.001346403503433</v>
      </c>
      <c r="AH101" s="229" t="str">
        <f t="shared" si="37"/>
        <v>0.284444772395162-2.1486117786164i</v>
      </c>
    </row>
    <row r="102" spans="9:34" x14ac:dyDescent="0.2">
      <c r="I102" s="227">
        <v>98</v>
      </c>
      <c r="J102" s="227">
        <f t="shared" si="25"/>
        <v>1.9555120076247732</v>
      </c>
      <c r="K102" s="227">
        <f t="shared" si="48"/>
        <v>90.263466369070059</v>
      </c>
      <c r="L102" s="227">
        <f t="shared" si="38"/>
        <v>567.14208566523973</v>
      </c>
      <c r="M102" s="227">
        <f t="shared" si="26"/>
        <v>5727.8479740439516</v>
      </c>
      <c r="N102" s="227">
        <f>SQRT((ABS(AC102)-171.5+'Small Signal'!C$59)^2)</f>
        <v>95.834999082635079</v>
      </c>
      <c r="O102" s="227">
        <f t="shared" si="39"/>
        <v>92.035686066717602</v>
      </c>
      <c r="P102" s="227">
        <f t="shared" si="40"/>
        <v>32.078823288711973</v>
      </c>
      <c r="Q102" s="227">
        <f t="shared" si="41"/>
        <v>90.263466369070059</v>
      </c>
      <c r="R102" s="227" t="str">
        <f t="shared" si="27"/>
        <v>0.0878666666666667+0.00266556780262663i</v>
      </c>
      <c r="S102" s="227" t="str">
        <f t="shared" si="28"/>
        <v>0.0085-67.5278264625755i</v>
      </c>
      <c r="T102" s="227" t="str">
        <f t="shared" si="29"/>
        <v>12.616467094409-2.44576198696274i</v>
      </c>
      <c r="U102" s="227" t="str">
        <f t="shared" si="30"/>
        <v>80.983597388994-2.41915523469217i</v>
      </c>
      <c r="V102" s="227">
        <f t="shared" si="42"/>
        <v>38.171814976838597</v>
      </c>
      <c r="W102" s="227">
        <f t="shared" si="43"/>
        <v>-1.7110400485342925</v>
      </c>
      <c r="X102" s="227" t="str">
        <f t="shared" si="31"/>
        <v>0.999999942062269-0.0000708822875569202i</v>
      </c>
      <c r="Y102" s="227" t="str">
        <f t="shared" si="32"/>
        <v>62.060607475964+4.42674109466136i</v>
      </c>
      <c r="Z102" s="227" t="str">
        <f t="shared" si="33"/>
        <v>32.31861940374+2.30296276957784i</v>
      </c>
      <c r="AA102" s="227" t="str">
        <f t="shared" si="34"/>
        <v>18.8568176536374-1.87052790020787i</v>
      </c>
      <c r="AB102" s="227">
        <f t="shared" si="44"/>
        <v>25.551893377833611</v>
      </c>
      <c r="AC102" s="227">
        <f t="shared" si="45"/>
        <v>-5.6650009173649138</v>
      </c>
      <c r="AD102" s="229">
        <f t="shared" si="46"/>
        <v>6.5269299108783621</v>
      </c>
      <c r="AE102" s="229">
        <f t="shared" si="47"/>
        <v>97.700686984082509</v>
      </c>
      <c r="AF102" s="227">
        <f t="shared" si="35"/>
        <v>32.078823288711973</v>
      </c>
      <c r="AG102" s="227">
        <f t="shared" si="36"/>
        <v>92.035686066717602</v>
      </c>
      <c r="AH102" s="229" t="str">
        <f t="shared" si="37"/>
        <v>0.284082859233965-2.10093242256408i</v>
      </c>
    </row>
    <row r="103" spans="9:34" x14ac:dyDescent="0.2">
      <c r="I103" s="227">
        <v>99</v>
      </c>
      <c r="J103" s="227">
        <f t="shared" si="25"/>
        <v>1.9652621301515567</v>
      </c>
      <c r="K103" s="227">
        <f t="shared" si="48"/>
        <v>92.312843811263079</v>
      </c>
      <c r="L103" s="227">
        <f t="shared" si="38"/>
        <v>580.01870389889223</v>
      </c>
      <c r="M103" s="227">
        <f t="shared" si="26"/>
        <v>5725.7520667257249</v>
      </c>
      <c r="N103" s="227">
        <f>SQRT((ABS(AC103)-171.5+'Small Signal'!C$59)^2)</f>
        <v>95.707132088587713</v>
      </c>
      <c r="O103" s="227">
        <f t="shared" si="39"/>
        <v>92.070940520058429</v>
      </c>
      <c r="P103" s="227">
        <f t="shared" si="40"/>
        <v>31.88552073778542</v>
      </c>
      <c r="Q103" s="227">
        <f t="shared" si="41"/>
        <v>92.312843811263079</v>
      </c>
      <c r="R103" s="227" t="str">
        <f t="shared" si="27"/>
        <v>0.0878666666666667+0.00272608790832479i</v>
      </c>
      <c r="S103" s="227" t="str">
        <f t="shared" si="28"/>
        <v>0.0085-66.0286850803032i</v>
      </c>
      <c r="T103" s="227" t="str">
        <f t="shared" si="29"/>
        <v>12.5955037711673-2.49713262768763i</v>
      </c>
      <c r="U103" s="227" t="str">
        <f t="shared" si="30"/>
        <v>80.9832411143783-2.47414720713937i</v>
      </c>
      <c r="V103" s="227">
        <f t="shared" si="42"/>
        <v>38.171954831032068</v>
      </c>
      <c r="W103" s="227">
        <f t="shared" si="43"/>
        <v>-1.7499190031418044</v>
      </c>
      <c r="X103" s="227" t="str">
        <f t="shared" si="31"/>
        <v>0.999999939401521-0.0000724916270495587i</v>
      </c>
      <c r="Y103" s="227" t="str">
        <f t="shared" si="32"/>
        <v>62.0677024924353+4.52720092990106i</v>
      </c>
      <c r="Z103" s="227" t="str">
        <f t="shared" si="33"/>
        <v>32.3223215950279+2.35522558214445i</v>
      </c>
      <c r="AA103" s="227" t="str">
        <f t="shared" si="34"/>
        <v>18.8487587912216-1.91221665670506i</v>
      </c>
      <c r="AB103" s="227">
        <f t="shared" si="44"/>
        <v>25.550125182879185</v>
      </c>
      <c r="AC103" s="227">
        <f t="shared" si="45"/>
        <v>-5.7928679114122836</v>
      </c>
      <c r="AD103" s="229">
        <f t="shared" si="46"/>
        <v>6.3353955549062366</v>
      </c>
      <c r="AE103" s="229">
        <f t="shared" si="47"/>
        <v>97.863808431470716</v>
      </c>
      <c r="AF103" s="227">
        <f t="shared" si="35"/>
        <v>31.88552073778542</v>
      </c>
      <c r="AG103" s="227">
        <f t="shared" si="36"/>
        <v>92.070940520058429</v>
      </c>
      <c r="AH103" s="229" t="str">
        <f t="shared" si="37"/>
        <v>0.283736833725842-2.05431191284932i</v>
      </c>
    </row>
    <row r="104" spans="9:34" x14ac:dyDescent="0.2">
      <c r="I104" s="227">
        <v>100</v>
      </c>
      <c r="J104" s="227">
        <f t="shared" si="25"/>
        <v>1.97501225267834</v>
      </c>
      <c r="K104" s="227">
        <f t="shared" si="48"/>
        <v>94.408751129490213</v>
      </c>
      <c r="L104" s="227">
        <f t="shared" si="38"/>
        <v>593.18767796598706</v>
      </c>
      <c r="M104" s="227">
        <f t="shared" si="26"/>
        <v>5723.6085730987543</v>
      </c>
      <c r="N104" s="227">
        <f>SQRT((ABS(AC104)-171.5+'Small Signal'!C$59)^2)</f>
        <v>95.576414040367496</v>
      </c>
      <c r="O104" s="227">
        <f t="shared" si="39"/>
        <v>92.10711999937601</v>
      </c>
      <c r="P104" s="227">
        <f t="shared" si="40"/>
        <v>31.692293828811216</v>
      </c>
      <c r="Q104" s="227">
        <f t="shared" si="41"/>
        <v>94.408751129490213</v>
      </c>
      <c r="R104" s="227" t="str">
        <f t="shared" si="27"/>
        <v>0.0878666666666667+0.00278798208644014i</v>
      </c>
      <c r="S104" s="227" t="str">
        <f t="shared" si="28"/>
        <v>0.0085-64.5628251614179i</v>
      </c>
      <c r="T104" s="227" t="str">
        <f t="shared" si="29"/>
        <v>12.5736521801857-2.54939495810883i</v>
      </c>
      <c r="U104" s="227" t="str">
        <f t="shared" si="30"/>
        <v>80.9828682914455-2.53039237275407i</v>
      </c>
      <c r="V104" s="227">
        <f t="shared" si="42"/>
        <v>38.172101103752347</v>
      </c>
      <c r="W104" s="227">
        <f t="shared" si="43"/>
        <v>-1.7896828291580529</v>
      </c>
      <c r="X104" s="227" t="str">
        <f t="shared" si="31"/>
        <v>0.999999936618579-0.0000741375056225772i</v>
      </c>
      <c r="Y104" s="227" t="str">
        <f t="shared" si="32"/>
        <v>62.0751236928972+4.62993838262654i</v>
      </c>
      <c r="Z104" s="227" t="str">
        <f t="shared" si="33"/>
        <v>32.3261939891064+2.4086732722792i</v>
      </c>
      <c r="AA104" s="227" t="str">
        <f t="shared" si="34"/>
        <v>18.840336863814-1.95479825280258i</v>
      </c>
      <c r="AB104" s="227">
        <f t="shared" si="44"/>
        <v>25.548276558228462</v>
      </c>
      <c r="AC104" s="227">
        <f t="shared" si="45"/>
        <v>-5.9235859596325078</v>
      </c>
      <c r="AD104" s="229">
        <f t="shared" si="46"/>
        <v>6.1440172705827525</v>
      </c>
      <c r="AE104" s="229">
        <f t="shared" si="47"/>
        <v>98.030705959008515</v>
      </c>
      <c r="AF104" s="227">
        <f t="shared" si="35"/>
        <v>31.692293828811216</v>
      </c>
      <c r="AG104" s="227">
        <f t="shared" si="36"/>
        <v>92.10711999937601</v>
      </c>
      <c r="AH104" s="229" t="str">
        <f t="shared" si="37"/>
        <v>0.283405998190105-2.00872675837927i</v>
      </c>
    </row>
    <row r="105" spans="9:34" x14ac:dyDescent="0.2">
      <c r="I105" s="227">
        <v>101</v>
      </c>
      <c r="J105" s="227">
        <f t="shared" si="25"/>
        <v>1.9847623752051233</v>
      </c>
      <c r="K105" s="227">
        <f t="shared" si="48"/>
        <v>96.552244756460979</v>
      </c>
      <c r="L105" s="227">
        <f t="shared" si="38"/>
        <v>606.65564562900283</v>
      </c>
      <c r="M105" s="227">
        <f t="shared" si="26"/>
        <v>5721.4164127446647</v>
      </c>
      <c r="N105" s="227">
        <f>SQRT((ABS(AC105)-171.5+'Small Signal'!C$59)^2)</f>
        <v>95.442783788057</v>
      </c>
      <c r="O105" s="227">
        <f t="shared" si="39"/>
        <v>92.144234707224328</v>
      </c>
      <c r="P105" s="227">
        <f t="shared" si="40"/>
        <v>31.499145845681099</v>
      </c>
      <c r="Q105" s="227">
        <f t="shared" si="41"/>
        <v>96.552244756460979</v>
      </c>
      <c r="R105" s="227" t="str">
        <f t="shared" si="27"/>
        <v>0.0878666666666667+0.00285128153445631i</v>
      </c>
      <c r="S105" s="227" t="str">
        <f t="shared" si="28"/>
        <v>0.0085-63.1295078457846i</v>
      </c>
      <c r="T105" s="227" t="str">
        <f t="shared" si="29"/>
        <v>12.5508781005464-2.60255179500639i</v>
      </c>
      <c r="U105" s="227" t="str">
        <f t="shared" si="30"/>
        <v>80.9824781426706-2.58791950730087i</v>
      </c>
      <c r="V105" s="227">
        <f t="shared" si="42"/>
        <v>38.172254089372672</v>
      </c>
      <c r="W105" s="227">
        <f t="shared" si="43"/>
        <v>-1.8303517668024747</v>
      </c>
      <c r="X105" s="227" t="str">
        <f t="shared" si="31"/>
        <v>0.999999933707833-0.000075820752873709i</v>
      </c>
      <c r="Y105" s="227" t="str">
        <f t="shared" si="32"/>
        <v>62.0828860900333+4.73500493598838i</v>
      </c>
      <c r="Z105" s="227" t="str">
        <f t="shared" si="33"/>
        <v>32.3302444195411+2.46333262144051i</v>
      </c>
      <c r="AA105" s="227" t="str">
        <f t="shared" si="34"/>
        <v>18.8315358488236-1.99828930178053i</v>
      </c>
      <c r="AB105" s="227">
        <f t="shared" si="44"/>
        <v>25.546343882148879</v>
      </c>
      <c r="AC105" s="227">
        <f t="shared" si="45"/>
        <v>-6.0572162119429898</v>
      </c>
      <c r="AD105" s="229">
        <f t="shared" si="46"/>
        <v>5.9528019635322202</v>
      </c>
      <c r="AE105" s="229">
        <f t="shared" si="47"/>
        <v>98.201450919167314</v>
      </c>
      <c r="AF105" s="227">
        <f t="shared" si="35"/>
        <v>31.499145845681099</v>
      </c>
      <c r="AG105" s="227">
        <f t="shared" si="36"/>
        <v>92.144234707224328</v>
      </c>
      <c r="AH105" s="229" t="str">
        <f t="shared" si="37"/>
        <v>0.283089685570718-1.96415398942138i</v>
      </c>
    </row>
    <row r="106" spans="9:34" x14ac:dyDescent="0.2">
      <c r="I106" s="227">
        <v>102</v>
      </c>
      <c r="J106" s="227">
        <f t="shared" si="25"/>
        <v>1.9945124977319069</v>
      </c>
      <c r="K106" s="227">
        <f t="shared" si="48"/>
        <v>98.744405110550744</v>
      </c>
      <c r="L106" s="227">
        <f t="shared" si="38"/>
        <v>620.42939535680125</v>
      </c>
      <c r="M106" s="227">
        <f t="shared" si="26"/>
        <v>5719.1744807148343</v>
      </c>
      <c r="N106" s="227">
        <f>SQRT((ABS(AC106)-171.5+'Small Signal'!C$59)^2)</f>
        <v>95.306179037319282</v>
      </c>
      <c r="O106" s="227">
        <f t="shared" si="39"/>
        <v>92.182294786111342</v>
      </c>
      <c r="P106" s="227">
        <f t="shared" si="40"/>
        <v>31.306080204453579</v>
      </c>
      <c r="Q106" s="227">
        <f t="shared" si="41"/>
        <v>98.744405110550744</v>
      </c>
      <c r="R106" s="227" t="str">
        <f t="shared" si="27"/>
        <v>0.0878666666666667+0.00291601815817697i</v>
      </c>
      <c r="S106" s="227" t="str">
        <f t="shared" si="28"/>
        <v>0.0085-61.7280106762204i</v>
      </c>
      <c r="T106" s="227" t="str">
        <f t="shared" si="29"/>
        <v>12.5271462995963-2.65660499336293i</v>
      </c>
      <c r="U106" s="227" t="str">
        <f t="shared" si="30"/>
        <v>80.982069853169-2.64675806236105i</v>
      </c>
      <c r="V106" s="227">
        <f t="shared" si="42"/>
        <v>38.172414095748131</v>
      </c>
      <c r="W106" s="227">
        <f t="shared" si="43"/>
        <v>-1.8719465262789228</v>
      </c>
      <c r="X106" s="227" t="str">
        <f t="shared" si="31"/>
        <v>0.999999930663413-0.0000775422172362024i</v>
      </c>
      <c r="Y106" s="227" t="str">
        <f t="shared" si="32"/>
        <v>62.0910053890638+4.84245322591535i</v>
      </c>
      <c r="Z106" s="227" t="str">
        <f t="shared" si="33"/>
        <v>32.3344810812557+2.51923101065826i</v>
      </c>
      <c r="AA106" s="227" t="str">
        <f t="shared" si="34"/>
        <v>18.822339047591-2.04270654879189i</v>
      </c>
      <c r="AB106" s="227">
        <f t="shared" si="44"/>
        <v>25.544323373239024</v>
      </c>
      <c r="AC106" s="227">
        <f t="shared" si="45"/>
        <v>-6.1938209626807179</v>
      </c>
      <c r="AD106" s="229">
        <f t="shared" si="46"/>
        <v>5.7617568312145568</v>
      </c>
      <c r="AE106" s="229">
        <f t="shared" si="47"/>
        <v>98.37611574879206</v>
      </c>
      <c r="AF106" s="227">
        <f t="shared" si="35"/>
        <v>31.306080204453579</v>
      </c>
      <c r="AG106" s="227">
        <f t="shared" si="36"/>
        <v>92.182294786111342</v>
      </c>
      <c r="AH106" s="229" t="str">
        <f t="shared" si="37"/>
        <v>0.282787258091655-1.92057114605858i</v>
      </c>
    </row>
    <row r="107" spans="9:34" x14ac:dyDescent="0.2">
      <c r="I107" s="227">
        <v>103</v>
      </c>
      <c r="J107" s="227">
        <f t="shared" si="25"/>
        <v>2.0042626202586904</v>
      </c>
      <c r="K107" s="227">
        <f t="shared" si="48"/>
        <v>100.98633714038108</v>
      </c>
      <c r="L107" s="227">
        <f t="shared" si="38"/>
        <v>634.51586974632653</v>
      </c>
      <c r="M107" s="227">
        <f t="shared" si="26"/>
        <v>5716.8816469734511</v>
      </c>
      <c r="N107" s="227">
        <f>SQRT((ABS(AC107)-171.5+'Small Signal'!C$59)^2)</f>
        <v>95.166536339760967</v>
      </c>
      <c r="O107" s="227">
        <f t="shared" si="39"/>
        <v>92.221310289826874</v>
      </c>
      <c r="P107" s="227">
        <f t="shared" si="40"/>
        <v>31.11310045782767</v>
      </c>
      <c r="Q107" s="227">
        <f t="shared" si="41"/>
        <v>100.98633714038108</v>
      </c>
      <c r="R107" s="227" t="str">
        <f t="shared" si="27"/>
        <v>0.0878666666666667+0.00298222458780773i</v>
      </c>
      <c r="S107" s="227" t="str">
        <f t="shared" si="28"/>
        <v>0.0085-60.357627234346i</v>
      </c>
      <c r="T107" s="227" t="str">
        <f t="shared" si="29"/>
        <v>12.5024205314079-2.71155537318884i</v>
      </c>
      <c r="U107" s="227" t="str">
        <f t="shared" si="30"/>
        <v>80.9816425688249-2.70693818224176i</v>
      </c>
      <c r="V107" s="227">
        <f t="shared" si="42"/>
        <v>38.172581444831273</v>
      </c>
      <c r="W107" s="227">
        <f t="shared" si="43"/>
        <v>-1.9144882991749239</v>
      </c>
      <c r="X107" s="227" t="str">
        <f t="shared" si="31"/>
        <v>0.99999992747918-0.0000793027664064695i</v>
      </c>
      <c r="Y107" s="227" t="str">
        <f t="shared" si="32"/>
        <v>62.0994980198414+4.95233706614324i</v>
      </c>
      <c r="Z107" s="227" t="str">
        <f t="shared" si="33"/>
        <v>32.3389125472795+2.57639643354428i</v>
      </c>
      <c r="AA107" s="227" t="str">
        <f t="shared" si="34"/>
        <v>18.8127290597566-2.08806685786993i</v>
      </c>
      <c r="AB107" s="227">
        <f t="shared" si="44"/>
        <v>25.542211083706505</v>
      </c>
      <c r="AC107" s="227">
        <f t="shared" si="45"/>
        <v>-6.3334636602390368</v>
      </c>
      <c r="AD107" s="229">
        <f t="shared" si="46"/>
        <v>5.5708893741211671</v>
      </c>
      <c r="AE107" s="229">
        <f t="shared" si="47"/>
        <v>98.554773950065908</v>
      </c>
      <c r="AF107" s="227">
        <f t="shared" si="35"/>
        <v>31.11310045782767</v>
      </c>
      <c r="AG107" s="227">
        <f t="shared" si="36"/>
        <v>92.221310289826874</v>
      </c>
      <c r="AH107" s="229" t="str">
        <f t="shared" si="37"/>
        <v>0.282498105971252-1.87795626689921i</v>
      </c>
    </row>
    <row r="108" spans="9:34" x14ac:dyDescent="0.2">
      <c r="I108" s="227">
        <v>104</v>
      </c>
      <c r="J108" s="227">
        <f t="shared" si="25"/>
        <v>2.0140127427854737</v>
      </c>
      <c r="K108" s="227">
        <f t="shared" si="48"/>
        <v>103.27917088176403</v>
      </c>
      <c r="L108" s="227">
        <f t="shared" si="38"/>
        <v>648.92216902198948</v>
      </c>
      <c r="M108" s="227">
        <f t="shared" si="26"/>
        <v>5714.5367558279231</v>
      </c>
      <c r="N108" s="227">
        <f>SQRT((ABS(AC108)-171.5+'Small Signal'!C$59)^2)</f>
        <v>95.023791084138537</v>
      </c>
      <c r="O108" s="227">
        <f t="shared" si="39"/>
        <v>92.261291152734458</v>
      </c>
      <c r="P108" s="227">
        <f t="shared" si="40"/>
        <v>30.920210299683259</v>
      </c>
      <c r="Q108" s="227">
        <f t="shared" si="41"/>
        <v>103.27917088176403</v>
      </c>
      <c r="R108" s="227" t="str">
        <f t="shared" si="27"/>
        <v>0.0878666666666667+0.00304993419440335i</v>
      </c>
      <c r="S108" s="227" t="str">
        <f t="shared" si="28"/>
        <v>0.0085-59.0176667845166i</v>
      </c>
      <c r="T108" s="227" t="str">
        <f t="shared" si="29"/>
        <v>12.4766635384001-2.76740264314732i</v>
      </c>
      <c r="U108" s="227" t="str">
        <f t="shared" si="30"/>
        <v>80.9811953943213-2.76849072137853i</v>
      </c>
      <c r="V108" s="227">
        <f t="shared" si="42"/>
        <v>38.172756473315907</v>
      </c>
      <c r="W108" s="227">
        <f t="shared" si="43"/>
        <v>-1.9579987701709227</v>
      </c>
      <c r="X108" s="227" t="str">
        <f t="shared" si="31"/>
        <v>0.999999924148714-0.0000811032877814453i</v>
      </c>
      <c r="Y108" s="227" t="str">
        <f t="shared" si="32"/>
        <v>62.1083811704472+5.06471147373063i</v>
      </c>
      <c r="Z108" s="227" t="str">
        <f t="shared" si="33"/>
        <v>32.3435477862758+2.6348575095554i</v>
      </c>
      <c r="AA108" s="227" t="str">
        <f t="shared" si="34"/>
        <v>18.8026877569346-2.13438719765427i</v>
      </c>
      <c r="AB108" s="227">
        <f t="shared" si="44"/>
        <v>25.540002892393318</v>
      </c>
      <c r="AC108" s="227">
        <f t="shared" si="45"/>
        <v>-6.4762089158614531</v>
      </c>
      <c r="AD108" s="229">
        <f t="shared" si="46"/>
        <v>5.3802074072899417</v>
      </c>
      <c r="AE108" s="229">
        <f t="shared" si="47"/>
        <v>98.737500068595907</v>
      </c>
      <c r="AF108" s="227">
        <f t="shared" si="35"/>
        <v>30.920210299683259</v>
      </c>
      <c r="AG108" s="227">
        <f t="shared" si="36"/>
        <v>92.261291152734458</v>
      </c>
      <c r="AH108" s="229" t="str">
        <f t="shared" si="37"/>
        <v>0.282221646192974-1.83628787803627i</v>
      </c>
    </row>
    <row r="109" spans="9:34" x14ac:dyDescent="0.2">
      <c r="I109" s="227">
        <v>105</v>
      </c>
      <c r="J109" s="227">
        <f t="shared" si="25"/>
        <v>2.023762865312257</v>
      </c>
      <c r="K109" s="227">
        <f t="shared" si="48"/>
        <v>105.6240620272918</v>
      </c>
      <c r="L109" s="227">
        <f t="shared" si="38"/>
        <v>663.65555461450515</v>
      </c>
      <c r="M109" s="227">
        <f t="shared" si="26"/>
        <v>5712.138625346357</v>
      </c>
      <c r="N109" s="227">
        <f>SQRT((ABS(AC109)-171.5+'Small Signal'!C$59)^2)</f>
        <v>94.87787748849496</v>
      </c>
      <c r="O109" s="227">
        <f t="shared" si="39"/>
        <v>92.302247156916025</v>
      </c>
      <c r="P109" s="227">
        <f t="shared" si="40"/>
        <v>30.727413569677491</v>
      </c>
      <c r="Q109" s="227">
        <f t="shared" si="41"/>
        <v>105.6240620272918</v>
      </c>
      <c r="R109" s="227" t="str">
        <f t="shared" si="27"/>
        <v>0.0878666666666667+0.00311918110668817i</v>
      </c>
      <c r="S109" s="227" t="str">
        <f t="shared" si="28"/>
        <v>0.0085-57.707453925661i</v>
      </c>
      <c r="T109" s="227" t="str">
        <f t="shared" si="29"/>
        <v>12.4498370564462-2.82414532098782i</v>
      </c>
      <c r="U109" s="227" t="str">
        <f t="shared" si="30"/>
        <v>80.9807273910585-2.83144726224863i</v>
      </c>
      <c r="V109" s="227">
        <f t="shared" si="42"/>
        <v>38.17293953330956</v>
      </c>
      <c r="W109" s="227">
        <f t="shared" si="43"/>
        <v>-2.0025001290693858</v>
      </c>
      <c r="X109" s="227" t="str">
        <f t="shared" si="31"/>
        <v>0.999999920665298-0.0000829446889058755i</v>
      </c>
      <c r="Y109" s="227" t="str">
        <f t="shared" si="32"/>
        <v>62.117672822358+5.17963269506493i</v>
      </c>
      <c r="Z109" s="227" t="str">
        <f t="shared" si="33"/>
        <v>32.3483961808923+2.69464349751087i</v>
      </c>
      <c r="AA109" s="227" t="str">
        <f t="shared" si="34"/>
        <v>18.7921962556972-2.18168462575049i</v>
      </c>
      <c r="AB109" s="227">
        <f t="shared" si="44"/>
        <v>25.53769449753964</v>
      </c>
      <c r="AC109" s="227">
        <f t="shared" si="45"/>
        <v>-6.6221225115050366</v>
      </c>
      <c r="AD109" s="229">
        <f t="shared" si="46"/>
        <v>5.1897190721378506</v>
      </c>
      <c r="AE109" s="229">
        <f t="shared" si="47"/>
        <v>98.924369668421065</v>
      </c>
      <c r="AF109" s="227">
        <f t="shared" si="35"/>
        <v>30.727413569677491</v>
      </c>
      <c r="AG109" s="227">
        <f t="shared" si="36"/>
        <v>92.302247156916025</v>
      </c>
      <c r="AH109" s="229" t="str">
        <f t="shared" si="37"/>
        <v>0.28195732133013-1.79554498225057i</v>
      </c>
    </row>
    <row r="110" spans="9:34" x14ac:dyDescent="0.2">
      <c r="I110" s="227">
        <v>106</v>
      </c>
      <c r="J110" s="227">
        <f t="shared" si="25"/>
        <v>2.0335129878390403</v>
      </c>
      <c r="K110" s="227">
        <f t="shared" si="48"/>
        <v>108.0221925088584</v>
      </c>
      <c r="L110" s="227">
        <f t="shared" si="38"/>
        <v>678.72345282098388</v>
      </c>
      <c r="M110" s="227">
        <f t="shared" si="26"/>
        <v>5709.686046761808</v>
      </c>
      <c r="N110" s="227">
        <f>SQRT((ABS(AC110)-171.5+'Small Signal'!C$59)^2)</f>
        <v>94.728728593314599</v>
      </c>
      <c r="O110" s="227">
        <f t="shared" si="39"/>
        <v>92.344187897049395</v>
      </c>
      <c r="P110" s="227">
        <f t="shared" si="40"/>
        <v>30.534714257889807</v>
      </c>
      <c r="Q110" s="227">
        <f t="shared" si="41"/>
        <v>108.0221925088584</v>
      </c>
      <c r="R110" s="227" t="str">
        <f t="shared" si="27"/>
        <v>0.0878666666666667+0.00319000022825862i</v>
      </c>
      <c r="S110" s="227" t="str">
        <f t="shared" si="28"/>
        <v>0.0085-56.4263282508476i</v>
      </c>
      <c r="T110" s="227" t="str">
        <f t="shared" si="29"/>
        <v>12.4219018238137-2.88178065081757i</v>
      </c>
      <c r="U110" s="227" t="str">
        <f t="shared" si="30"/>
        <v>80.980237574965-2.89584013381665i</v>
      </c>
      <c r="V110" s="227">
        <f t="shared" si="42"/>
        <v>38.173130993037056</v>
      </c>
      <c r="W110" s="227">
        <f t="shared" si="43"/>
        <v>-2.0480150831557862</v>
      </c>
      <c r="X110" s="227" t="str">
        <f t="shared" si="31"/>
        <v>0.999999917021909-0.000084827897929761i</v>
      </c>
      <c r="Y110" s="227" t="str">
        <f t="shared" si="32"/>
        <v>62.1273917872635+5.29715823236527i</v>
      </c>
      <c r="Z110" s="227" t="str">
        <f t="shared" si="33"/>
        <v>32.3534675469704+2.7557843093673i</v>
      </c>
      <c r="AA110" s="227" t="str">
        <f t="shared" si="34"/>
        <v>18.7812348898885-2.22997627163697i</v>
      </c>
      <c r="AB110" s="227">
        <f t="shared" si="44"/>
        <v>25.535281409282323</v>
      </c>
      <c r="AC110" s="227">
        <f t="shared" si="45"/>
        <v>-6.7712714066854085</v>
      </c>
      <c r="AD110" s="229">
        <f t="shared" si="46"/>
        <v>4.9994328486074826</v>
      </c>
      <c r="AE110" s="229">
        <f t="shared" si="47"/>
        <v>99.115459303734809</v>
      </c>
      <c r="AF110" s="227">
        <f t="shared" si="35"/>
        <v>30.534714257889807</v>
      </c>
      <c r="AG110" s="227">
        <f t="shared" si="36"/>
        <v>92.344187897049395</v>
      </c>
      <c r="AH110" s="229" t="str">
        <f t="shared" si="37"/>
        <v>0.281704598422145-1.75570704845228i</v>
      </c>
    </row>
    <row r="111" spans="9:34" x14ac:dyDescent="0.2">
      <c r="I111" s="227">
        <v>107</v>
      </c>
      <c r="J111" s="227">
        <f t="shared" si="25"/>
        <v>2.0432631103658236</v>
      </c>
      <c r="K111" s="227">
        <f t="shared" si="48"/>
        <v>110.4747710934067</v>
      </c>
      <c r="L111" s="227">
        <f t="shared" si="38"/>
        <v>694.1334585481211</v>
      </c>
      <c r="M111" s="227">
        <f t="shared" si="26"/>
        <v>5707.1777838630123</v>
      </c>
      <c r="N111" s="227">
        <f>SQRT((ABS(AC111)-171.5+'Small Signal'!C$59)^2)</f>
        <v>94.576276255794937</v>
      </c>
      <c r="O111" s="227">
        <f t="shared" si="39"/>
        <v>92.387122742899834</v>
      </c>
      <c r="P111" s="227">
        <f t="shared" si="40"/>
        <v>30.342116509503512</v>
      </c>
      <c r="Q111" s="227">
        <f t="shared" si="41"/>
        <v>110.4747710934067</v>
      </c>
      <c r="R111" s="227" t="str">
        <f t="shared" si="27"/>
        <v>0.0878666666666667+0.00326242725517617i</v>
      </c>
      <c r="S111" s="227" t="str">
        <f t="shared" si="28"/>
        <v>0.0085-55.1736440144105i</v>
      </c>
      <c r="T111" s="227" t="str">
        <f t="shared" si="29"/>
        <v>12.3928175942985-2.94030451726349i</v>
      </c>
      <c r="U111" s="227" t="str">
        <f t="shared" si="30"/>
        <v>80.9797249141859-2.96170243053145i</v>
      </c>
      <c r="V111" s="227">
        <f t="shared" si="42"/>
        <v>38.173331237575646</v>
      </c>
      <c r="W111" s="227">
        <f t="shared" si="43"/>
        <v>-2.0945668699021383</v>
      </c>
      <c r="X111" s="227" t="str">
        <f t="shared" si="31"/>
        <v>0.9999999132112-0.0000867538640761871i</v>
      </c>
      <c r="Y111" s="227" t="str">
        <f t="shared" si="32"/>
        <v>62.1375577456078+5.41734687068413i</v>
      </c>
      <c r="Z111" s="227" t="str">
        <f t="shared" si="33"/>
        <v>32.3587721536558+2.81831052425225i</v>
      </c>
      <c r="AA111" s="227" t="str">
        <f t="shared" si="34"/>
        <v>18.7697831822805-2.2792793180257i</v>
      </c>
      <c r="AB111" s="227">
        <f t="shared" si="44"/>
        <v>25.532758941879411</v>
      </c>
      <c r="AC111" s="227">
        <f t="shared" si="45"/>
        <v>-6.9237237442050725</v>
      </c>
      <c r="AD111" s="229">
        <f t="shared" si="46"/>
        <v>4.8093575676241009</v>
      </c>
      <c r="AE111" s="229">
        <f t="shared" si="47"/>
        <v>99.310846487104911</v>
      </c>
      <c r="AF111" s="227">
        <f t="shared" si="35"/>
        <v>30.342116509503512</v>
      </c>
      <c r="AG111" s="227">
        <f t="shared" si="36"/>
        <v>92.387122742899834</v>
      </c>
      <c r="AH111" s="229" t="str">
        <f t="shared" si="37"/>
        <v>0.281462967900161-1.71675400135588i</v>
      </c>
    </row>
    <row r="112" spans="9:34" x14ac:dyDescent="0.2">
      <c r="I112" s="227">
        <v>108</v>
      </c>
      <c r="J112" s="227">
        <f t="shared" si="25"/>
        <v>2.0530132328926074</v>
      </c>
      <c r="K112" s="227">
        <f t="shared" si="48"/>
        <v>112.98303399220288</v>
      </c>
      <c r="L112" s="227">
        <f t="shared" si="38"/>
        <v>709.89333914038082</v>
      </c>
      <c r="M112" s="227">
        <f t="shared" si="26"/>
        <v>5704.612572371273</v>
      </c>
      <c r="N112" s="227">
        <f>SQRT((ABS(AC112)-171.5+'Small Signal'!C$59)^2)</f>
        <v>94.420451145334141</v>
      </c>
      <c r="O112" s="227">
        <f t="shared" si="39"/>
        <v>92.431060799297654</v>
      </c>
      <c r="P112" s="227">
        <f t="shared" si="40"/>
        <v>30.149624629512019</v>
      </c>
      <c r="Q112" s="227">
        <f t="shared" si="41"/>
        <v>112.98303399220288</v>
      </c>
      <c r="R112" s="227" t="str">
        <f t="shared" si="27"/>
        <v>0.0878666666666667+0.00333649869395979i</v>
      </c>
      <c r="S112" s="227" t="str">
        <f t="shared" si="28"/>
        <v>0.0085-53.9487698064626i</v>
      </c>
      <c r="T112" s="227" t="str">
        <f t="shared" si="29"/>
        <v>12.3625431549339-2.99971135660334i</v>
      </c>
      <c r="U112" s="227" t="str">
        <f t="shared" si="30"/>
        <v>80.9791883266425-3.02906803189762i</v>
      </c>
      <c r="V112" s="227">
        <f t="shared" si="42"/>
        <v>38.173540669623279</v>
      </c>
      <c r="W112" s="227">
        <f t="shared" si="43"/>
        <v>-2.1421792700261602</v>
      </c>
      <c r="X112" s="227" t="str">
        <f t="shared" si="31"/>
        <v>0.999999909225486-0.0000887235581197758i</v>
      </c>
      <c r="Y112" s="227" t="str">
        <f t="shared" si="32"/>
        <v>62.1481912869406+5.54025870541384i</v>
      </c>
      <c r="Z112" s="227" t="str">
        <f t="shared" si="33"/>
        <v>32.3643207444515+2.88225340275941i</v>
      </c>
      <c r="AA112" s="227" t="str">
        <f t="shared" si="34"/>
        <v>18.7578198155955-2.32961098058199i</v>
      </c>
      <c r="AB112" s="227">
        <f t="shared" si="44"/>
        <v>25.530122205655395</v>
      </c>
      <c r="AC112" s="227">
        <f t="shared" si="45"/>
        <v>-7.0795488546658696</v>
      </c>
      <c r="AD112" s="229">
        <f t="shared" si="46"/>
        <v>4.6195024238566234</v>
      </c>
      <c r="AE112" s="229">
        <f t="shared" si="47"/>
        <v>99.510609653963527</v>
      </c>
      <c r="AF112" s="227">
        <f t="shared" si="35"/>
        <v>30.149624629512019</v>
      </c>
      <c r="AG112" s="227">
        <f t="shared" si="36"/>
        <v>92.431060799297654</v>
      </c>
      <c r="AH112" s="229" t="str">
        <f t="shared" si="37"/>
        <v>0.281231942559768-1.67866621138328i</v>
      </c>
    </row>
    <row r="113" spans="9:34" x14ac:dyDescent="0.2">
      <c r="I113" s="227">
        <v>109</v>
      </c>
      <c r="J113" s="227">
        <f t="shared" si="25"/>
        <v>2.0627633554193903</v>
      </c>
      <c r="K113" s="227">
        <f t="shared" si="48"/>
        <v>115.54824548394181</v>
      </c>
      <c r="L113" s="227">
        <f t="shared" si="38"/>
        <v>726.01103829508315</v>
      </c>
      <c r="M113" s="227">
        <f t="shared" si="26"/>
        <v>5701.9891193032117</v>
      </c>
      <c r="N113" s="227">
        <f>SQRT((ABS(AC113)-171.5+'Small Signal'!C$59)^2)</f>
        <v>94.261182740345305</v>
      </c>
      <c r="O113" s="227">
        <f t="shared" si="39"/>
        <v>92.476010863476702</v>
      </c>
      <c r="P113" s="227">
        <f t="shared" si="40"/>
        <v>29.95724308743581</v>
      </c>
      <c r="Q113" s="227">
        <f t="shared" si="41"/>
        <v>115.54824548394181</v>
      </c>
      <c r="R113" s="227" t="str">
        <f t="shared" si="27"/>
        <v>0.0878666666666667+0.00341225187998689i</v>
      </c>
      <c r="S113" s="227" t="str">
        <f t="shared" si="28"/>
        <v>0.0085-52.7510882346385i</v>
      </c>
      <c r="T113" s="227" t="str">
        <f t="shared" si="29"/>
        <v>12.3310363486722-3.05999406497289i</v>
      </c>
      <c r="U113" s="227" t="str">
        <f t="shared" si="30"/>
        <v>80.9786266774607-3.09797162264295i</v>
      </c>
      <c r="V113" s="227">
        <f t="shared" si="42"/>
        <v>38.173759710302022</v>
      </c>
      <c r="W113" s="227">
        <f t="shared" si="43"/>
        <v>-2.1908766209176429</v>
      </c>
      <c r="X113" s="227" t="str">
        <f t="shared" si="31"/>
        <v>0.999999905056732-0.0000907379728759995i</v>
      </c>
      <c r="Y113" s="227" t="str">
        <f t="shared" si="32"/>
        <v>62.1593139521655+5.6659551703001i</v>
      </c>
      <c r="Z113" s="227" t="str">
        <f t="shared" si="33"/>
        <v>32.3701245592627+2.94764490150669i</v>
      </c>
      <c r="AA113" s="227" t="str">
        <f t="shared" si="34"/>
        <v>18.7453226029208-2.38098848590155i</v>
      </c>
      <c r="AB113" s="227">
        <f t="shared" si="44"/>
        <v>25.52736609866065</v>
      </c>
      <c r="AC113" s="227">
        <f t="shared" si="45"/>
        <v>-7.2388172596546836</v>
      </c>
      <c r="AD113" s="229">
        <f t="shared" si="46"/>
        <v>4.4298769887751606</v>
      </c>
      <c r="AE113" s="229">
        <f t="shared" si="47"/>
        <v>99.714828123131383</v>
      </c>
      <c r="AF113" s="227">
        <f t="shared" si="35"/>
        <v>29.95724308743581</v>
      </c>
      <c r="AG113" s="227">
        <f t="shared" si="36"/>
        <v>92.476010863476702</v>
      </c>
      <c r="AH113" s="229" t="str">
        <f t="shared" si="37"/>
        <v>0.281011056578807-1.6414244847902i</v>
      </c>
    </row>
    <row r="114" spans="9:34" x14ac:dyDescent="0.2">
      <c r="I114" s="227">
        <v>110</v>
      </c>
      <c r="J114" s="227">
        <f t="shared" si="25"/>
        <v>2.072513477946174</v>
      </c>
      <c r="K114" s="227">
        <f t="shared" si="48"/>
        <v>118.17169855200297</v>
      </c>
      <c r="L114" s="227">
        <f t="shared" si="38"/>
        <v>742.49468006640018</v>
      </c>
      <c r="M114" s="227">
        <f t="shared" si="26"/>
        <v>5699.3061023190439</v>
      </c>
      <c r="N114" s="227">
        <f>SQRT((ABS(AC114)-171.5+'Small Signal'!C$59)^2)</f>
        <v>94.098399326511128</v>
      </c>
      <c r="O114" s="227">
        <f t="shared" si="39"/>
        <v>92.521981379642895</v>
      </c>
      <c r="P114" s="227">
        <f t="shared" si="40"/>
        <v>29.76497652203544</v>
      </c>
      <c r="Q114" s="227">
        <f t="shared" si="41"/>
        <v>118.17169855200297</v>
      </c>
      <c r="R114" s="227" t="str">
        <f t="shared" si="27"/>
        <v>0.0878666666666667+0.00348972499631208i</v>
      </c>
      <c r="S114" s="227" t="str">
        <f t="shared" si="28"/>
        <v>0.0085-51.5799956128986i</v>
      </c>
      <c r="T114" s="227" t="str">
        <f t="shared" si="29"/>
        <v>12.2982541024487-3.12114390378886i</v>
      </c>
      <c r="U114" s="227" t="str">
        <f t="shared" si="30"/>
        <v>80.9780387762531-3.16844871350777i</v>
      </c>
      <c r="V114" s="227">
        <f t="shared" si="42"/>
        <v>38.173988799997559</v>
      </c>
      <c r="W114" s="227">
        <f t="shared" si="43"/>
        <v>-2.2406838304467689</v>
      </c>
      <c r="X114" s="227" t="str">
        <f t="shared" si="31"/>
        <v>0.999999900696531-0.0000927981237016065i</v>
      </c>
      <c r="Y114" s="227" t="str">
        <f t="shared" si="32"/>
        <v>62.170948277773+5.79449906596537i</v>
      </c>
      <c r="Z114" s="227" t="str">
        <f t="shared" si="33"/>
        <v>32.3761953574748+3.01451768795821i</v>
      </c>
      <c r="AA114" s="227" t="str">
        <f t="shared" si="34"/>
        <v>18.732268457551-2.43342904764079i</v>
      </c>
      <c r="AB114" s="227">
        <f t="shared" si="44"/>
        <v>25.524485298040457</v>
      </c>
      <c r="AC114" s="227">
        <f t="shared" si="45"/>
        <v>-7.4016006734888862</v>
      </c>
      <c r="AD114" s="229">
        <f t="shared" si="46"/>
        <v>4.2404912239949812</v>
      </c>
      <c r="AE114" s="229">
        <f t="shared" si="47"/>
        <v>99.923582053131781</v>
      </c>
      <c r="AF114" s="227">
        <f t="shared" si="35"/>
        <v>29.76497652203544</v>
      </c>
      <c r="AG114" s="227">
        <f t="shared" si="36"/>
        <v>92.521981379642895</v>
      </c>
      <c r="AH114" s="229" t="str">
        <f t="shared" si="37"/>
        <v>0.28079986457829-1.60501005401084i</v>
      </c>
    </row>
    <row r="115" spans="9:34" x14ac:dyDescent="0.2">
      <c r="I115" s="227">
        <v>111</v>
      </c>
      <c r="J115" s="227">
        <f t="shared" si="25"/>
        <v>2.0822636004729578</v>
      </c>
      <c r="K115" s="227">
        <f t="shared" si="48"/>
        <v>120.85471553617126</v>
      </c>
      <c r="L115" s="227">
        <f t="shared" si="38"/>
        <v>759.35257296023974</v>
      </c>
      <c r="M115" s="227">
        <f t="shared" si="26"/>
        <v>5696.5621690560583</v>
      </c>
      <c r="N115" s="227">
        <f>SQRT((ABS(AC115)-171.5+'Small Signal'!C$59)^2)</f>
        <v>93.932027996600567</v>
      </c>
      <c r="O115" s="227">
        <f t="shared" si="39"/>
        <v>92.568980390638785</v>
      </c>
      <c r="P115" s="227">
        <f t="shared" si="40"/>
        <v>29.572829746001929</v>
      </c>
      <c r="Q115" s="227">
        <f t="shared" si="41"/>
        <v>120.85471553617126</v>
      </c>
      <c r="R115" s="227" t="str">
        <f t="shared" si="27"/>
        <v>0.0878666666666667+0.00356895709291313i</v>
      </c>
      <c r="S115" s="227" t="str">
        <f t="shared" si="28"/>
        <v>0.0085-50.4349016572449i</v>
      </c>
      <c r="T115" s="227" t="str">
        <f t="shared" si="29"/>
        <v>12.2641524610575-3.1831504025613i</v>
      </c>
      <c r="U115" s="227" t="str">
        <f t="shared" si="30"/>
        <v>80.977423374248-3.24053566267992i</v>
      </c>
      <c r="V115" s="227">
        <f t="shared" si="42"/>
        <v>38.174228399236441</v>
      </c>
      <c r="W115" s="227">
        <f t="shared" si="43"/>
        <v>-2.2916263911671364</v>
      </c>
      <c r="X115" s="227" t="str">
        <f t="shared" si="31"/>
        <v>0.999999896136091-0.0000949050490064061i</v>
      </c>
      <c r="Y115" s="227" t="str">
        <f t="shared" si="32"/>
        <v>62.1831178421551+5.92595458894465i</v>
      </c>
      <c r="Z115" s="227" t="str">
        <f t="shared" si="33"/>
        <v>32.3825454421198+3.08290515551189i</v>
      </c>
      <c r="AA115" s="227" t="str">
        <f t="shared" si="34"/>
        <v>18.7186333622932-2.48694984069054i</v>
      </c>
      <c r="AB115" s="227">
        <f t="shared" si="44"/>
        <v>25.521474251106504</v>
      </c>
      <c r="AC115" s="227">
        <f t="shared" si="45"/>
        <v>-7.5679720033994364</v>
      </c>
      <c r="AD115" s="229">
        <f t="shared" si="46"/>
        <v>4.051355494895426</v>
      </c>
      <c r="AE115" s="229">
        <f t="shared" si="47"/>
        <v>100.13695239403822</v>
      </c>
      <c r="AF115" s="227">
        <f t="shared" si="35"/>
        <v>29.572829746001929</v>
      </c>
      <c r="AG115" s="227">
        <f t="shared" si="36"/>
        <v>92.568980390638785</v>
      </c>
      <c r="AH115" s="229" t="str">
        <f t="shared" si="37"/>
        <v>0.280597940724503-1.56940456821615i</v>
      </c>
    </row>
    <row r="116" spans="9:34" x14ac:dyDescent="0.2">
      <c r="I116" s="227">
        <v>112</v>
      </c>
      <c r="J116" s="227">
        <f t="shared" si="25"/>
        <v>2.0920137229997406</v>
      </c>
      <c r="K116" s="227">
        <f t="shared" si="48"/>
        <v>123.59864879915676</v>
      </c>
      <c r="L116" s="227">
        <f t="shared" si="38"/>
        <v>776.59321412211159</v>
      </c>
      <c r="M116" s="227">
        <f t="shared" si="26"/>
        <v>5693.7559364469662</v>
      </c>
      <c r="N116" s="227">
        <f>SQRT((ABS(AC116)-171.5+'Small Signal'!C$59)^2)</f>
        <v>93.761994651977176</v>
      </c>
      <c r="O116" s="227">
        <f t="shared" si="39"/>
        <v>92.617015486570139</v>
      </c>
      <c r="P116" s="227">
        <f t="shared" si="40"/>
        <v>29.380807750606813</v>
      </c>
      <c r="Q116" s="227">
        <f t="shared" si="41"/>
        <v>123.59864879915676</v>
      </c>
      <c r="R116" s="227" t="str">
        <f t="shared" si="27"/>
        <v>0.0878666666666667+0.00364998810637392i</v>
      </c>
      <c r="S116" s="227" t="str">
        <f t="shared" si="28"/>
        <v>0.0085-49.3152291881905i</v>
      </c>
      <c r="T116" s="227" t="str">
        <f t="shared" si="29"/>
        <v>12.2286866272758-3.24600125930826i</v>
      </c>
      <c r="U116" s="227" t="str">
        <f t="shared" si="30"/>
        <v>80.976779161261-3.31426969790362i</v>
      </c>
      <c r="V116" s="227">
        <f t="shared" si="42"/>
        <v>38.174478989603557</v>
      </c>
      <c r="W116" s="227">
        <f t="shared" si="43"/>
        <v>-2.3437303949291008</v>
      </c>
      <c r="X116" s="227" t="str">
        <f t="shared" si="31"/>
        <v>0.999999891366215-0.000097059810776674i</v>
      </c>
      <c r="Y116" s="227" t="str">
        <f t="shared" si="32"/>
        <v>62.195847314108+6.06038736123564i</v>
      </c>
      <c r="Z116" s="227" t="str">
        <f t="shared" si="33"/>
        <v>32.3891876851822+3.15284143885323i</v>
      </c>
      <c r="AA116" s="227" t="str">
        <f t="shared" si="34"/>
        <v>18.7043923382837-2.54156797327998i</v>
      </c>
      <c r="AB116" s="227">
        <f t="shared" si="44"/>
        <v>25.518327166107227</v>
      </c>
      <c r="AC116" s="227">
        <f t="shared" si="45"/>
        <v>-7.7380053480228375</v>
      </c>
      <c r="AD116" s="229">
        <f t="shared" si="46"/>
        <v>3.8624805844995844</v>
      </c>
      <c r="AE116" s="229">
        <f t="shared" si="47"/>
        <v>100.35502083459298</v>
      </c>
      <c r="AF116" s="227">
        <f t="shared" si="35"/>
        <v>29.380807750606813</v>
      </c>
      <c r="AG116" s="227">
        <f t="shared" si="36"/>
        <v>92.617015486570139</v>
      </c>
      <c r="AH116" s="229" t="str">
        <f t="shared" si="37"/>
        <v>0.280404877870515-1.53459008408101i</v>
      </c>
    </row>
    <row r="117" spans="9:34" x14ac:dyDescent="0.2">
      <c r="I117" s="227">
        <v>113</v>
      </c>
      <c r="J117" s="227">
        <f t="shared" si="25"/>
        <v>2.1017638455265244</v>
      </c>
      <c r="K117" s="227">
        <f t="shared" si="48"/>
        <v>126.40488140824849</v>
      </c>
      <c r="L117" s="227">
        <f t="shared" si="38"/>
        <v>794.22529362008493</v>
      </c>
      <c r="M117" s="227">
        <f t="shared" si="26"/>
        <v>5690.8859900227744</v>
      </c>
      <c r="N117" s="227">
        <f>SQRT((ABS(AC117)-171.5+'Small Signal'!C$59)^2)</f>
        <v>93.588224005935984</v>
      </c>
      <c r="O117" s="227">
        <f t="shared" si="39"/>
        <v>92.666093750260899</v>
      </c>
      <c r="P117" s="227">
        <f t="shared" si="40"/>
        <v>29.1889157102894</v>
      </c>
      <c r="Q117" s="227">
        <f t="shared" si="41"/>
        <v>126.40488140824849</v>
      </c>
      <c r="R117" s="227" t="str">
        <f t="shared" si="27"/>
        <v>0.0878666666666667+0.0037328588800144i</v>
      </c>
      <c r="S117" s="227" t="str">
        <f t="shared" si="28"/>
        <v>0.0085-48.2204138398357i</v>
      </c>
      <c r="T117" s="227" t="str">
        <f t="shared" si="29"/>
        <v>12.1918110086879-3.30968223882674i</v>
      </c>
      <c r="U117" s="227" t="str">
        <f t="shared" si="30"/>
        <v>80.9761047624885-3.38968893928903i</v>
      </c>
      <c r="V117" s="227">
        <f t="shared" si="42"/>
        <v>38.174741074700279</v>
      </c>
      <c r="W117" s="227">
        <f t="shared" si="43"/>
        <v>-2.3970225479181266</v>
      </c>
      <c r="X117" s="227" t="str">
        <f t="shared" si="31"/>
        <v>0.999999886377287-0.0000992634951104435i</v>
      </c>
      <c r="Y117" s="227" t="str">
        <f t="shared" si="32"/>
        <v>62.2091625036168+6.19786446036243i</v>
      </c>
      <c r="Z117" s="227" t="str">
        <f t="shared" si="33"/>
        <v>32.3961355540972+3.22436142957498i</v>
      </c>
      <c r="AA117" s="227" t="str">
        <f t="shared" si="34"/>
        <v>18.6895194133687-2.59730045689233i</v>
      </c>
      <c r="AB117" s="227">
        <f t="shared" si="44"/>
        <v>25.51503800269208</v>
      </c>
      <c r="AC117" s="227">
        <f t="shared" si="45"/>
        <v>-7.9117759940640218</v>
      </c>
      <c r="AD117" s="229">
        <f t="shared" si="46"/>
        <v>3.6738777075973217</v>
      </c>
      <c r="AE117" s="229">
        <f t="shared" si="47"/>
        <v>100.57786974432491</v>
      </c>
      <c r="AF117" s="227">
        <f t="shared" si="35"/>
        <v>29.1889157102894</v>
      </c>
      <c r="AG117" s="227">
        <f t="shared" si="36"/>
        <v>92.666093750260899</v>
      </c>
      <c r="AH117" s="229" t="str">
        <f t="shared" si="37"/>
        <v>0.280220286735348-1.50054905675563i</v>
      </c>
    </row>
    <row r="118" spans="9:34" x14ac:dyDescent="0.2">
      <c r="I118" s="227">
        <v>114</v>
      </c>
      <c r="J118" s="227">
        <f t="shared" si="25"/>
        <v>2.1115139680533073</v>
      </c>
      <c r="K118" s="227">
        <f t="shared" si="48"/>
        <v>129.27482783244093</v>
      </c>
      <c r="L118" s="227">
        <f t="shared" si="38"/>
        <v>812.25769882496354</v>
      </c>
      <c r="M118" s="227">
        <f t="shared" si="26"/>
        <v>5687.9508831998219</v>
      </c>
      <c r="N118" s="227">
        <f>SQRT((ABS(AC118)-171.5+'Small Signal'!C$59)^2)</f>
        <v>93.410639589010714</v>
      </c>
      <c r="O118" s="227">
        <f t="shared" si="39"/>
        <v>92.716221699395732</v>
      </c>
      <c r="P118" s="227">
        <f t="shared" si="40"/>
        <v>28.997158987158933</v>
      </c>
      <c r="Q118" s="227">
        <f t="shared" si="41"/>
        <v>129.27482783244093</v>
      </c>
      <c r="R118" s="227" t="str">
        <f t="shared" si="27"/>
        <v>0.0878666666666667+0.00381761118447733i</v>
      </c>
      <c r="S118" s="227" t="str">
        <f t="shared" si="28"/>
        <v>0.0085-47.1499037754007i</v>
      </c>
      <c r="T118" s="227" t="str">
        <f t="shared" si="29"/>
        <v>12.1534792716648-3.3741770691195i</v>
      </c>
      <c r="U118" s="227" t="str">
        <f t="shared" si="30"/>
        <v>80.9753987351222-3.4668324228536i</v>
      </c>
      <c r="V118" s="227">
        <f t="shared" si="42"/>
        <v>38.175015181146314</v>
      </c>
      <c r="W118" s="227">
        <f t="shared" si="43"/>
        <v>-2.4515301861350118</v>
      </c>
      <c r="X118" s="227" t="str">
        <f t="shared" si="31"/>
        <v>0.999999881159245-0.000101517212764946i</v>
      </c>
      <c r="Y118" s="227" t="str">
        <f t="shared" si="32"/>
        <v>62.2230904150417+6.33845444995532i</v>
      </c>
      <c r="Z118" s="227" t="str">
        <f t="shared" si="33"/>
        <v>32.4034031395002+3.29750079206378i</v>
      </c>
      <c r="AA118" s="227" t="str">
        <f t="shared" si="34"/>
        <v>18.6739875901102-2.65416417387131i</v>
      </c>
      <c r="AB118" s="227">
        <f t="shared" si="44"/>
        <v>25.511600462065864</v>
      </c>
      <c r="AC118" s="227">
        <f t="shared" si="45"/>
        <v>-8.0893604109892774</v>
      </c>
      <c r="AD118" s="229">
        <f t="shared" si="46"/>
        <v>3.485558525093067</v>
      </c>
      <c r="AE118" s="229">
        <f t="shared" si="47"/>
        <v>100.805582110385</v>
      </c>
      <c r="AF118" s="227">
        <f t="shared" si="35"/>
        <v>28.997158987158933</v>
      </c>
      <c r="AG118" s="227">
        <f t="shared" si="36"/>
        <v>92.716221699395732</v>
      </c>
      <c r="AH118" s="229" t="str">
        <f t="shared" si="37"/>
        <v>0.280043795119159-1.46726433103686i</v>
      </c>
    </row>
    <row r="119" spans="9:34" x14ac:dyDescent="0.2">
      <c r="I119" s="227">
        <v>115</v>
      </c>
      <c r="J119" s="227">
        <f t="shared" si="25"/>
        <v>2.121264090580091</v>
      </c>
      <c r="K119" s="227">
        <f t="shared" si="48"/>
        <v>132.20993465539331</v>
      </c>
      <c r="L119" s="227">
        <f t="shared" si="38"/>
        <v>830.69951888994046</v>
      </c>
      <c r="M119" s="227">
        <f t="shared" si="26"/>
        <v>5684.9491365506437</v>
      </c>
      <c r="N119" s="227">
        <f>SQRT((ABS(AC119)-171.5+'Small Signal'!C$59)^2)</f>
        <v>93.229163756407388</v>
      </c>
      <c r="O119" s="227">
        <f t="shared" si="39"/>
        <v>92.767405225220699</v>
      </c>
      <c r="P119" s="227">
        <f t="shared" si="40"/>
        <v>28.805543135384362</v>
      </c>
      <c r="Q119" s="227">
        <f t="shared" si="41"/>
        <v>132.20993465539331</v>
      </c>
      <c r="R119" s="227" t="str">
        <f t="shared" si="27"/>
        <v>0.0878666666666667+0.00390428773878272i</v>
      </c>
      <c r="S119" s="227" t="str">
        <f t="shared" si="28"/>
        <v>0.0085-46.1031594090758i</v>
      </c>
      <c r="T119" s="227" t="str">
        <f t="shared" si="29"/>
        <v>12.1136444029607-3.43946733632523i</v>
      </c>
      <c r="U119" s="227" t="str">
        <f t="shared" si="30"/>
        <v>80.9746595647659-3.54574012482599i</v>
      </c>
      <c r="V119" s="227">
        <f t="shared" si="42"/>
        <v>38.175301859626366</v>
      </c>
      <c r="W119" s="227">
        <f t="shared" si="43"/>
        <v>-2.5072812913347882</v>
      </c>
      <c r="X119" s="227" t="str">
        <f t="shared" si="31"/>
        <v>0.999999875701569-0.000103822099716485i</v>
      </c>
      <c r="Y119" s="227" t="str">
        <f t="shared" si="32"/>
        <v>62.237659302823+6.48222741084289i</v>
      </c>
      <c r="Z119" s="227" t="str">
        <f t="shared" si="33"/>
        <v>32.4110051842919+3.37229597965177i</v>
      </c>
      <c r="AA119" s="227" t="str">
        <f t="shared" si="34"/>
        <v>18.6577688134864-2.71217584259068i</v>
      </c>
      <c r="AB119" s="227">
        <f t="shared" si="44"/>
        <v>25.508007976829216</v>
      </c>
      <c r="AC119" s="227">
        <f t="shared" si="45"/>
        <v>-8.2708362435926137</v>
      </c>
      <c r="AD119" s="229">
        <f t="shared" si="46"/>
        <v>3.2975351585551471</v>
      </c>
      <c r="AE119" s="229">
        <f t="shared" si="47"/>
        <v>101.03824146881331</v>
      </c>
      <c r="AF119" s="227">
        <f t="shared" si="35"/>
        <v>28.805543135384362</v>
      </c>
      <c r="AG119" s="227">
        <f t="shared" si="36"/>
        <v>92.767405225220699</v>
      </c>
      <c r="AH119" s="229" t="str">
        <f t="shared" si="37"/>
        <v>0.279875047152876-1.43471913273489i</v>
      </c>
    </row>
    <row r="120" spans="9:34" x14ac:dyDescent="0.2">
      <c r="I120" s="227">
        <v>116</v>
      </c>
      <c r="J120" s="227">
        <f t="shared" si="25"/>
        <v>2.1310142131068743</v>
      </c>
      <c r="K120" s="227">
        <f t="shared" si="48"/>
        <v>135.21168130457164</v>
      </c>
      <c r="L120" s="227">
        <f t="shared" si="38"/>
        <v>849.56004933193333</v>
      </c>
      <c r="M120" s="227">
        <f t="shared" si="26"/>
        <v>5681.8792370582669</v>
      </c>
      <c r="N120" s="227">
        <f>SQRT((ABS(AC120)-171.5+'Small Signal'!C$59)^2)</f>
        <v>93.043717697720695</v>
      </c>
      <c r="O120" s="227">
        <f t="shared" si="39"/>
        <v>92.819649527659436</v>
      </c>
      <c r="P120" s="227">
        <f t="shared" si="40"/>
        <v>28.614073905445885</v>
      </c>
      <c r="Q120" s="227">
        <f t="shared" si="41"/>
        <v>135.21168130457164</v>
      </c>
      <c r="R120" s="227" t="str">
        <f t="shared" si="27"/>
        <v>0.0878666666666667+0.00399293223186009i</v>
      </c>
      <c r="S120" s="227" t="str">
        <f t="shared" si="28"/>
        <v>0.0085-45.0796531340447i</v>
      </c>
      <c r="T120" s="227" t="str">
        <f t="shared" si="29"/>
        <v>12.0722587793919-3.5055323785523i</v>
      </c>
      <c r="U120" s="227" t="str">
        <f t="shared" si="30"/>
        <v>80.9738856616453-3.62645298674534i</v>
      </c>
      <c r="V120" s="227">
        <f t="shared" si="42"/>
        <v>38.17560168598402</v>
      </c>
      <c r="W120" s="227">
        <f t="shared" si="43"/>
        <v>-2.5643045074418565</v>
      </c>
      <c r="X120" s="227" t="str">
        <f t="shared" si="31"/>
        <v>0.999999869993253-0.00010617931773302i</v>
      </c>
      <c r="Y120" s="227" t="str">
        <f t="shared" si="32"/>
        <v>62.252898729817+6.62925497265702i</v>
      </c>
      <c r="Z120" s="227" t="str">
        <f t="shared" si="33"/>
        <v>32.4189571140749+3.44878425103343i</v>
      </c>
      <c r="AA120" s="227" t="str">
        <f t="shared" si="34"/>
        <v>18.6408339383698-2.77135198005879i</v>
      </c>
      <c r="AB120" s="227">
        <f t="shared" si="44"/>
        <v>25.504253700504542</v>
      </c>
      <c r="AC120" s="227">
        <f t="shared" si="45"/>
        <v>-8.4562823022793001</v>
      </c>
      <c r="AD120" s="229">
        <f t="shared" si="46"/>
        <v>3.1098202049413439</v>
      </c>
      <c r="AE120" s="229">
        <f t="shared" si="47"/>
        <v>101.27593182993874</v>
      </c>
      <c r="AF120" s="227">
        <f t="shared" si="35"/>
        <v>28.614073905445885</v>
      </c>
      <c r="AG120" s="227">
        <f t="shared" si="36"/>
        <v>92.819649527659436</v>
      </c>
      <c r="AH120" s="229" t="str">
        <f t="shared" si="37"/>
        <v>0.279713702580696-1.40289706023114i</v>
      </c>
    </row>
    <row r="121" spans="9:34" x14ac:dyDescent="0.2">
      <c r="I121" s="227">
        <v>117</v>
      </c>
      <c r="J121" s="227">
        <f t="shared" si="25"/>
        <v>2.1407643356336576</v>
      </c>
      <c r="K121" s="227">
        <f t="shared" si="48"/>
        <v>138.28158079694836</v>
      </c>
      <c r="L121" s="227">
        <f t="shared" si="38"/>
        <v>868.84879671695273</v>
      </c>
      <c r="M121" s="227">
        <f t="shared" si="26"/>
        <v>5678.739637353583</v>
      </c>
      <c r="N121" s="227">
        <f>SQRT((ABS(AC121)-171.5+'Small Signal'!C$59)^2)</f>
        <v>92.854221449104784</v>
      </c>
      <c r="O121" s="227">
        <f t="shared" si="39"/>
        <v>92.872959046719856</v>
      </c>
      <c r="P121" s="227">
        <f t="shared" si="40"/>
        <v>28.422757248214381</v>
      </c>
      <c r="Q121" s="227">
        <f t="shared" si="41"/>
        <v>138.28158079694836</v>
      </c>
      <c r="R121" s="227" t="str">
        <f t="shared" si="27"/>
        <v>0.0878666666666667+0.00408358934456968i</v>
      </c>
      <c r="S121" s="227" t="str">
        <f t="shared" si="28"/>
        <v>0.0085-44.0788690565477i</v>
      </c>
      <c r="T121" s="227" t="str">
        <f t="shared" si="29"/>
        <v>12.0292742460543-3.57234917907085i</v>
      </c>
      <c r="U121" s="227" t="str">
        <f t="shared" si="30"/>
        <v>80.9730753565965-3.70901294139214i</v>
      </c>
      <c r="V121" s="227">
        <f t="shared" si="42"/>
        <v>38.175915262364796</v>
      </c>
      <c r="W121" s="227">
        <f t="shared" si="43"/>
        <v>-2.6226291574611222</v>
      </c>
      <c r="X121" s="227" t="str">
        <f t="shared" si="31"/>
        <v>0.999999864022787-0.000108590054959749i</v>
      </c>
      <c r="Y121" s="227" t="str">
        <f t="shared" si="32"/>
        <v>62.2688396284042+6.77961034594561i</v>
      </c>
      <c r="Z121" s="227" t="str">
        <f t="shared" si="33"/>
        <v>32.427275069037+3.52700368694466i</v>
      </c>
      <c r="AA121" s="227" t="str">
        <f t="shared" si="34"/>
        <v>18.6231526968682-2.8317088618231i</v>
      </c>
      <c r="AB121" s="227">
        <f t="shared" si="44"/>
        <v>25.5003304967431</v>
      </c>
      <c r="AC121" s="227">
        <f t="shared" si="45"/>
        <v>-8.6457785508952174</v>
      </c>
      <c r="AD121" s="229">
        <f t="shared" si="46"/>
        <v>2.9224267514712796</v>
      </c>
      <c r="AE121" s="229">
        <f t="shared" si="47"/>
        <v>101.51873759761507</v>
      </c>
      <c r="AF121" s="227">
        <f t="shared" si="35"/>
        <v>28.422757248214381</v>
      </c>
      <c r="AG121" s="227">
        <f t="shared" si="36"/>
        <v>92.872959046719856</v>
      </c>
      <c r="AH121" s="229" t="str">
        <f t="shared" si="37"/>
        <v>0.279559436074126-1.37178207622309i</v>
      </c>
    </row>
    <row r="122" spans="9:34" x14ac:dyDescent="0.2">
      <c r="I122" s="227">
        <v>118</v>
      </c>
      <c r="J122" s="227">
        <f t="shared" si="25"/>
        <v>2.1505144581604414</v>
      </c>
      <c r="K122" s="227">
        <f t="shared" si="48"/>
        <v>141.42118050163216</v>
      </c>
      <c r="L122" s="227">
        <f t="shared" si="38"/>
        <v>888.57548345184739</v>
      </c>
      <c r="M122" s="227">
        <f t="shared" si="26"/>
        <v>5675.5287549354043</v>
      </c>
      <c r="N122" s="227">
        <f>SQRT((ABS(AC122)-171.5+'Small Signal'!C$59)^2)</f>
        <v>92.660593908075015</v>
      </c>
      <c r="O122" s="227">
        <f t="shared" si="39"/>
        <v>92.927337390056906</v>
      </c>
      <c r="P122" s="227">
        <f t="shared" si="40"/>
        <v>28.231599318827055</v>
      </c>
      <c r="Q122" s="227">
        <f t="shared" si="41"/>
        <v>141.42118050163216</v>
      </c>
      <c r="R122" s="227" t="str">
        <f t="shared" si="27"/>
        <v>0.0878666666666667+0.00417630477222368i</v>
      </c>
      <c r="S122" s="227" t="str">
        <f t="shared" si="28"/>
        <v>0.0085-43.1003027358461i</v>
      </c>
      <c r="T122" s="227" t="str">
        <f t="shared" si="29"/>
        <v>11.9846422035362-3.63989225937724i</v>
      </c>
      <c r="U122" s="227" t="str">
        <f t="shared" si="30"/>
        <v>80.9722268968167-3.793462939586i</v>
      </c>
      <c r="V122" s="227">
        <f t="shared" si="42"/>
        <v>38.176243218410377</v>
      </c>
      <c r="W122" s="227">
        <f t="shared" si="43"/>
        <v>-2.6822852609038677</v>
      </c>
      <c r="X122" s="227" t="str">
        <f t="shared" si="31"/>
        <v>0.999999857778131-0.000111055526517988i</v>
      </c>
      <c r="Y122" s="227" t="str">
        <f t="shared" si="32"/>
        <v>62.2855143644984+6.93336835479063i</v>
      </c>
      <c r="Z122" s="227" t="str">
        <f t="shared" si="33"/>
        <v>32.4359759373479+3.60699320710289i</v>
      </c>
      <c r="AA122" s="227" t="str">
        <f t="shared" si="34"/>
        <v>18.604693665634-2.89326247903863i</v>
      </c>
      <c r="AB122" s="227">
        <f t="shared" si="44"/>
        <v>25.496230928214505</v>
      </c>
      <c r="AC122" s="227">
        <f t="shared" si="45"/>
        <v>-8.8394060919249817</v>
      </c>
      <c r="AD122" s="229">
        <f t="shared" si="46"/>
        <v>2.7353683906125488</v>
      </c>
      <c r="AE122" s="229">
        <f t="shared" si="47"/>
        <v>101.76674348198189</v>
      </c>
      <c r="AF122" s="227">
        <f t="shared" si="35"/>
        <v>28.231599318827055</v>
      </c>
      <c r="AG122" s="227">
        <f t="shared" si="36"/>
        <v>92.927337390056906</v>
      </c>
      <c r="AH122" s="229" t="str">
        <f t="shared" si="37"/>
        <v>0.279411936576055-1.34135849965193i</v>
      </c>
    </row>
    <row r="123" spans="9:34" x14ac:dyDescent="0.2">
      <c r="I123" s="227">
        <v>119</v>
      </c>
      <c r="J123" s="227">
        <f t="shared" si="25"/>
        <v>2.1602645806872247</v>
      </c>
      <c r="K123" s="227">
        <f t="shared" si="48"/>
        <v>144.63206291981118</v>
      </c>
      <c r="L123" s="227">
        <f t="shared" si="38"/>
        <v>908.75005268483108</v>
      </c>
      <c r="M123" s="227">
        <f t="shared" si="26"/>
        <v>5672.2449713728083</v>
      </c>
      <c r="N123" s="227">
        <f>SQRT((ABS(AC123)-171.5+'Small Signal'!C$59)^2)</f>
        <v>92.462752851126993</v>
      </c>
      <c r="O123" s="227">
        <f t="shared" si="39"/>
        <v>92.982787256569253</v>
      </c>
      <c r="P123" s="227">
        <f t="shared" si="40"/>
        <v>28.04060648032285</v>
      </c>
      <c r="Q123" s="227">
        <f t="shared" si="41"/>
        <v>144.63206291981118</v>
      </c>
      <c r="R123" s="227" t="str">
        <f t="shared" si="27"/>
        <v>0.0878666666666667+0.00427112524761871i</v>
      </c>
      <c r="S123" s="227" t="str">
        <f t="shared" si="28"/>
        <v>0.0085-42.1434609299636i</v>
      </c>
      <c r="T123" s="227" t="str">
        <f t="shared" si="29"/>
        <v>11.9383137045615-3.70813357270511i</v>
      </c>
      <c r="U123" s="227" t="str">
        <f t="shared" si="30"/>
        <v>80.971338441366-3.87984697789113i</v>
      </c>
      <c r="V123" s="227">
        <f t="shared" si="42"/>
        <v>38.176586212506706</v>
      </c>
      <c r="W123" s="227">
        <f t="shared" si="43"/>
        <v>-2.743303551750373</v>
      </c>
      <c r="X123" s="227" t="str">
        <f t="shared" si="31"/>
        <v>0.999999851246694-0.000113576975117649i</v>
      </c>
      <c r="Y123" s="227" t="str">
        <f t="shared" si="32"/>
        <v>62.3029568045954+7.09060546992398i</v>
      </c>
      <c r="Z123" s="227" t="str">
        <f t="shared" si="33"/>
        <v>32.4450773901416+3.68879258740416i</v>
      </c>
      <c r="AA123" s="227" t="str">
        <f t="shared" si="34"/>
        <v>18.5854242332548-2.95602849256081i</v>
      </c>
      <c r="AB123" s="227">
        <f t="shared" si="44"/>
        <v>25.491947245178498</v>
      </c>
      <c r="AC123" s="227">
        <f t="shared" si="45"/>
        <v>-9.0372471488730142</v>
      </c>
      <c r="AD123" s="229">
        <f t="shared" si="46"/>
        <v>2.5486592351443509</v>
      </c>
      <c r="AE123" s="229">
        <f t="shared" si="47"/>
        <v>102.02003440544227</v>
      </c>
      <c r="AF123" s="227">
        <f t="shared" si="35"/>
        <v>28.04060648032285</v>
      </c>
      <c r="AG123" s="227">
        <f t="shared" si="36"/>
        <v>92.982787256569253</v>
      </c>
      <c r="AH123" s="229" t="str">
        <f t="shared" si="37"/>
        <v>0.279270906673632-1.31161099780912i</v>
      </c>
    </row>
    <row r="124" spans="9:34" x14ac:dyDescent="0.2">
      <c r="I124" s="227">
        <v>120</v>
      </c>
      <c r="J124" s="227">
        <f t="shared" si="25"/>
        <v>2.170014703214008</v>
      </c>
      <c r="K124" s="227">
        <f t="shared" si="48"/>
        <v>147.9158464824072</v>
      </c>
      <c r="L124" s="227">
        <f t="shared" si="38"/>
        <v>929.38267331729219</v>
      </c>
      <c r="M124" s="227">
        <f t="shared" si="26"/>
        <v>5668.8866314893776</v>
      </c>
      <c r="N124" s="227">
        <f>SQRT((ABS(AC124)-171.5+'Small Signal'!C$59)^2)</f>
        <v>92.260614954369089</v>
      </c>
      <c r="O124" s="227">
        <f t="shared" si="39"/>
        <v>93.039310355911624</v>
      </c>
      <c r="P124" s="227">
        <f t="shared" si="40"/>
        <v>27.849785306996253</v>
      </c>
      <c r="Q124" s="227">
        <f t="shared" si="41"/>
        <v>147.9158464824072</v>
      </c>
      <c r="R124" s="227" t="str">
        <f t="shared" si="27"/>
        <v>0.0878666666666667+0.00436809856459127i</v>
      </c>
      <c r="S124" s="227" t="str">
        <f t="shared" si="28"/>
        <v>0.0085-41.2078613470671i</v>
      </c>
      <c r="T124" s="227" t="str">
        <f t="shared" si="29"/>
        <v>11.8902395604872-3.77704239862323i</v>
      </c>
      <c r="U124" s="227" t="str">
        <f t="shared" si="30"/>
        <v>80.9704080563958-3.96821012726936i</v>
      </c>
      <c r="V124" s="227">
        <f t="shared" si="42"/>
        <v>38.176944933087569</v>
      </c>
      <c r="W124" s="227">
        <f t="shared" si="43"/>
        <v>-2.8057154969705307</v>
      </c>
      <c r="X124" s="227" t="str">
        <f t="shared" si="31"/>
        <v>0.999999844415306-0.000116155671683621i</v>
      </c>
      <c r="Y124" s="227" t="str">
        <f t="shared" si="32"/>
        <v>62.3212023860216+7.25139984233591i</v>
      </c>
      <c r="Z124" s="227" t="str">
        <f t="shared" si="33"/>
        <v>32.4545979181682+3.77244247737413i</v>
      </c>
      <c r="AA124" s="227" t="str">
        <f t="shared" si="34"/>
        <v>18.5653105678498-3.02002218391996i</v>
      </c>
      <c r="AB124" s="227">
        <f t="shared" si="44"/>
        <v>25.487471373739538</v>
      </c>
      <c r="AC124" s="227">
        <f t="shared" si="45"/>
        <v>-9.2393850456309146</v>
      </c>
      <c r="AD124" s="229">
        <f t="shared" si="46"/>
        <v>2.362313933256714</v>
      </c>
      <c r="AE124" s="229">
        <f t="shared" si="47"/>
        <v>102.27869540154254</v>
      </c>
      <c r="AF124" s="227">
        <f t="shared" si="35"/>
        <v>27.849785306996253</v>
      </c>
      <c r="AG124" s="227">
        <f t="shared" si="36"/>
        <v>93.039310355911624</v>
      </c>
      <c r="AH124" s="229" t="str">
        <f t="shared" si="37"/>
        <v>0.279136061998643-1.28252457861779i</v>
      </c>
    </row>
    <row r="125" spans="9:34" x14ac:dyDescent="0.2">
      <c r="I125" s="227">
        <v>121</v>
      </c>
      <c r="J125" s="227">
        <f t="shared" si="25"/>
        <v>2.1797648257407913</v>
      </c>
      <c r="K125" s="227">
        <f t="shared" si="48"/>
        <v>151.27418636583766</v>
      </c>
      <c r="L125" s="227">
        <f t="shared" si="38"/>
        <v>950.48374512937767</v>
      </c>
      <c r="M125" s="227">
        <f t="shared" si="26"/>
        <v>5665.4520425289156</v>
      </c>
      <c r="N125" s="227">
        <f>SQRT((ABS(AC125)-171.5+'Small Signal'!C$59)^2)</f>
        <v>92.05409581737257</v>
      </c>
      <c r="O125" s="227">
        <f t="shared" si="39"/>
        <v>93.096907323810441</v>
      </c>
      <c r="P125" s="227">
        <f t="shared" si="40"/>
        <v>27.659142587427922</v>
      </c>
      <c r="Q125" s="227">
        <f t="shared" si="41"/>
        <v>151.27418636583766</v>
      </c>
      <c r="R125" s="227" t="str">
        <f t="shared" si="27"/>
        <v>0.0878666666666667+0.00446727360210808i</v>
      </c>
      <c r="S125" s="227" t="str">
        <f t="shared" si="28"/>
        <v>0.0085-40.2930324023716i</v>
      </c>
      <c r="T125" s="227" t="str">
        <f t="shared" si="29"/>
        <v>11.8403704580484-3.84658523942455i</v>
      </c>
      <c r="U125" s="227" t="str">
        <f t="shared" si="30"/>
        <v>80.9694337100942-4.05859856272529i</v>
      </c>
      <c r="V125" s="227">
        <f t="shared" si="42"/>
        <v>38.177320099996912</v>
      </c>
      <c r="W125" s="227">
        <f t="shared" si="43"/>
        <v>-2.8695533156260815</v>
      </c>
      <c r="X125" s="227" t="str">
        <f t="shared" si="31"/>
        <v>0.99999983727019-0.000118792915996374i</v>
      </c>
      <c r="Y125" s="227" t="str">
        <f t="shared" si="32"/>
        <v>62.3402881905288+7.41583133736562i</v>
      </c>
      <c r="Z125" s="227" t="str">
        <f t="shared" si="33"/>
        <v>32.4645568701913+3.85798441786768i</v>
      </c>
      <c r="AA125" s="227" t="str">
        <f t="shared" si="34"/>
        <v>18.5443175850153-3.08525840303419i</v>
      </c>
      <c r="AB125" s="227">
        <f t="shared" si="44"/>
        <v>25.482794903788189</v>
      </c>
      <c r="AC125" s="227">
        <f t="shared" si="45"/>
        <v>-9.4459041826274284</v>
      </c>
      <c r="AD125" s="229">
        <f t="shared" si="46"/>
        <v>2.176347683639734</v>
      </c>
      <c r="AE125" s="229">
        <f t="shared" si="47"/>
        <v>102.54281150643787</v>
      </c>
      <c r="AF125" s="227">
        <f t="shared" si="35"/>
        <v>27.659142587427922</v>
      </c>
      <c r="AG125" s="227">
        <f t="shared" si="36"/>
        <v>93.096907323810441</v>
      </c>
      <c r="AH125" s="229" t="str">
        <f t="shared" si="37"/>
        <v>0.279007130654153-1.25408458308518i</v>
      </c>
    </row>
    <row r="126" spans="9:34" x14ac:dyDescent="0.2">
      <c r="I126" s="227">
        <v>122</v>
      </c>
      <c r="J126" s="227">
        <f t="shared" si="25"/>
        <v>2.1895149482675746</v>
      </c>
      <c r="K126" s="227">
        <f t="shared" si="48"/>
        <v>154.70877532629962</v>
      </c>
      <c r="L126" s="227">
        <f t="shared" si="38"/>
        <v>972.06390402195348</v>
      </c>
      <c r="M126" s="227">
        <f t="shared" si="26"/>
        <v>5661.9394733022182</v>
      </c>
      <c r="N126" s="227">
        <f>SQRT((ABS(AC126)-171.5+'Small Signal'!C$59)^2)</f>
        <v>91.843109990453797</v>
      </c>
      <c r="O126" s="227">
        <f t="shared" si="39"/>
        <v>93.155577633084775</v>
      </c>
      <c r="P126" s="227">
        <f t="shared" si="40"/>
        <v>27.46868532714603</v>
      </c>
      <c r="Q126" s="227">
        <f t="shared" si="41"/>
        <v>154.70877532629962</v>
      </c>
      <c r="R126" s="227" t="str">
        <f t="shared" si="27"/>
        <v>0.0878666666666667+0.00456870034890318i</v>
      </c>
      <c r="S126" s="227" t="str">
        <f t="shared" si="28"/>
        <v>0.0085-39.3985129804394i</v>
      </c>
      <c r="T126" s="227" t="str">
        <f t="shared" si="29"/>
        <v>11.788657086713-3.91672571908078i</v>
      </c>
      <c r="U126" s="227" t="str">
        <f t="shared" si="30"/>
        <v>80.9684132673196-4.15105959398942i</v>
      </c>
      <c r="V126" s="227">
        <f t="shared" si="42"/>
        <v>38.177712465911576</v>
      </c>
      <c r="W126" s="227">
        <f t="shared" si="43"/>
        <v>-2.9348499985790539</v>
      </c>
      <c r="X126" s="227" t="str">
        <f t="shared" si="31"/>
        <v>0.999999829796941-0.000121490037347108i</v>
      </c>
      <c r="Y126" s="227" t="str">
        <f t="shared" si="32"/>
        <v>62.3602530214053+7.58398156926399i</v>
      </c>
      <c r="Z126" s="227" t="str">
        <f t="shared" si="33"/>
        <v>32.4749744932199+3.9454608590116i</v>
      </c>
      <c r="AA126" s="227" t="str">
        <f t="shared" si="34"/>
        <v>18.5224089162737-3.15175151251511i</v>
      </c>
      <c r="AB126" s="227">
        <f t="shared" si="44"/>
        <v>25.477909076632848</v>
      </c>
      <c r="AC126" s="227">
        <f t="shared" si="45"/>
        <v>-9.6568900095462133</v>
      </c>
      <c r="AD126" s="229">
        <f t="shared" si="46"/>
        <v>1.990776250513183</v>
      </c>
      <c r="AE126" s="229">
        <f t="shared" si="47"/>
        <v>102.81246764263099</v>
      </c>
      <c r="AF126" s="227">
        <f t="shared" si="35"/>
        <v>27.46868532714603</v>
      </c>
      <c r="AG126" s="227">
        <f t="shared" si="36"/>
        <v>93.155577633084775</v>
      </c>
      <c r="AH126" s="229" t="str">
        <f t="shared" si="37"/>
        <v>0.278883852666343-1.22627667792245i</v>
      </c>
    </row>
    <row r="127" spans="9:34" x14ac:dyDescent="0.2">
      <c r="I127" s="227">
        <v>123</v>
      </c>
      <c r="J127" s="227">
        <f t="shared" si="25"/>
        <v>2.1992650707943584</v>
      </c>
      <c r="K127" s="227">
        <f t="shared" si="48"/>
        <v>158.22134455299712</v>
      </c>
      <c r="L127" s="227">
        <f t="shared" si="38"/>
        <v>994.13402737759043</v>
      </c>
      <c r="M127" s="227">
        <f t="shared" si="26"/>
        <v>5658.3471533144775</v>
      </c>
      <c r="N127" s="227">
        <f>SQRT((ABS(AC127)-171.5+'Small Signal'!C$59)^2)</f>
        <v>91.627571005611713</v>
      </c>
      <c r="O127" s="227">
        <f t="shared" si="39"/>
        <v>93.215319500280614</v>
      </c>
      <c r="P127" s="227">
        <f t="shared" si="40"/>
        <v>27.278420750867625</v>
      </c>
      <c r="Q127" s="227">
        <f t="shared" si="41"/>
        <v>158.22134455299712</v>
      </c>
      <c r="R127" s="227" t="str">
        <f t="shared" si="27"/>
        <v>0.0878666666666667+0.00467242992867467i</v>
      </c>
      <c r="S127" s="227" t="str">
        <f t="shared" si="28"/>
        <v>0.0085-38.5238522027567i</v>
      </c>
      <c r="T127" s="227" t="str">
        <f t="shared" si="29"/>
        <v>11.7350502769684-3.98742448560559i</v>
      </c>
      <c r="U127" s="227" t="str">
        <f t="shared" si="30"/>
        <v>80.9673444839113-4.24564169728822i</v>
      </c>
      <c r="V127" s="227">
        <f t="shared" si="42"/>
        <v>38.178122817828033</v>
      </c>
      <c r="W127" s="227">
        <f t="shared" si="43"/>
        <v>-3.0016393288320224</v>
      </c>
      <c r="X127" s="227" t="str">
        <f t="shared" si="31"/>
        <v>0.999999821980488-0.000124248395207777i</v>
      </c>
      <c r="Y127" s="227" t="str">
        <f t="shared" si="32"/>
        <v>62.3811374842799+7.7559339362165i</v>
      </c>
      <c r="Z127" s="227" t="str">
        <f t="shared" si="33"/>
        <v>32.4858719746665+4.0349151783839i</v>
      </c>
      <c r="AA127" s="227" t="str">
        <f t="shared" si="34"/>
        <v>18.4995468781984-3.21951532842095i</v>
      </c>
      <c r="AB127" s="227">
        <f t="shared" si="44"/>
        <v>25.472804772328075</v>
      </c>
      <c r="AC127" s="227">
        <f t="shared" si="45"/>
        <v>-9.8724289943882884</v>
      </c>
      <c r="AD127" s="229">
        <f t="shared" si="46"/>
        <v>1.80561597853955</v>
      </c>
      <c r="AE127" s="229">
        <f t="shared" si="47"/>
        <v>103.0877484946689</v>
      </c>
      <c r="AF127" s="227">
        <f t="shared" si="35"/>
        <v>27.278420750867625</v>
      </c>
      <c r="AG127" s="227">
        <f t="shared" si="36"/>
        <v>93.215319500280614</v>
      </c>
      <c r="AH127" s="229" t="str">
        <f t="shared" si="37"/>
        <v>0.278765979460334-1.19908684832799i</v>
      </c>
    </row>
    <row r="128" spans="9:34" x14ac:dyDescent="0.2">
      <c r="I128" s="227">
        <v>124</v>
      </c>
      <c r="J128" s="227">
        <f t="shared" si="25"/>
        <v>2.2090151933211417</v>
      </c>
      <c r="K128" s="227">
        <f t="shared" si="48"/>
        <v>161.81366454073756</v>
      </c>
      <c r="L128" s="227">
        <f t="shared" si="38"/>
        <v>1016.7052395432487</v>
      </c>
      <c r="M128" s="227">
        <f t="shared" si="26"/>
        <v>5654.6732718728717</v>
      </c>
      <c r="N128" s="227">
        <f>SQRT((ABS(AC128)-171.5+'Small Signal'!C$59)^2)</f>
        <v>91.407391411353558</v>
      </c>
      <c r="O128" s="227">
        <f t="shared" si="39"/>
        <v>93.276129787843871</v>
      </c>
      <c r="P128" s="227">
        <f t="shared" si="40"/>
        <v>27.08835630426794</v>
      </c>
      <c r="Q128" s="227">
        <f t="shared" si="41"/>
        <v>161.81366454073756</v>
      </c>
      <c r="R128" s="227" t="str">
        <f t="shared" si="27"/>
        <v>0.0878666666666667+0.00477851462585327i</v>
      </c>
      <c r="S128" s="227" t="str">
        <f t="shared" si="28"/>
        <v>0.0085-37.6686092004707i</v>
      </c>
      <c r="T128" s="227" t="str">
        <f t="shared" si="29"/>
        <v>11.6795011498119-4.05863911773909i</v>
      </c>
      <c r="U128" s="227" t="str">
        <f t="shared" si="30"/>
        <v>80.9662250006453-4.34239454825272i</v>
      </c>
      <c r="V128" s="227">
        <f t="shared" si="42"/>
        <v>38.178551978614983</v>
      </c>
      <c r="W128" s="227">
        <f t="shared" si="43"/>
        <v>-3.0699559025276941</v>
      </c>
      <c r="X128" s="227" t="str">
        <f t="shared" si="31"/>
        <v>0.99999981380507-0.000127069379916323i</v>
      </c>
      <c r="Y128" s="227" t="str">
        <f t="shared" si="32"/>
        <v>62.4029840717985+7.93177365581107i</v>
      </c>
      <c r="Z128" s="227" t="str">
        <f t="shared" si="33"/>
        <v>32.4972714865259+4.12639169942177i</v>
      </c>
      <c r="AA128" s="227" t="str">
        <f t="shared" si="34"/>
        <v>18.4756924424024-3.28856305731173i</v>
      </c>
      <c r="AB128" s="227">
        <f t="shared" si="44"/>
        <v>25.467472496706453</v>
      </c>
      <c r="AC128" s="227">
        <f t="shared" si="45"/>
        <v>-10.092608588646447</v>
      </c>
      <c r="AD128" s="229">
        <f t="shared" si="46"/>
        <v>1.620883807561488</v>
      </c>
      <c r="AE128" s="229">
        <f t="shared" si="47"/>
        <v>103.36873837649031</v>
      </c>
      <c r="AF128" s="227">
        <f t="shared" si="35"/>
        <v>27.08835630426794</v>
      </c>
      <c r="AG128" s="227">
        <f t="shared" si="36"/>
        <v>93.276129787843871</v>
      </c>
      <c r="AH128" s="229" t="str">
        <f t="shared" si="37"/>
        <v>0.278653273359023-1.17250139093088i</v>
      </c>
    </row>
    <row r="129" spans="9:34" x14ac:dyDescent="0.2">
      <c r="I129" s="227">
        <v>125</v>
      </c>
      <c r="J129" s="227">
        <f t="shared" si="25"/>
        <v>2.218765315847925</v>
      </c>
      <c r="K129" s="227">
        <f t="shared" si="48"/>
        <v>165.48754598234368</v>
      </c>
      <c r="L129" s="227">
        <f t="shared" si="38"/>
        <v>1039.7889174374679</v>
      </c>
      <c r="M129" s="227">
        <f t="shared" si="26"/>
        <v>5650.9159771738905</v>
      </c>
      <c r="N129" s="227">
        <f>SQRT((ABS(AC129)-171.5+'Small Signal'!C$59)^2)</f>
        <v>91.182482811651653</v>
      </c>
      <c r="O129" s="227">
        <f t="shared" si="39"/>
        <v>93.338003901774329</v>
      </c>
      <c r="P129" s="227">
        <f t="shared" si="40"/>
        <v>26.898499655219151</v>
      </c>
      <c r="Q129" s="227">
        <f t="shared" si="41"/>
        <v>165.48754598234368</v>
      </c>
      <c r="R129" s="227" t="str">
        <f t="shared" si="27"/>
        <v>0.0878666666666667+0.0048870079119561i</v>
      </c>
      <c r="S129" s="227" t="str">
        <f t="shared" si="28"/>
        <v>0.0085-36.8323528921712i</v>
      </c>
      <c r="T129" s="227" t="str">
        <f t="shared" si="29"/>
        <v>11.6219612776579-4.13032403693679i</v>
      </c>
      <c r="U129" s="227" t="str">
        <f t="shared" si="30"/>
        <v>80.9650523368151-4.44136905602077i</v>
      </c>
      <c r="V129" s="227">
        <f t="shared" si="42"/>
        <v>38.179000808635145</v>
      </c>
      <c r="W129" s="227">
        <f t="shared" si="43"/>
        <v>-3.1398351506368187</v>
      </c>
      <c r="X129" s="227" t="str">
        <f t="shared" si="31"/>
        <v>0.999999805254202-0.000129954413377471i</v>
      </c>
      <c r="Y129" s="227" t="str">
        <f t="shared" si="32"/>
        <v>62.4258372523707+8.11158780093242i</v>
      </c>
      <c r="Z129" s="227" t="str">
        <f t="shared" si="33"/>
        <v>32.5091962316768+4.21993571004832i</v>
      </c>
      <c r="AA129" s="227" t="str">
        <f t="shared" si="34"/>
        <v>18.4508052065982-3.3589072294624i</v>
      </c>
      <c r="AB129" s="227">
        <f t="shared" si="44"/>
        <v>25.461902368123912</v>
      </c>
      <c r="AC129" s="227">
        <f t="shared" si="45"/>
        <v>-10.317517188348338</v>
      </c>
      <c r="AD129" s="229">
        <f t="shared" si="46"/>
        <v>1.4365972870952384</v>
      </c>
      <c r="AE129" s="229">
        <f t="shared" si="47"/>
        <v>103.65552109012266</v>
      </c>
      <c r="AF129" s="227">
        <f t="shared" si="35"/>
        <v>26.898499655219151</v>
      </c>
      <c r="AG129" s="227">
        <f t="shared" si="36"/>
        <v>93.338003901774329</v>
      </c>
      <c r="AH129" s="229" t="str">
        <f t="shared" si="37"/>
        <v>0.278545507103863-1.1465069068907i</v>
      </c>
    </row>
    <row r="130" spans="9:34" x14ac:dyDescent="0.2">
      <c r="I130" s="227">
        <v>126</v>
      </c>
      <c r="J130" s="227">
        <f t="shared" si="25"/>
        <v>2.2285154383747088</v>
      </c>
      <c r="K130" s="227">
        <f t="shared" si="48"/>
        <v>169.24484068132415</v>
      </c>
      <c r="L130" s="227">
        <f t="shared" si="38"/>
        <v>1063.3966962848458</v>
      </c>
      <c r="M130" s="227">
        <f t="shared" si="26"/>
        <v>5647.0733753699487</v>
      </c>
      <c r="N130" s="227">
        <f>SQRT((ABS(AC130)-171.5+'Small Signal'!C$59)^2)</f>
        <v>90.952755909280398</v>
      </c>
      <c r="O130" s="227">
        <f t="shared" si="39"/>
        <v>93.400935684717794</v>
      </c>
      <c r="P130" s="227">
        <f t="shared" si="40"/>
        <v>26.708858694440586</v>
      </c>
      <c r="Q130" s="227">
        <f t="shared" si="41"/>
        <v>169.24484068132415</v>
      </c>
      <c r="R130" s="227" t="str">
        <f t="shared" si="27"/>
        <v>0.0878666666666667+0.00499796447253878i</v>
      </c>
      <c r="S130" s="227" t="str">
        <f t="shared" si="28"/>
        <v>0.0085-36.0146617666065i</v>
      </c>
      <c r="T130" s="227" t="str">
        <f t="shared" si="29"/>
        <v>11.5623828568087-4.20243042571382i</v>
      </c>
      <c r="U130" s="227" t="str">
        <f t="shared" si="30"/>
        <v>80.96382388341-4.54261739859033i</v>
      </c>
      <c r="V130" s="227">
        <f t="shared" si="42"/>
        <v>38.179470207438996</v>
      </c>
      <c r="W130" s="227">
        <f t="shared" si="43"/>
        <v>-3.21131336136451</v>
      </c>
      <c r="X130" s="227" t="str">
        <f t="shared" si="31"/>
        <v>0.999999796310641-0.000132904949779433i</v>
      </c>
      <c r="Y130" s="227" t="str">
        <f t="shared" si="32"/>
        <v>62.4497435631793+8.29546533606612i</v>
      </c>
      <c r="Z130" s="227" t="str">
        <f t="shared" si="33"/>
        <v>32.5216704924071+4.31559348150905i</v>
      </c>
      <c r="AA130" s="227" t="str">
        <f t="shared" si="34"/>
        <v>18.4248433669576-3.43055962809408i</v>
      </c>
      <c r="AB130" s="227">
        <f t="shared" si="44"/>
        <v>25.456084103931236</v>
      </c>
      <c r="AC130" s="227">
        <f t="shared" si="45"/>
        <v>-10.547244090719611</v>
      </c>
      <c r="AD130" s="229">
        <f t="shared" si="46"/>
        <v>1.2527745905093504</v>
      </c>
      <c r="AE130" s="229">
        <f t="shared" si="47"/>
        <v>103.94817977543741</v>
      </c>
      <c r="AF130" s="227">
        <f t="shared" si="35"/>
        <v>26.708858694440586</v>
      </c>
      <c r="AG130" s="227">
        <f t="shared" si="36"/>
        <v>93.400935684717794</v>
      </c>
      <c r="AH130" s="229" t="str">
        <f t="shared" si="37"/>
        <v>0.278442463396679-1.12109029515046i</v>
      </c>
    </row>
    <row r="131" spans="9:34" x14ac:dyDescent="0.2">
      <c r="I131" s="227">
        <v>127</v>
      </c>
      <c r="J131" s="227">
        <f t="shared" si="25"/>
        <v>2.2382655609014916</v>
      </c>
      <c r="K131" s="227">
        <f t="shared" si="48"/>
        <v>173.08744248526594</v>
      </c>
      <c r="L131" s="227">
        <f t="shared" si="38"/>
        <v>1087.5404754807146</v>
      </c>
      <c r="M131" s="227">
        <f t="shared" si="26"/>
        <v>5643.1435296147929</v>
      </c>
      <c r="N131" s="227">
        <f>SQRT((ABS(AC131)-171.5+'Small Signal'!C$59)^2)</f>
        <v>90.718120553796467</v>
      </c>
      <c r="O131" s="227">
        <f t="shared" si="39"/>
        <v>93.464917304478575</v>
      </c>
      <c r="P131" s="227">
        <f t="shared" si="40"/>
        <v>26.519441535492717</v>
      </c>
      <c r="Q131" s="227">
        <f t="shared" si="41"/>
        <v>173.08744248526594</v>
      </c>
      <c r="R131" s="227" t="str">
        <f t="shared" si="27"/>
        <v>0.0878666666666667+0.00511144023475936i</v>
      </c>
      <c r="S131" s="227" t="str">
        <f t="shared" si="28"/>
        <v>0.0085-35.2151236702221i</v>
      </c>
      <c r="T131" s="227" t="str">
        <f t="shared" si="29"/>
        <v>11.5007188915547-4.27490615346175i</v>
      </c>
      <c r="U131" s="227" t="str">
        <f t="shared" si="30"/>
        <v>80.9625368958645-4.6461930594861i</v>
      </c>
      <c r="V131" s="227">
        <f t="shared" si="42"/>
        <v>38.179961115533963</v>
      </c>
      <c r="W131" s="227">
        <f t="shared" si="43"/>
        <v>-3.2844277033077125</v>
      </c>
      <c r="X131" s="227" t="str">
        <f t="shared" si="31"/>
        <v>0.999999786956354-0.000135922476326885i</v>
      </c>
      <c r="Y131" s="227" t="str">
        <f t="shared" si="32"/>
        <v>62.4747517076862+8.48349715398667i</v>
      </c>
      <c r="Z131" s="227" t="str">
        <f t="shared" si="33"/>
        <v>32.5347196812851+4.41341228740464i</v>
      </c>
      <c r="AA131" s="227" t="str">
        <f t="shared" si="34"/>
        <v>18.3977636920128-3.50353121448404i</v>
      </c>
      <c r="AB131" s="227">
        <f t="shared" si="44"/>
        <v>25.450007006683187</v>
      </c>
      <c r="AC131" s="227">
        <f t="shared" si="45"/>
        <v>-10.78187944620354</v>
      </c>
      <c r="AD131" s="229">
        <f t="shared" si="46"/>
        <v>1.0694345288095306</v>
      </c>
      <c r="AE131" s="229">
        <f t="shared" si="47"/>
        <v>104.24679675068212</v>
      </c>
      <c r="AF131" s="227">
        <f t="shared" si="35"/>
        <v>26.519441535492717</v>
      </c>
      <c r="AG131" s="227">
        <f t="shared" si="36"/>
        <v>93.464917304478575</v>
      </c>
      <c r="AH131" s="229" t="str">
        <f t="shared" si="37"/>
        <v>0.27834393446152-1.09623874583918i</v>
      </c>
    </row>
    <row r="132" spans="9:34" x14ac:dyDescent="0.2">
      <c r="I132" s="227">
        <v>128</v>
      </c>
      <c r="J132" s="227">
        <f t="shared" ref="J132:J195" si="49">1+I132*(LOG(fsw)-1)/500</f>
        <v>2.2480156834282754</v>
      </c>
      <c r="K132" s="227">
        <f t="shared" si="48"/>
        <v>177.01728824042243</v>
      </c>
      <c r="L132" s="227">
        <f t="shared" si="38"/>
        <v>1112.2324245889961</v>
      </c>
      <c r="M132" s="227">
        <f t="shared" ref="M132:M195" si="50">SQRT((Fco_target-K133)^2)</f>
        <v>5639.1244590872466</v>
      </c>
      <c r="N132" s="227">
        <f>SQRT((ABS(AC132)-171.5+'Small Signal'!C$59)^2)</f>
        <v>90.478485794428678</v>
      </c>
      <c r="O132" s="227">
        <f t="shared" si="39"/>
        <v>93.529939137958806</v>
      </c>
      <c r="P132" s="227">
        <f t="shared" si="40"/>
        <v>26.330256514050486</v>
      </c>
      <c r="Q132" s="227">
        <f t="shared" si="41"/>
        <v>177.01728824042243</v>
      </c>
      <c r="R132" s="227" t="str">
        <f t="shared" ref="R132:R195" si="51">IMSUM(COMPLEX(DCRss,Lss*L132),COMPLEX(Rdsonss,0),COMPLEX(40/3*Risense,0))</f>
        <v>0.0878666666666667+0.00522749239556828i</v>
      </c>
      <c r="S132" s="227" t="str">
        <f t="shared" ref="S132:S195" si="52">IMSUM(COMPLEX(ESRss,0),IMDIV(COMPLEX(1,0),COMPLEX(0,L132*Cbulkss)))</f>
        <v>0.0085-34.4333355994164i</v>
      </c>
      <c r="T132" s="227" t="str">
        <f t="shared" ref="T132:T195" si="53">IMDIV(IMPRODUCT(S132,COMPLEX(Ross,0)),IMSUM(S132,COMPLEX(Ross,0)))</f>
        <v>11.4369233898819-4.34769571091785i</v>
      </c>
      <c r="U132" s="227" t="str">
        <f t="shared" ref="U132:U195" si="54">IMPRODUCT(COMPLEX(Vinss,0),COMPLEX(M^2,0),IMDIV(IMSUB(COMPLEX(1,0),IMDIV(IMPRODUCT(R132,COMPLEX(M^2,0)),COMPLEX(Ross,0))),IMSUM(COMPLEX(1,0),IMDIV(IMPRODUCT(R132,COMPLEX(M^2,0)),T132))))</f>
        <v>80.9611884863423-4.75215086580418i</v>
      </c>
      <c r="V132" s="227">
        <f t="shared" si="42"/>
        <v>38.180474516231506</v>
      </c>
      <c r="W132" s="227">
        <f t="shared" si="43"/>
        <v>-3.3592162493978734</v>
      </c>
      <c r="X132" s="227" t="str">
        <f t="shared" ref="X132:X195" si="55">IMSUM(COMPLEX(1,L132/(wn*q0)),IMPOWER(COMPLEX(0,L132/wn),2))</f>
        <v>0.999999777172478-0.000139008513990588i</v>
      </c>
      <c r="Y132" s="227" t="str">
        <f t="shared" ref="Y132:Y195" si="56">IMPRODUCT(COMPLEX(2*Ioutss*M^2,0),IMDIV(IMSUM(COMPLEX(1,0),IMDIV(COMPLEX(Ross,0),IMPRODUCT(COMPLEX(2,0),S132))),IMSUM(COMPLEX(1,0),IMDIV(IMPRODUCT(R132,COMPLEX(M^2,0)),T132))))</f>
        <v>62.5009126578373+8.67577611280561i</v>
      </c>
      <c r="Z132" s="227" t="str">
        <f t="shared" ref="Z132:Z195" si="57">IMPRODUCT(COMPLEX(Fm*40/3*Risense,0),Y132,X132)</f>
        <v>32.5483703944819+4.51344042290713i</v>
      </c>
      <c r="AA132" s="227" t="str">
        <f t="shared" ref="AA132:AA195" si="58">IMDIV(IMPRODUCT(COMPLEX(Fm,0),U132),IMSUM(COMPLEX(1,0),Z132))</f>
        <v>18.3695214983735-3.57783204882469i</v>
      </c>
      <c r="AB132" s="227">
        <f t="shared" si="44"/>
        <v>25.443659950104998</v>
      </c>
      <c r="AC132" s="227">
        <f t="shared" si="45"/>
        <v>-11.021514205571311</v>
      </c>
      <c r="AD132" s="229">
        <f t="shared" si="46"/>
        <v>0.88659656394548991</v>
      </c>
      <c r="AE132" s="229">
        <f t="shared" si="47"/>
        <v>104.55145334353011</v>
      </c>
      <c r="AF132" s="227">
        <f t="shared" ref="AF132:AF195" si="59">AD132+AB132</f>
        <v>26.330256514050486</v>
      </c>
      <c r="AG132" s="227">
        <f t="shared" ref="AG132:AG195" si="60">AE132+AC132</f>
        <v>93.529939137958806</v>
      </c>
      <c r="AH132" s="229" t="str">
        <f t="shared" ref="AH132:AH195" si="61">IMDIV(IMPRODUCT(COMPLEX(gea*Rea*Rslss/(Rslss+Rshss),0),COMPLEX(1,L132*Ccompss*Rcompss),COMPLEX(1,k_3*L132*Cffss*Rshss)),IMPRODUCT(COMPLEX(1,L132*Rea*Ccompss),COMPLEX(1,L132*Rcompss*Chfss),COMPLEX(1,k_3*L132*Rffss*Cffss)))</f>
        <v>0.278249721625759-1.07193973382087i</v>
      </c>
    </row>
    <row r="133" spans="9:34" x14ac:dyDescent="0.2">
      <c r="I133" s="227">
        <v>129</v>
      </c>
      <c r="J133" s="227">
        <f t="shared" si="49"/>
        <v>2.2577658059550583</v>
      </c>
      <c r="K133" s="227">
        <f t="shared" si="48"/>
        <v>181.03635876796847</v>
      </c>
      <c r="L133" s="227">
        <f t="shared" ref="L133:L196" si="62">2*PI()*K133</f>
        <v>1137.4849894761917</v>
      </c>
      <c r="M133" s="227">
        <f t="shared" si="50"/>
        <v>5635.0141379927873</v>
      </c>
      <c r="N133" s="227">
        <f>SQRT((ABS(AC133)-171.5+'Small Signal'!C$59)^2)</f>
        <v>90.233759938157675</v>
      </c>
      <c r="O133" s="227">
        <f t="shared" ref="O133:O196" si="63">ABS(AG133)</f>
        <v>93.595989650559204</v>
      </c>
      <c r="P133" s="227">
        <f t="shared" ref="P133:P196" si="64">ABS(AF133)</f>
        <v>26.141312186379547</v>
      </c>
      <c r="Q133" s="227">
        <f t="shared" ref="Q133:Q196" si="65">K133</f>
        <v>181.03635876796847</v>
      </c>
      <c r="R133" s="227" t="str">
        <f t="shared" si="51"/>
        <v>0.0878666666666667+0.0053461794505381i</v>
      </c>
      <c r="S133" s="227" t="str">
        <f t="shared" si="52"/>
        <v>0.0085-33.6689034974093i</v>
      </c>
      <c r="T133" s="227" t="str">
        <f t="shared" si="53"/>
        <v>11.3709515706657-4.42074015452405i</v>
      </c>
      <c r="U133" s="227" t="str">
        <f t="shared" si="54"/>
        <v>80.9597756155232-4.86054702770287i</v>
      </c>
      <c r="V133" s="227">
        <f t="shared" ref="V133:V196" si="66">20*LOG(IMABS(U133))</f>
        <v>38.181011437575705</v>
      </c>
      <c r="W133" s="227">
        <f t="shared" ref="W133:W196" si="67">IF(DEGREES(IMARGUMENT(U133))&gt;0,DEGREES(IMARGUMENT(U133))-360, DEGREES(IMARGUMENT(U133)))</f>
        <v>-3.4357180016641755</v>
      </c>
      <c r="X133" s="227" t="str">
        <f t="shared" si="55"/>
        <v>0.999999766939284-0.000142164618274022i</v>
      </c>
      <c r="Y133" s="227" t="str">
        <f t="shared" si="56"/>
        <v>62.5282797612263+8.87239707334914i</v>
      </c>
      <c r="Z133" s="227" t="str">
        <f t="shared" si="57"/>
        <v>32.5626504676799+4.61572722414347i</v>
      </c>
      <c r="AA133" s="227" t="str">
        <f t="shared" si="58"/>
        <v>18.3400706285434-3.65347120670415i</v>
      </c>
      <c r="AB133" s="227">
        <f t="shared" ref="AB133:AB196" si="68">20*LOG(IMABS(AA133))</f>
        <v>25.43703136483191</v>
      </c>
      <c r="AC133" s="227">
        <f t="shared" ref="AC133:AC196" si="69">IF(DEGREES(IMARGUMENT(AA133))&gt;0,DEGREES(IMARGUMENT(AA133))-360, DEGREES(IMARGUMENT(AA133)))</f>
        <v>-11.266240061842323</v>
      </c>
      <c r="AD133" s="229">
        <f t="shared" ref="AD133:AD196" si="70">20*LOG(IMABS(AH133))</f>
        <v>0.70428082154763838</v>
      </c>
      <c r="AE133" s="229">
        <f t="shared" ref="AE133:AE196" si="71">180+DEGREES(IMARGUMENT(AH133))</f>
        <v>104.86222971240153</v>
      </c>
      <c r="AF133" s="227">
        <f t="shared" si="59"/>
        <v>26.141312186379547</v>
      </c>
      <c r="AG133" s="227">
        <f t="shared" si="60"/>
        <v>93.595989650559204</v>
      </c>
      <c r="AH133" s="229" t="str">
        <f t="shared" si="61"/>
        <v>0.2781596349195-1.04818101238657i</v>
      </c>
    </row>
    <row r="134" spans="9:34" x14ac:dyDescent="0.2">
      <c r="I134" s="227">
        <v>130</v>
      </c>
      <c r="J134" s="227">
        <f t="shared" si="49"/>
        <v>2.267515928481842</v>
      </c>
      <c r="K134" s="227">
        <f t="shared" si="48"/>
        <v>185.14667986242827</v>
      </c>
      <c r="L134" s="227">
        <f t="shared" si="62"/>
        <v>1163.3108985846918</v>
      </c>
      <c r="M134" s="227">
        <f t="shared" si="50"/>
        <v>5630.8104945424502</v>
      </c>
      <c r="N134" s="227">
        <f>SQRT((ABS(AC134)-171.5+'Small Signal'!C$59)^2)</f>
        <v>89.983850613266043</v>
      </c>
      <c r="O134" s="227">
        <f t="shared" si="63"/>
        <v>93.663055271103616</v>
      </c>
      <c r="P134" s="227">
        <f t="shared" si="64"/>
        <v>25.952617326945148</v>
      </c>
      <c r="Q134" s="227">
        <f t="shared" si="65"/>
        <v>185.14667986242827</v>
      </c>
      <c r="R134" s="227" t="str">
        <f t="shared" si="51"/>
        <v>0.0878666666666667+0.00546756122334805i</v>
      </c>
      <c r="S134" s="227" t="str">
        <f t="shared" si="52"/>
        <v>0.0085-32.9214420556186i</v>
      </c>
      <c r="T134" s="227" t="str">
        <f t="shared" si="53"/>
        <v>11.3027600821147-4.49397706196457i</v>
      </c>
      <c r="U134" s="227" t="str">
        <f t="shared" si="54"/>
        <v>80.9582950838671-4.9714391794158i</v>
      </c>
      <c r="V134" s="227">
        <f t="shared" si="66"/>
        <v>38.181572954357847</v>
      </c>
      <c r="W134" s="227">
        <f t="shared" si="67"/>
        <v>-3.5139729168572473</v>
      </c>
      <c r="X134" s="227" t="str">
        <f t="shared" si="55"/>
        <v>0.999999756236138-0.000145392379997437i</v>
      </c>
      <c r="Y134" s="227" t="str">
        <f t="shared" si="56"/>
        <v>62.5569088534532+9.07345693683365i</v>
      </c>
      <c r="Z134" s="227" t="str">
        <f t="shared" si="57"/>
        <v>32.577589034692+4.72032308772967i</v>
      </c>
      <c r="AA134" s="227" t="str">
        <f t="shared" si="58"/>
        <v>18.3093634311575-3.7304566910951i</v>
      </c>
      <c r="AB134" s="227">
        <f t="shared" si="68"/>
        <v>25.430109223947731</v>
      </c>
      <c r="AC134" s="227">
        <f t="shared" si="69"/>
        <v>-11.516149386733947</v>
      </c>
      <c r="AD134" s="229">
        <f t="shared" si="70"/>
        <v>0.52250810299741834</v>
      </c>
      <c r="AE134" s="229">
        <f t="shared" si="71"/>
        <v>105.17920465783756</v>
      </c>
      <c r="AF134" s="227">
        <f t="shared" si="59"/>
        <v>25.952617326945148</v>
      </c>
      <c r="AG134" s="227">
        <f t="shared" si="60"/>
        <v>93.663055271103616</v>
      </c>
      <c r="AH134" s="229" t="str">
        <f t="shared" si="61"/>
        <v>0.27807349269257-1.02495060708649i</v>
      </c>
    </row>
    <row r="135" spans="9:34" x14ac:dyDescent="0.2">
      <c r="I135" s="227">
        <v>131</v>
      </c>
      <c r="J135" s="227">
        <f t="shared" si="49"/>
        <v>2.2772660510086258</v>
      </c>
      <c r="K135" s="227">
        <f t="shared" si="48"/>
        <v>189.3503233127646</v>
      </c>
      <c r="L135" s="227">
        <f t="shared" si="62"/>
        <v>1189.7231693484669</v>
      </c>
      <c r="M135" s="227">
        <f t="shared" si="50"/>
        <v>5626.5114099085586</v>
      </c>
      <c r="N135" s="227">
        <f>SQRT((ABS(AC135)-171.5+'Small Signal'!C$59)^2)</f>
        <v>89.728664838656357</v>
      </c>
      <c r="O135" s="227">
        <f t="shared" si="63"/>
        <v>93.731120262391144</v>
      </c>
      <c r="P135" s="227">
        <f t="shared" si="64"/>
        <v>25.764180925069837</v>
      </c>
      <c r="Q135" s="227">
        <f t="shared" si="65"/>
        <v>189.3503233127646</v>
      </c>
      <c r="R135" s="227" t="str">
        <f t="shared" si="51"/>
        <v>0.0878666666666667+0.00559169889593779i</v>
      </c>
      <c r="S135" s="227" t="str">
        <f t="shared" si="52"/>
        <v>0.0085-32.1905745194479i</v>
      </c>
      <c r="T135" s="227" t="str">
        <f t="shared" si="53"/>
        <v>11.232307231112-4.56734050021425i</v>
      </c>
      <c r="U135" s="227" t="str">
        <f t="shared" si="54"/>
        <v>80.9567435222922-5.08488642186033i</v>
      </c>
      <c r="V135" s="227">
        <f t="shared" si="66"/>
        <v>38.182160190218141</v>
      </c>
      <c r="W135" s="227">
        <f t="shared" si="67"/>
        <v>-3.5940219329714891</v>
      </c>
      <c r="X135" s="227" t="str">
        <f t="shared" si="55"/>
        <v>0.999999745041458-0.00014869342609969i</v>
      </c>
      <c r="Y135" s="227" t="str">
        <f t="shared" si="56"/>
        <v>62.5868583759472+9.27905468279968i</v>
      </c>
      <c r="Z135" s="227" t="str">
        <f t="shared" si="57"/>
        <v>32.5932165889304+4.82727949043464i</v>
      </c>
      <c r="AA135" s="227" t="str">
        <f t="shared" si="58"/>
        <v>18.2773507439724-3.80879533974375i</v>
      </c>
      <c r="AB135" s="227">
        <f t="shared" si="68"/>
        <v>25.422881028344534</v>
      </c>
      <c r="AC135" s="227">
        <f t="shared" si="69"/>
        <v>-11.771335161343645</v>
      </c>
      <c r="AD135" s="229">
        <f t="shared" si="70"/>
        <v>0.34129989672530436</v>
      </c>
      <c r="AE135" s="229">
        <f t="shared" si="71"/>
        <v>105.50245542373479</v>
      </c>
      <c r="AF135" s="227">
        <f t="shared" si="59"/>
        <v>25.764180925069837</v>
      </c>
      <c r="AG135" s="227">
        <f t="shared" si="60"/>
        <v>93.731120262391144</v>
      </c>
      <c r="AH135" s="229" t="str">
        <f t="shared" si="61"/>
        <v>0.27799112124824-1.00223680969899i</v>
      </c>
    </row>
    <row r="136" spans="9:34" x14ac:dyDescent="0.2">
      <c r="I136" s="227">
        <v>132</v>
      </c>
      <c r="J136" s="227">
        <f t="shared" si="49"/>
        <v>2.2870161735354086</v>
      </c>
      <c r="K136" s="227">
        <f t="shared" ref="K136:K199" si="72">10^(J136)</f>
        <v>193.64940794665668</v>
      </c>
      <c r="L136" s="227">
        <f t="shared" si="62"/>
        <v>1216.7351147544591</v>
      </c>
      <c r="M136" s="227">
        <f t="shared" si="50"/>
        <v>5622.1147171567281</v>
      </c>
      <c r="N136" s="227">
        <f>SQRT((ABS(AC136)-171.5+'Small Signal'!C$59)^2)</f>
        <v>89.468109099230531</v>
      </c>
      <c r="O136" s="227">
        <f t="shared" si="63"/>
        <v>93.800166587514923</v>
      </c>
      <c r="P136" s="227">
        <f t="shared" si="64"/>
        <v>25.576012180559985</v>
      </c>
      <c r="Q136" s="227">
        <f t="shared" si="65"/>
        <v>193.64940794665668</v>
      </c>
      <c r="R136" s="227" t="str">
        <f t="shared" si="51"/>
        <v>0.0878666666666667+0.00571865503934596i</v>
      </c>
      <c r="S136" s="227" t="str">
        <f t="shared" si="52"/>
        <v>0.0085-31.4759324983846i</v>
      </c>
      <c r="T136" s="227" t="str">
        <f t="shared" si="53"/>
        <v>11.1595532229606-4.64076100746365i</v>
      </c>
      <c r="U136" s="227" t="str">
        <f t="shared" si="54"/>
        <v>80.9551173822544-5.20094936692907i</v>
      </c>
      <c r="V136" s="227">
        <f t="shared" si="66"/>
        <v>38.182774319841265</v>
      </c>
      <c r="W136" s="227">
        <f t="shared" si="67"/>
        <v>-3.6759069967115607</v>
      </c>
      <c r="X136" s="227" t="str">
        <f t="shared" si="55"/>
        <v>0.999999733332671-0.000152069420458306i</v>
      </c>
      <c r="Y136" s="227" t="str">
        <f t="shared" si="56"/>
        <v>62.6181894995388+9.4892914072646i</v>
      </c>
      <c r="Z136" s="227" t="str">
        <f t="shared" si="57"/>
        <v>32.6095650478746+4.93664900895277i</v>
      </c>
      <c r="AA136" s="227" t="str">
        <f t="shared" si="58"/>
        <v>18.2439818799774-3.888492727869i</v>
      </c>
      <c r="AB136" s="227">
        <f t="shared" si="68"/>
        <v>25.415333791934437</v>
      </c>
      <c r="AC136" s="227">
        <f t="shared" si="69"/>
        <v>-12.031890900769479</v>
      </c>
      <c r="AD136" s="229">
        <f t="shared" si="70"/>
        <v>0.16067838862554679</v>
      </c>
      <c r="AE136" s="229">
        <f t="shared" si="71"/>
        <v>105.83205748828441</v>
      </c>
      <c r="AF136" s="227">
        <f t="shared" si="59"/>
        <v>25.576012180559985</v>
      </c>
      <c r="AG136" s="227">
        <f t="shared" si="60"/>
        <v>93.800166587514923</v>
      </c>
      <c r="AH136" s="229" t="str">
        <f t="shared" si="61"/>
        <v>0.277912354493028-0.980028172333435i</v>
      </c>
    </row>
    <row r="137" spans="9:34" x14ac:dyDescent="0.2">
      <c r="I137" s="227">
        <v>133</v>
      </c>
      <c r="J137" s="227">
        <f t="shared" si="49"/>
        <v>2.2967662960621924</v>
      </c>
      <c r="K137" s="227">
        <f t="shared" si="72"/>
        <v>198.04610069848653</v>
      </c>
      <c r="L137" s="227">
        <f t="shared" si="62"/>
        <v>1244.3603500529393</v>
      </c>
      <c r="M137" s="227">
        <f t="shared" si="50"/>
        <v>5617.6182001536454</v>
      </c>
      <c r="N137" s="227">
        <f>SQRT((ABS(AC137)-171.5+'Small Signal'!C$59)^2)</f>
        <v>89.20208942763756</v>
      </c>
      <c r="O137" s="227">
        <f t="shared" si="63"/>
        <v>93.870173772127401</v>
      </c>
      <c r="P137" s="227">
        <f t="shared" si="64"/>
        <v>25.388120498214935</v>
      </c>
      <c r="Q137" s="227">
        <f t="shared" si="65"/>
        <v>198.04610069848653</v>
      </c>
      <c r="R137" s="227" t="str">
        <f t="shared" si="51"/>
        <v>0.0878666666666667+0.00584849364524882i</v>
      </c>
      <c r="S137" s="227" t="str">
        <f t="shared" si="52"/>
        <v>0.0085-30.7771557803141i</v>
      </c>
      <c r="T137" s="227" t="str">
        <f t="shared" si="53"/>
        <v>11.0844604109033-4.71416559030898i</v>
      </c>
      <c r="U137" s="227" t="str">
        <f t="shared" si="54"/>
        <v>80.9534129251543-5.31969018354681i</v>
      </c>
      <c r="V137" s="227">
        <f t="shared" si="66"/>
        <v>38.183416571246816</v>
      </c>
      <c r="W137" s="227">
        <f t="shared" si="67"/>
        <v>-3.7596710919460747</v>
      </c>
      <c r="X137" s="227" t="str">
        <f t="shared" si="55"/>
        <v>0.999999721086165-0.000155522064728141i</v>
      </c>
      <c r="Y137" s="227" t="str">
        <f t="shared" si="56"/>
        <v>62.6509662540647+9.70427036104564i</v>
      </c>
      <c r="Z137" s="227" t="str">
        <f t="shared" si="57"/>
        <v>32.626667820686+5.04848533975975i</v>
      </c>
      <c r="AA137" s="227" t="str">
        <f t="shared" si="58"/>
        <v>18.2092046170144-3.96955306609388i</v>
      </c>
      <c r="AB137" s="227">
        <f t="shared" si="68"/>
        <v>25.407454026744961</v>
      </c>
      <c r="AC137" s="227">
        <f t="shared" si="69"/>
        <v>-12.297910572362433</v>
      </c>
      <c r="AD137" s="229">
        <f t="shared" si="70"/>
        <v>-1.9333528530025294E-2</v>
      </c>
      <c r="AE137" s="229">
        <f t="shared" si="71"/>
        <v>106.16808434448983</v>
      </c>
      <c r="AF137" s="227">
        <f t="shared" si="59"/>
        <v>25.388120498214935</v>
      </c>
      <c r="AG137" s="227">
        <f t="shared" si="60"/>
        <v>93.870173772127401</v>
      </c>
      <c r="AH137" s="229" t="str">
        <f t="shared" si="61"/>
        <v>0.277837033601796-0.958313501664069i</v>
      </c>
    </row>
    <row r="138" spans="9:34" x14ac:dyDescent="0.2">
      <c r="I138" s="227">
        <v>134</v>
      </c>
      <c r="J138" s="227">
        <f t="shared" si="49"/>
        <v>2.3065164185889757</v>
      </c>
      <c r="K138" s="227">
        <f t="shared" si="72"/>
        <v>202.5426177015697</v>
      </c>
      <c r="L138" s="227">
        <f t="shared" si="62"/>
        <v>1272.6127996201947</v>
      </c>
      <c r="M138" s="227">
        <f t="shared" si="50"/>
        <v>5613.0195924500249</v>
      </c>
      <c r="N138" s="227">
        <f>SQRT((ABS(AC138)-171.5+'Small Signal'!C$59)^2)</f>
        <v>88.930511492698088</v>
      </c>
      <c r="O138" s="227">
        <f t="shared" si="63"/>
        <v>93.941118762888152</v>
      </c>
      <c r="P138" s="227">
        <f t="shared" si="64"/>
        <v>25.200515481129084</v>
      </c>
      <c r="Q138" s="227">
        <f t="shared" si="65"/>
        <v>202.5426177015697</v>
      </c>
      <c r="R138" s="227" t="str">
        <f t="shared" si="51"/>
        <v>0.0878666666666667+0.00598128015821491i</v>
      </c>
      <c r="S138" s="227" t="str">
        <f t="shared" si="52"/>
        <v>0.0085-30.0938921499574i</v>
      </c>
      <c r="T138" s="227" t="str">
        <f t="shared" si="53"/>
        <v>11.0069935546269-4.78747773760425i</v>
      </c>
      <c r="U138" s="227" t="str">
        <f t="shared" si="54"/>
        <v>80.9516262110454-5.4411726455896i</v>
      </c>
      <c r="V138" s="227">
        <f t="shared" si="66"/>
        <v>38.184088228180912</v>
      </c>
      <c r="W138" s="227">
        <f t="shared" si="67"/>
        <v>-3.8453582691985115</v>
      </c>
      <c r="X138" s="227" t="str">
        <f t="shared" si="55"/>
        <v>0.999999708277248-0.000159053099199097i</v>
      </c>
      <c r="Y138" s="227" t="str">
        <f t="shared" si="56"/>
        <v>62.6852556643311+9.92409698820096i</v>
      </c>
      <c r="Z138" s="227" t="str">
        <f t="shared" si="57"/>
        <v>32.6445598791395+5.16284331902397i</v>
      </c>
      <c r="AA138" s="227" t="str">
        <f t="shared" si="58"/>
        <v>18.1729651913244-4.05197909355103i</v>
      </c>
      <c r="AB138" s="227">
        <f t="shared" si="68"/>
        <v>25.39922772793501</v>
      </c>
      <c r="AC138" s="227">
        <f t="shared" si="69"/>
        <v>-12.569488507301923</v>
      </c>
      <c r="AD138" s="229">
        <f t="shared" si="70"/>
        <v>-0.1987122468059267</v>
      </c>
      <c r="AE138" s="229">
        <f t="shared" si="71"/>
        <v>106.51060727019008</v>
      </c>
      <c r="AF138" s="227">
        <f t="shared" si="59"/>
        <v>25.200515481129084</v>
      </c>
      <c r="AG138" s="227">
        <f t="shared" si="60"/>
        <v>93.941118762888152</v>
      </c>
      <c r="AH138" s="229" t="str">
        <f t="shared" si="61"/>
        <v>0.277765006697514-0.937081853291813i</v>
      </c>
    </row>
    <row r="139" spans="9:34" x14ac:dyDescent="0.2">
      <c r="I139" s="227">
        <v>135</v>
      </c>
      <c r="J139" s="227">
        <f t="shared" si="49"/>
        <v>2.316266541115759</v>
      </c>
      <c r="K139" s="227">
        <f t="shared" si="72"/>
        <v>207.14122540519048</v>
      </c>
      <c r="L139" s="227">
        <f t="shared" si="62"/>
        <v>1301.5067039770677</v>
      </c>
      <c r="M139" s="227">
        <f t="shared" si="50"/>
        <v>5608.3165761382215</v>
      </c>
      <c r="N139" s="227">
        <f>SQRT((ABS(AC139)-171.5+'Small Signal'!C$59)^2)</f>
        <v>88.653280694813162</v>
      </c>
      <c r="O139" s="227">
        <f t="shared" si="63"/>
        <v>94.012975782369651</v>
      </c>
      <c r="P139" s="227">
        <f t="shared" si="64"/>
        <v>25.013206922697055</v>
      </c>
      <c r="Q139" s="227">
        <f t="shared" si="65"/>
        <v>207.14122540519048</v>
      </c>
      <c r="R139" s="227" t="str">
        <f t="shared" si="51"/>
        <v>0.0878666666666667+0.00611708150869222i</v>
      </c>
      <c r="S139" s="227" t="str">
        <f t="shared" si="52"/>
        <v>0.0085-29.4257972113376i</v>
      </c>
      <c r="T139" s="227" t="str">
        <f t="shared" si="53"/>
        <v>10.9271200868023-4.86061745236704i</v>
      </c>
      <c r="U139" s="227" t="str">
        <f t="shared" si="54"/>
        <v>80.949753086569-5.56546218176203i</v>
      </c>
      <c r="V139" s="227">
        <f t="shared" si="66"/>
        <v>38.184790632611026</v>
      </c>
      <c r="W139" s="227">
        <f t="shared" si="67"/>
        <v>-3.9330136762257317</v>
      </c>
      <c r="X139" s="227" t="str">
        <f t="shared" si="55"/>
        <v>0.999999694880091-0.000162664303673305i</v>
      </c>
      <c r="Y139" s="227" t="str">
        <f t="shared" si="56"/>
        <v>62.7211278927455+10.1488789645306i</v>
      </c>
      <c r="Z139" s="227" t="str">
        <f t="shared" si="57"/>
        <v>32.6632778320324+5.27977894254282i</v>
      </c>
      <c r="AA139" s="227" t="str">
        <f t="shared" si="58"/>
        <v>18.1352082954643-4.1357719661262i</v>
      </c>
      <c r="AB139" s="227">
        <f t="shared" si="68"/>
        <v>25.390640358772011</v>
      </c>
      <c r="AC139" s="227">
        <f t="shared" si="69"/>
        <v>-12.846719305186834</v>
      </c>
      <c r="AD139" s="229">
        <f t="shared" si="70"/>
        <v>-0.37743343607495461</v>
      </c>
      <c r="AE139" s="229">
        <f t="shared" si="71"/>
        <v>106.85969508755649</v>
      </c>
      <c r="AF139" s="227">
        <f t="shared" si="59"/>
        <v>25.013206922697055</v>
      </c>
      <c r="AG139" s="227">
        <f t="shared" si="60"/>
        <v>94.012975782369651</v>
      </c>
      <c r="AH139" s="229" t="str">
        <f t="shared" si="61"/>
        <v>0.277696128545043-0.916322526231374i</v>
      </c>
    </row>
    <row r="140" spans="9:34" x14ac:dyDescent="0.2">
      <c r="I140" s="227">
        <v>136</v>
      </c>
      <c r="J140" s="227">
        <f t="shared" si="49"/>
        <v>2.3260166636425423</v>
      </c>
      <c r="K140" s="227">
        <f t="shared" si="72"/>
        <v>211.84424171699328</v>
      </c>
      <c r="L140" s="227">
        <f t="shared" si="62"/>
        <v>1331.0566269668129</v>
      </c>
      <c r="M140" s="227">
        <f t="shared" si="50"/>
        <v>5603.5067806838997</v>
      </c>
      <c r="N140" s="227">
        <f>SQRT((ABS(AC140)-171.5+'Small Signal'!C$59)^2)</f>
        <v>88.370302268676255</v>
      </c>
      <c r="O140" s="227">
        <f t="shared" si="63"/>
        <v>94.085716180763654</v>
      </c>
      <c r="P140" s="227">
        <f t="shared" si="64"/>
        <v>24.826204797227227</v>
      </c>
      <c r="Q140" s="227">
        <f t="shared" si="65"/>
        <v>211.84424171699328</v>
      </c>
      <c r="R140" s="227" t="str">
        <f t="shared" si="51"/>
        <v>0.0878666666666667+0.00625596614674402i</v>
      </c>
      <c r="S140" s="227" t="str">
        <f t="shared" si="52"/>
        <v>0.0085-28.7725342141889i</v>
      </c>
      <c r="T140" s="227" t="str">
        <f t="shared" si="53"/>
        <v>10.8448103865397-4.9335013031056i</v>
      </c>
      <c r="U140" s="227" t="str">
        <f t="shared" si="54"/>
        <v>80.9477891720735-5.6926259275382i</v>
      </c>
      <c r="V140" s="227">
        <f t="shared" si="66"/>
        <v>38.185525187330029</v>
      </c>
      <c r="W140" s="227">
        <f t="shared" si="67"/>
        <v>-4.0226835897383211</v>
      </c>
      <c r="X140" s="227" t="str">
        <f t="shared" si="55"/>
        <v>0.999999680867678-0.000166357498362228i</v>
      </c>
      <c r="Y140" s="227" t="str">
        <f t="shared" si="56"/>
        <v>62.7586563889866+10.378726236072i</v>
      </c>
      <c r="Z140" s="227" t="str">
        <f t="shared" si="57"/>
        <v>32.6828600032653+5.39934938566947i</v>
      </c>
      <c r="AA140" s="227" t="str">
        <f t="shared" si="58"/>
        <v>18.095877081065-4.22093113982513i</v>
      </c>
      <c r="AB140" s="227">
        <f t="shared" si="68"/>
        <v>25.381676835614986</v>
      </c>
      <c r="AC140" s="227">
        <f t="shared" si="69"/>
        <v>-13.129697731323757</v>
      </c>
      <c r="AD140" s="229">
        <f t="shared" si="70"/>
        <v>-0.55547203838775994</v>
      </c>
      <c r="AE140" s="229">
        <f t="shared" si="71"/>
        <v>107.21541391208741</v>
      </c>
      <c r="AF140" s="227">
        <f t="shared" si="59"/>
        <v>24.826204797227227</v>
      </c>
      <c r="AG140" s="227">
        <f t="shared" si="60"/>
        <v>94.085716180763654</v>
      </c>
      <c r="AH140" s="229" t="str">
        <f t="shared" si="61"/>
        <v>0.277630260258283-0.896025057520788i</v>
      </c>
    </row>
    <row r="141" spans="9:34" x14ac:dyDescent="0.2">
      <c r="I141" s="227">
        <v>137</v>
      </c>
      <c r="J141" s="227">
        <f t="shared" si="49"/>
        <v>2.3357667861693256</v>
      </c>
      <c r="K141" s="227">
        <f t="shared" si="72"/>
        <v>216.65403717131503</v>
      </c>
      <c r="L141" s="227">
        <f t="shared" si="62"/>
        <v>1361.2774630959466</v>
      </c>
      <c r="M141" s="227">
        <f t="shared" si="50"/>
        <v>5598.587781731173</v>
      </c>
      <c r="N141" s="227">
        <f>SQRT((ABS(AC141)-171.5+'Small Signal'!C$59)^2)</f>
        <v>88.081481393596192</v>
      </c>
      <c r="O141" s="227">
        <f t="shared" si="63"/>
        <v>94.159308284786377</v>
      </c>
      <c r="P141" s="227">
        <f t="shared" si="64"/>
        <v>24.63951924906921</v>
      </c>
      <c r="Q141" s="227">
        <f t="shared" si="65"/>
        <v>216.65403717131503</v>
      </c>
      <c r="R141" s="227" t="str">
        <f t="shared" si="51"/>
        <v>0.0878666666666667+0.00639800407655095i</v>
      </c>
      <c r="S141" s="227" t="str">
        <f t="shared" si="52"/>
        <v>0.0085-28.1337738842197i</v>
      </c>
      <c r="T141" s="227" t="str">
        <f t="shared" si="53"/>
        <v>10.7600380584607-5.00604249589324i</v>
      </c>
      <c r="U141" s="227" t="str">
        <f t="shared" si="54"/>
        <v>80.9457298478475-5.8227327792777i</v>
      </c>
      <c r="V141" s="227">
        <f t="shared" si="66"/>
        <v>38.186293358672877</v>
      </c>
      <c r="W141" s="227">
        <f t="shared" si="67"/>
        <v>-4.1144154483209263</v>
      </c>
      <c r="X141" s="227" t="str">
        <f t="shared" si="55"/>
        <v>0.999999666211756-0.000170134544804132i</v>
      </c>
      <c r="Y141" s="227" t="str">
        <f t="shared" si="56"/>
        <v>62.7979180470615+10.6137510575166i</v>
      </c>
      <c r="Z141" s="227" t="str">
        <f t="shared" si="57"/>
        <v>32.7033465137757+5.52161302319149i</v>
      </c>
      <c r="AA141" s="227" t="str">
        <f t="shared" si="58"/>
        <v>18.0549131669314-4.30745424928058i</v>
      </c>
      <c r="AB141" s="227">
        <f t="shared" si="68"/>
        <v>25.372321512954173</v>
      </c>
      <c r="AC141" s="227">
        <f t="shared" si="69"/>
        <v>-13.418518606403818</v>
      </c>
      <c r="AD141" s="229">
        <f t="shared" si="70"/>
        <v>-0.73280226388496494</v>
      </c>
      <c r="AE141" s="229">
        <f t="shared" si="71"/>
        <v>107.5778268911902</v>
      </c>
      <c r="AF141" s="227">
        <f t="shared" si="59"/>
        <v>24.63951924906921</v>
      </c>
      <c r="AG141" s="227">
        <f t="shared" si="60"/>
        <v>94.159308284786377</v>
      </c>
      <c r="AH141" s="229" t="str">
        <f t="shared" si="61"/>
        <v>0.277567269020142-0.876179216950693i</v>
      </c>
    </row>
    <row r="142" spans="9:34" x14ac:dyDescent="0.2">
      <c r="I142" s="227">
        <v>138</v>
      </c>
      <c r="J142" s="227">
        <f t="shared" si="49"/>
        <v>2.3455169086961094</v>
      </c>
      <c r="K142" s="227">
        <f t="shared" si="72"/>
        <v>221.57303612404195</v>
      </c>
      <c r="L142" s="227">
        <f t="shared" si="62"/>
        <v>1392.184445041752</v>
      </c>
      <c r="M142" s="227">
        <f t="shared" si="50"/>
        <v>5593.5570998806206</v>
      </c>
      <c r="N142" s="227">
        <f>SQRT((ABS(AC142)-171.5+'Small Signal'!C$59)^2)</f>
        <v>87.786723311742776</v>
      </c>
      <c r="O142" s="227">
        <f t="shared" si="63"/>
        <v>94.23371724424419</v>
      </c>
      <c r="P142" s="227">
        <f t="shared" si="64"/>
        <v>24.453160580159988</v>
      </c>
      <c r="Q142" s="227">
        <f t="shared" si="65"/>
        <v>221.57303612404195</v>
      </c>
      <c r="R142" s="227" t="str">
        <f t="shared" si="51"/>
        <v>0.0878666666666667+0.00654326689169623i</v>
      </c>
      <c r="S142" s="227" t="str">
        <f t="shared" si="52"/>
        <v>0.0085-27.5091942571424i</v>
      </c>
      <c r="T142" s="227" t="str">
        <f t="shared" si="53"/>
        <v>10.6727802159095-5.07815096845362i</v>
      </c>
      <c r="U142" s="227" t="str">
        <f t="shared" si="54"/>
        <v>80.9435702393931-5.95585345063377i</v>
      </c>
      <c r="V142" s="227">
        <f t="shared" si="66"/>
        <v>38.18709667935029</v>
      </c>
      <c r="W142" s="227">
        <f t="shared" si="67"/>
        <v>-4.2082578866135485</v>
      </c>
      <c r="X142" s="227" t="str">
        <f t="shared" si="55"/>
        <v>0.999999650882771-0.000173997346802382i</v>
      </c>
      <c r="Y142" s="227" t="str">
        <f t="shared" si="56"/>
        <v>62.8389933701414+10.854068030469i</v>
      </c>
      <c r="Z142" s="227" t="str">
        <f t="shared" si="57"/>
        <v>32.7247793675276+5.64662944911975i</v>
      </c>
      <c r="AA142" s="227" t="str">
        <f t="shared" si="58"/>
        <v>18.0122566530114-4.39533698144624i</v>
      </c>
      <c r="AB142" s="227">
        <f t="shared" si="68"/>
        <v>25.36255816856217</v>
      </c>
      <c r="AC142" s="227">
        <f t="shared" si="69"/>
        <v>-13.713276688257217</v>
      </c>
      <c r="AD142" s="229">
        <f t="shared" si="70"/>
        <v>-0.90939758840218143</v>
      </c>
      <c r="AE142" s="229">
        <f t="shared" si="71"/>
        <v>107.9469939325014</v>
      </c>
      <c r="AF142" s="227">
        <f t="shared" si="59"/>
        <v>24.453160580159988</v>
      </c>
      <c r="AG142" s="227">
        <f t="shared" si="60"/>
        <v>94.23371724424419</v>
      </c>
      <c r="AH142" s="229" t="str">
        <f t="shared" si="61"/>
        <v>0.277507027814744-0.856775001910762i</v>
      </c>
    </row>
    <row r="143" spans="9:34" x14ac:dyDescent="0.2">
      <c r="I143" s="227">
        <v>139</v>
      </c>
      <c r="J143" s="227">
        <f t="shared" si="49"/>
        <v>2.3552670312228927</v>
      </c>
      <c r="K143" s="227">
        <f t="shared" si="72"/>
        <v>226.60371797459419</v>
      </c>
      <c r="L143" s="227">
        <f t="shared" si="62"/>
        <v>1423.7931513302369</v>
      </c>
      <c r="M143" s="227">
        <f t="shared" si="50"/>
        <v>5588.4121994395564</v>
      </c>
      <c r="N143" s="227">
        <f>SQRT((ABS(AC143)-171.5+'Small Signal'!C$59)^2)</f>
        <v>87.485933454625894</v>
      </c>
      <c r="O143" s="227">
        <f t="shared" si="63"/>
        <v>94.308904876798792</v>
      </c>
      <c r="P143" s="227">
        <f t="shared" si="64"/>
        <v>24.267139235890198</v>
      </c>
      <c r="Q143" s="227">
        <f t="shared" si="65"/>
        <v>226.60371797459419</v>
      </c>
      <c r="R143" s="227" t="str">
        <f t="shared" si="51"/>
        <v>0.0878666666666667+0.00669182781125211i</v>
      </c>
      <c r="S143" s="227" t="str">
        <f t="shared" si="52"/>
        <v>0.0085-26.8984805163897i</v>
      </c>
      <c r="T143" s="227" t="str">
        <f t="shared" si="53"/>
        <v>10.5830177666412-5.14973350743424i</v>
      </c>
      <c r="U143" s="227" t="str">
        <f t="shared" si="54"/>
        <v>80.9413052016756-6.09206053137943i</v>
      </c>
      <c r="V143" s="227">
        <f t="shared" si="66"/>
        <v>38.187936751404926</v>
      </c>
      <c r="W143" s="227">
        <f t="shared" si="67"/>
        <v>-4.3042607708186678</v>
      </c>
      <c r="X143" s="227" t="str">
        <f t="shared" si="55"/>
        <v>0.999999634849813-0.000177947851385047i</v>
      </c>
      <c r="Y143" s="227" t="str">
        <f t="shared" si="56"/>
        <v>62.8819666435988+11.099794141456i</v>
      </c>
      <c r="Z143" s="227" t="str">
        <f t="shared" si="57"/>
        <v>32.7472025417805+5.77445949633908i</v>
      </c>
      <c r="AA143" s="227" t="str">
        <f t="shared" si="58"/>
        <v>17.9678461407859-4.48457294455763i</v>
      </c>
      <c r="AB143" s="227">
        <f t="shared" si="68"/>
        <v>25.352369988815582</v>
      </c>
      <c r="AC143" s="227">
        <f t="shared" si="69"/>
        <v>-14.014066545374119</v>
      </c>
      <c r="AD143" s="229">
        <f t="shared" si="70"/>
        <v>-1.0852307529253833</v>
      </c>
      <c r="AE143" s="229">
        <f t="shared" si="71"/>
        <v>108.32297142217291</v>
      </c>
      <c r="AF143" s="227">
        <f t="shared" si="59"/>
        <v>24.267139235890198</v>
      </c>
      <c r="AG143" s="227">
        <f t="shared" si="60"/>
        <v>94.308904876798792</v>
      </c>
      <c r="AH143" s="229" t="str">
        <f t="shared" si="61"/>
        <v>0.277449415171309-0.837802632350621i</v>
      </c>
    </row>
    <row r="144" spans="9:34" x14ac:dyDescent="0.2">
      <c r="I144" s="227">
        <v>140</v>
      </c>
      <c r="J144" s="227">
        <f t="shared" si="49"/>
        <v>2.365017153749676</v>
      </c>
      <c r="K144" s="227">
        <f t="shared" si="72"/>
        <v>231.74861841565829</v>
      </c>
      <c r="L144" s="227">
        <f t="shared" si="62"/>
        <v>1456.1195141884325</v>
      </c>
      <c r="M144" s="227">
        <f t="shared" si="50"/>
        <v>5583.1504871439256</v>
      </c>
      <c r="N144" s="227">
        <f>SQRT((ABS(AC144)-171.5+'Small Signal'!C$59)^2)</f>
        <v>87.179017578100911</v>
      </c>
      <c r="O144" s="227">
        <f t="shared" si="63"/>
        <v>94.384829511535216</v>
      </c>
      <c r="P144" s="227">
        <f t="shared" si="64"/>
        <v>24.081465789198141</v>
      </c>
      <c r="Q144" s="227">
        <f t="shared" si="65"/>
        <v>231.74861841565829</v>
      </c>
      <c r="R144" s="227" t="str">
        <f t="shared" si="51"/>
        <v>0.0878666666666667+0.00684376171668563i</v>
      </c>
      <c r="S144" s="227" t="str">
        <f t="shared" si="52"/>
        <v>0.0085-26.3013248344322i</v>
      </c>
      <c r="T144" s="227" t="str">
        <f t="shared" si="53"/>
        <v>10.4907356991422-5.22069388993804i</v>
      </c>
      <c r="U144" s="227" t="str">
        <f t="shared" si="54"/>
        <v>80.938929302262-6.23142854878513i</v>
      </c>
      <c r="V144" s="227">
        <f t="shared" si="66"/>
        <v>38.188815249294507</v>
      </c>
      <c r="W144" s="227">
        <f t="shared" si="67"/>
        <v>-4.4024752356039762</v>
      </c>
      <c r="X144" s="227" t="str">
        <f t="shared" si="55"/>
        <v>0.999999618080554-0.000181988049786292i</v>
      </c>
      <c r="Y144" s="227" t="str">
        <f t="shared" si="56"/>
        <v>62.9269261166602+11.3510487995903i</v>
      </c>
      <c r="Z144" s="227" t="str">
        <f t="shared" si="57"/>
        <v>32.7706620818501+5.90516525607026i</v>
      </c>
      <c r="AA144" s="227" t="str">
        <f t="shared" si="58"/>
        <v>17.9216187606647-4.57515353248537i</v>
      </c>
      <c r="AB144" s="227">
        <f t="shared" si="68"/>
        <v>25.34173955425544</v>
      </c>
      <c r="AC144" s="227">
        <f t="shared" si="69"/>
        <v>-14.320982421899094</v>
      </c>
      <c r="AD144" s="229">
        <f t="shared" si="70"/>
        <v>-1.2602737650572999</v>
      </c>
      <c r="AE144" s="229">
        <f t="shared" si="71"/>
        <v>108.7058119334343</v>
      </c>
      <c r="AF144" s="227">
        <f t="shared" si="59"/>
        <v>24.081465789198141</v>
      </c>
      <c r="AG144" s="227">
        <f t="shared" si="60"/>
        <v>94.384829511535216</v>
      </c>
      <c r="AH144" s="229" t="str">
        <f t="shared" si="61"/>
        <v>0.277394314919247-0.8192525458528i</v>
      </c>
    </row>
    <row r="145" spans="9:34" x14ac:dyDescent="0.2">
      <c r="I145" s="227">
        <v>141</v>
      </c>
      <c r="J145" s="227">
        <f t="shared" si="49"/>
        <v>2.3747672762764593</v>
      </c>
      <c r="K145" s="227">
        <f t="shared" si="72"/>
        <v>237.01033071128947</v>
      </c>
      <c r="L145" s="227">
        <f t="shared" si="62"/>
        <v>1489.1798275749486</v>
      </c>
      <c r="M145" s="227">
        <f t="shared" si="50"/>
        <v>5577.7693108511785</v>
      </c>
      <c r="N145" s="227">
        <f>SQRT((ABS(AC145)-171.5+'Small Signal'!C$59)^2)</f>
        <v>86.865881906198439</v>
      </c>
      <c r="O145" s="227">
        <f t="shared" si="63"/>
        <v>94.461445832022818</v>
      </c>
      <c r="P145" s="227">
        <f t="shared" si="64"/>
        <v>23.896150922793815</v>
      </c>
      <c r="Q145" s="227">
        <f t="shared" si="65"/>
        <v>237.01033071128947</v>
      </c>
      <c r="R145" s="227" t="str">
        <f t="shared" si="51"/>
        <v>0.0878666666666667+0.00699914518960226i</v>
      </c>
      <c r="S145" s="227" t="str">
        <f t="shared" si="52"/>
        <v>0.0085-25.7174262176191i</v>
      </c>
      <c r="T145" s="227" t="str">
        <f t="shared" si="53"/>
        <v>10.3959233675583-5.290933050248i</v>
      </c>
      <c r="U145" s="227" t="str">
        <f t="shared" si="54"/>
        <v>80.9364368032522-6.37403403168767i</v>
      </c>
      <c r="V145" s="227">
        <f t="shared" si="66"/>
        <v>38.189733923105791</v>
      </c>
      <c r="W145" s="227">
        <f t="shared" si="67"/>
        <v>-4.5029537224735128</v>
      </c>
      <c r="X145" s="227" t="str">
        <f t="shared" si="55"/>
        <v>0.999999600541178-0.000186119978450053i</v>
      </c>
      <c r="Y145" s="227" t="str">
        <f t="shared" si="56"/>
        <v>62.9739641931501+11.6079538737756i</v>
      </c>
      <c r="Z145" s="227" t="str">
        <f t="shared" si="57"/>
        <v>32.7952062006112+6.038810097084i</v>
      </c>
      <c r="AA145" s="227" t="str">
        <f t="shared" si="58"/>
        <v>17.8735102069889-4.66706778464338i</v>
      </c>
      <c r="AB145" s="227">
        <f t="shared" si="68"/>
        <v>25.330648825455121</v>
      </c>
      <c r="AC145" s="227">
        <f t="shared" si="69"/>
        <v>-14.634118093801559</v>
      </c>
      <c r="AD145" s="229">
        <f t="shared" si="70"/>
        <v>-1.4344979026613067</v>
      </c>
      <c r="AE145" s="229">
        <f t="shared" si="71"/>
        <v>109.09556392582438</v>
      </c>
      <c r="AF145" s="227">
        <f t="shared" si="59"/>
        <v>23.896150922793815</v>
      </c>
      <c r="AG145" s="227">
        <f t="shared" si="60"/>
        <v>94.461445832022818</v>
      </c>
      <c r="AH145" s="229" t="str">
        <f t="shared" si="61"/>
        <v>0.277341615953905-0.801115392815194i</v>
      </c>
    </row>
    <row r="146" spans="9:34" x14ac:dyDescent="0.2">
      <c r="I146" s="227">
        <v>142</v>
      </c>
      <c r="J146" s="227">
        <f t="shared" si="49"/>
        <v>2.3845173988032426</v>
      </c>
      <c r="K146" s="227">
        <f t="shared" si="72"/>
        <v>242.39150700403647</v>
      </c>
      <c r="L146" s="227">
        <f t="shared" si="62"/>
        <v>1522.9907553928797</v>
      </c>
      <c r="M146" s="227">
        <f t="shared" si="50"/>
        <v>5572.2659582034739</v>
      </c>
      <c r="N146" s="227">
        <f>SQRT((ABS(AC146)-171.5+'Small Signal'!C$59)^2)</f>
        <v>86.546433284051773</v>
      </c>
      <c r="O146" s="227">
        <f t="shared" si="63"/>
        <v>94.538704719636755</v>
      </c>
      <c r="P146" s="227">
        <f t="shared" si="64"/>
        <v>23.71120540942476</v>
      </c>
      <c r="Q146" s="227">
        <f t="shared" si="65"/>
        <v>242.39150700403647</v>
      </c>
      <c r="R146" s="227" t="str">
        <f t="shared" si="51"/>
        <v>0.0878666666666667+0.00715805655034653i</v>
      </c>
      <c r="S146" s="227" t="str">
        <f t="shared" si="52"/>
        <v>0.0085-25.1464903544644i</v>
      </c>
      <c r="T146" s="227" t="str">
        <f t="shared" si="53"/>
        <v>10.2985747730332-5.36034927252082i</v>
      </c>
      <c r="U146" s="227" t="str">
        <f t="shared" si="54"/>
        <v>80.9338216419282-6.51995557740369i</v>
      </c>
      <c r="V146" s="227">
        <f t="shared" si="66"/>
        <v>38.190694601906884</v>
      </c>
      <c r="W146" s="227">
        <f t="shared" si="67"/>
        <v>-4.6057500196863783</v>
      </c>
      <c r="X146" s="227" t="str">
        <f t="shared" si="55"/>
        <v>0.999999582196319-0.000190345720056489i</v>
      </c>
      <c r="Y146" s="227" t="str">
        <f t="shared" si="56"/>
        <v>63.023177631803+11.8706337293328i</v>
      </c>
      <c r="Z146" s="227" t="str">
        <f t="shared" si="57"/>
        <v>32.8208853829905+6.17545868460356i</v>
      </c>
      <c r="AA146" s="227" t="str">
        <f t="shared" si="58"/>
        <v>17.8234547812748-4.76030224166978i</v>
      </c>
      <c r="AB146" s="227">
        <f t="shared" si="68"/>
        <v>25.319079129276389</v>
      </c>
      <c r="AC146" s="227">
        <f t="shared" si="69"/>
        <v>-14.953566715948233</v>
      </c>
      <c r="AD146" s="229">
        <f t="shared" si="70"/>
        <v>-1.6078737198516293</v>
      </c>
      <c r="AE146" s="229">
        <f t="shared" si="71"/>
        <v>109.49227143558498</v>
      </c>
      <c r="AF146" s="227">
        <f t="shared" si="59"/>
        <v>23.71120540942476</v>
      </c>
      <c r="AG146" s="227">
        <f t="shared" si="60"/>
        <v>94.538704719636755</v>
      </c>
      <c r="AH146" s="229" t="str">
        <f t="shared" si="61"/>
        <v>0.277291212012553-0.78338203174065i</v>
      </c>
    </row>
    <row r="147" spans="9:34" x14ac:dyDescent="0.2">
      <c r="I147" s="227">
        <v>143</v>
      </c>
      <c r="J147" s="227">
        <f t="shared" si="49"/>
        <v>2.3942675213300264</v>
      </c>
      <c r="K147" s="227">
        <f t="shared" si="72"/>
        <v>247.8948596517416</v>
      </c>
      <c r="L147" s="227">
        <f t="shared" si="62"/>
        <v>1557.5693398891685</v>
      </c>
      <c r="M147" s="227">
        <f t="shared" si="50"/>
        <v>5566.6376552605243</v>
      </c>
      <c r="N147" s="227">
        <f>SQRT((ABS(AC147)-171.5+'Small Signal'!C$59)^2)</f>
        <v>86.220579340186561</v>
      </c>
      <c r="O147" s="227">
        <f t="shared" si="63"/>
        <v>94.616553097994242</v>
      </c>
      <c r="P147" s="227">
        <f t="shared" si="64"/>
        <v>23.526640090092975</v>
      </c>
      <c r="Q147" s="227">
        <f t="shared" si="65"/>
        <v>247.8948596517416</v>
      </c>
      <c r="R147" s="227" t="str">
        <f t="shared" si="51"/>
        <v>0.0878666666666667+0.00732057589747909i</v>
      </c>
      <c r="S147" s="227" t="str">
        <f t="shared" si="52"/>
        <v>0.0085-24.5882294672998i</v>
      </c>
      <c r="T147" s="227" t="str">
        <f t="shared" si="53"/>
        <v>10.1986888390963-5.42883841003933i</v>
      </c>
      <c r="U147" s="227" t="str">
        <f t="shared" si="54"/>
        <v>80.9310774099924-6.66927392164454i</v>
      </c>
      <c r="V147" s="227">
        <f t="shared" si="66"/>
        <v>38.191699197240546</v>
      </c>
      <c r="W147" s="227">
        <f t="shared" si="67"/>
        <v>-4.7109193038055288</v>
      </c>
      <c r="X147" s="227" t="str">
        <f t="shared" si="55"/>
        <v>0.999999563008985-0.000194667404571759i</v>
      </c>
      <c r="Y147" s="227" t="str">
        <f t="shared" si="56"/>
        <v>63.0746677566624+12.1392152639145i</v>
      </c>
      <c r="Z147" s="227" t="str">
        <f t="shared" si="57"/>
        <v>32.8477524957198+6.31517699882602i</v>
      </c>
      <c r="AA147" s="227" t="str">
        <f t="shared" si="58"/>
        <v>17.7713854443453-4.85484079714735i</v>
      </c>
      <c r="AB147" s="227">
        <f t="shared" si="68"/>
        <v>25.307011145594998</v>
      </c>
      <c r="AC147" s="227">
        <f t="shared" si="69"/>
        <v>-15.279420659813441</v>
      </c>
      <c r="AD147" s="229">
        <f t="shared" si="70"/>
        <v>-1.7803710555020249</v>
      </c>
      <c r="AE147" s="229">
        <f t="shared" si="71"/>
        <v>109.89597375780768</v>
      </c>
      <c r="AF147" s="227">
        <f t="shared" si="59"/>
        <v>23.526640090092975</v>
      </c>
      <c r="AG147" s="227">
        <f t="shared" si="60"/>
        <v>94.616553097994242</v>
      </c>
      <c r="AH147" s="229" t="str">
        <f t="shared" si="61"/>
        <v>0.277243001460121-0.766043524631287i</v>
      </c>
    </row>
    <row r="148" spans="9:34" x14ac:dyDescent="0.2">
      <c r="I148" s="227">
        <v>144</v>
      </c>
      <c r="J148" s="227">
        <f t="shared" si="49"/>
        <v>2.4040176438568097</v>
      </c>
      <c r="K148" s="227">
        <f t="shared" si="72"/>
        <v>253.52316259469112</v>
      </c>
      <c r="L148" s="227">
        <f t="shared" si="62"/>
        <v>1592.9330102446645</v>
      </c>
      <c r="M148" s="227">
        <f t="shared" si="50"/>
        <v>5560.8815651014047</v>
      </c>
      <c r="N148" s="227">
        <f>SQRT((ABS(AC148)-171.5+'Small Signal'!C$59)^2)</f>
        <v>85.888228658418626</v>
      </c>
      <c r="O148" s="227">
        <f t="shared" si="63"/>
        <v>94.694933779451134</v>
      </c>
      <c r="P148" s="227">
        <f t="shared" si="64"/>
        <v>23.342465850142158</v>
      </c>
      <c r="Q148" s="227">
        <f t="shared" si="65"/>
        <v>253.52316259469112</v>
      </c>
      <c r="R148" s="227" t="str">
        <f t="shared" si="51"/>
        <v>0.0878666666666667+0.00748678514814992i</v>
      </c>
      <c r="S148" s="227" t="str">
        <f t="shared" si="52"/>
        <v>0.0085-24.0423621672221i</v>
      </c>
      <c r="T148" s="227" t="str">
        <f t="shared" si="53"/>
        <v>10.0962696785909-5.49629413140146i</v>
      </c>
      <c r="U148" s="227" t="str">
        <f t="shared" si="54"/>
        <v>80.9281973312956-6.82207201160358i</v>
      </c>
      <c r="V148" s="227">
        <f t="shared" si="66"/>
        <v>38.192749706765248</v>
      </c>
      <c r="W148" s="227">
        <f t="shared" si="67"/>
        <v>-4.8185181829653487</v>
      </c>
      <c r="X148" s="227" t="str">
        <f t="shared" si="55"/>
        <v>0.999999542940487-0.000199087210321611i</v>
      </c>
      <c r="Y148" s="227" t="str">
        <f t="shared" si="56"/>
        <v>63.128540678112+12.4138279425555i</v>
      </c>
      <c r="Z148" s="227" t="str">
        <f t="shared" si="57"/>
        <v>32.8758629026337+6.45803235298247i</v>
      </c>
      <c r="AA148" s="227" t="str">
        <f t="shared" si="58"/>
        <v>17.7172338780217-4.95066454569084i</v>
      </c>
      <c r="AB148" s="227">
        <f t="shared" si="68"/>
        <v>25.294424894587877</v>
      </c>
      <c r="AC148" s="227">
        <f t="shared" si="69"/>
        <v>-15.611771341581377</v>
      </c>
      <c r="AD148" s="229">
        <f t="shared" si="70"/>
        <v>-1.9519590444457189</v>
      </c>
      <c r="AE148" s="229">
        <f t="shared" si="71"/>
        <v>110.30670512103251</v>
      </c>
      <c r="AF148" s="227">
        <f t="shared" si="59"/>
        <v>23.342465850142158</v>
      </c>
      <c r="AG148" s="227">
        <f t="shared" si="60"/>
        <v>94.694933779451134</v>
      </c>
      <c r="AH148" s="229" t="str">
        <f t="shared" si="61"/>
        <v>0.277196887084269-0.749091132485267i</v>
      </c>
    </row>
    <row r="149" spans="9:34" x14ac:dyDescent="0.2">
      <c r="I149" s="227">
        <v>145</v>
      </c>
      <c r="J149" s="227">
        <f t="shared" si="49"/>
        <v>2.413767766383593</v>
      </c>
      <c r="K149" s="227">
        <f t="shared" si="72"/>
        <v>259.27925275381034</v>
      </c>
      <c r="L149" s="227">
        <f t="shared" si="62"/>
        <v>1629.0995913592435</v>
      </c>
      <c r="M149" s="227">
        <f t="shared" si="50"/>
        <v>5554.9947863946172</v>
      </c>
      <c r="N149" s="227">
        <f>SQRT((ABS(AC149)-171.5+'Small Signal'!C$59)^2)</f>
        <v>85.549290959574563</v>
      </c>
      <c r="O149" s="227">
        <f t="shared" si="63"/>
        <v>94.773785314687643</v>
      </c>
      <c r="P149" s="227">
        <f t="shared" si="64"/>
        <v>23.158693593138764</v>
      </c>
      <c r="Q149" s="227">
        <f t="shared" si="65"/>
        <v>259.27925275381034</v>
      </c>
      <c r="R149" s="227" t="str">
        <f t="shared" si="51"/>
        <v>0.0878666666666667+0.00765676807938844i</v>
      </c>
      <c r="S149" s="227" t="str">
        <f t="shared" si="52"/>
        <v>0.0085-23.5086133122602i</v>
      </c>
      <c r="T149" s="227" t="str">
        <f t="shared" si="53"/>
        <v>9.99132684949991-5.56260819378538i</v>
      </c>
      <c r="U149" s="227" t="str">
        <f t="shared" si="54"/>
        <v>80.9251742379316-6.97843508239724i</v>
      </c>
      <c r="V149" s="227">
        <f t="shared" si="66"/>
        <v>38.193848218049752</v>
      </c>
      <c r="W149" s="227">
        <f t="shared" si="67"/>
        <v>-4.9286047419528964</v>
      </c>
      <c r="X149" s="227" t="str">
        <f t="shared" si="55"/>
        <v>0.999999521950358-0.000203607365089366i</v>
      </c>
      <c r="Y149" s="227" t="str">
        <f t="shared" si="56"/>
        <v>63.1849075251111+12.6946038316993i</v>
      </c>
      <c r="Z149" s="227" t="str">
        <f t="shared" si="57"/>
        <v>32.9052745858104+6.60409341085263i</v>
      </c>
      <c r="AA149" s="227" t="str">
        <f t="shared" si="58"/>
        <v>17.660930557061-5.04775162779397i</v>
      </c>
      <c r="AB149" s="227">
        <f t="shared" si="68"/>
        <v>25.281299724678913</v>
      </c>
      <c r="AC149" s="227">
        <f t="shared" si="69"/>
        <v>-15.950709040425446</v>
      </c>
      <c r="AD149" s="229">
        <f t="shared" si="70"/>
        <v>-2.1226061315401497</v>
      </c>
      <c r="AE149" s="229">
        <f t="shared" si="71"/>
        <v>110.72449435511309</v>
      </c>
      <c r="AF149" s="227">
        <f t="shared" si="59"/>
        <v>23.158693593138764</v>
      </c>
      <c r="AG149" s="227">
        <f t="shared" si="60"/>
        <v>94.773785314687643</v>
      </c>
      <c r="AH149" s="229" t="str">
        <f t="shared" si="61"/>
        <v>0.27715277589937-0.732516310893731i</v>
      </c>
    </row>
    <row r="150" spans="9:34" x14ac:dyDescent="0.2">
      <c r="I150" s="227">
        <v>146</v>
      </c>
      <c r="J150" s="227">
        <f t="shared" si="49"/>
        <v>2.4235178889103763</v>
      </c>
      <c r="K150" s="227">
        <f t="shared" si="72"/>
        <v>265.16603146059816</v>
      </c>
      <c r="L150" s="227">
        <f t="shared" si="62"/>
        <v>1666.0873128363503</v>
      </c>
      <c r="M150" s="227">
        <f t="shared" si="50"/>
        <v>5548.9743519356834</v>
      </c>
      <c r="N150" s="227">
        <f>SQRT((ABS(AC150)-171.5+'Small Signal'!C$59)^2)</f>
        <v>85.203677293235444</v>
      </c>
      <c r="O150" s="227">
        <f t="shared" si="63"/>
        <v>94.853041846517755</v>
      </c>
      <c r="P150" s="227">
        <f t="shared" si="64"/>
        <v>22.975334212477659</v>
      </c>
      <c r="Q150" s="227">
        <f t="shared" si="65"/>
        <v>265.16603146059816</v>
      </c>
      <c r="R150" s="227" t="str">
        <f t="shared" si="51"/>
        <v>0.0878666666666667+0.00783061037033085i</v>
      </c>
      <c r="S150" s="227" t="str">
        <f t="shared" si="52"/>
        <v>0.0085-22.986713868691i</v>
      </c>
      <c r="T150" s="227" t="str">
        <f t="shared" si="53"/>
        <v>9.8838755969174-5.62767074316779i</v>
      </c>
      <c r="U150" s="227" t="str">
        <f t="shared" si="54"/>
        <v>80.9220005445529-7.13845073705064i</v>
      </c>
      <c r="V150" s="227">
        <f t="shared" si="66"/>
        <v>38.194996912525482</v>
      </c>
      <c r="W150" s="227">
        <f t="shared" si="67"/>
        <v>-5.0412385892031422</v>
      </c>
      <c r="X150" s="227" t="str">
        <f t="shared" si="55"/>
        <v>0.999999499996272-0.000208230147238817i</v>
      </c>
      <c r="Y150" s="227" t="str">
        <f t="shared" si="56"/>
        <v>63.2438846892589+12.981677632015i</v>
      </c>
      <c r="Z150" s="227" t="str">
        <f t="shared" si="57"/>
        <v>32.9360482728812+6.75343020363675i</v>
      </c>
      <c r="AA150" s="227" t="str">
        <f t="shared" si="58"/>
        <v>17.6024048320332-5.14607707189316i</v>
      </c>
      <c r="AB150" s="227">
        <f t="shared" si="68"/>
        <v>25.267614301245899</v>
      </c>
      <c r="AC150" s="227">
        <f t="shared" si="69"/>
        <v>-16.296322706764563</v>
      </c>
      <c r="AD150" s="229">
        <f t="shared" si="70"/>
        <v>-2.2922800887682397</v>
      </c>
      <c r="AE150" s="229">
        <f t="shared" si="71"/>
        <v>111.14936455328231</v>
      </c>
      <c r="AF150" s="227">
        <f t="shared" si="59"/>
        <v>22.975334212477659</v>
      </c>
      <c r="AG150" s="227">
        <f t="shared" si="60"/>
        <v>94.853041846517755</v>
      </c>
      <c r="AH150" s="229" t="str">
        <f t="shared" si="61"/>
        <v>0.277110578959024-0.716310705735698i</v>
      </c>
    </row>
    <row r="151" spans="9:34" x14ac:dyDescent="0.2">
      <c r="I151" s="227">
        <v>147</v>
      </c>
      <c r="J151" s="227">
        <f t="shared" si="49"/>
        <v>2.4332680114371597</v>
      </c>
      <c r="K151" s="227">
        <f t="shared" si="72"/>
        <v>271.18646591953211</v>
      </c>
      <c r="L151" s="227">
        <f t="shared" si="62"/>
        <v>1703.9148181715618</v>
      </c>
      <c r="M151" s="227">
        <f t="shared" si="50"/>
        <v>5542.8172271515414</v>
      </c>
      <c r="N151" s="227">
        <f>SQRT((ABS(AC151)-171.5+'Small Signal'!C$59)^2)</f>
        <v>84.851300239658173</v>
      </c>
      <c r="O151" s="227">
        <f t="shared" si="63"/>
        <v>94.932632969134275</v>
      </c>
      <c r="P151" s="227">
        <f t="shared" si="64"/>
        <v>22.792398560656423</v>
      </c>
      <c r="Q151" s="227">
        <f t="shared" si="65"/>
        <v>271.18646591953211</v>
      </c>
      <c r="R151" s="227" t="str">
        <f t="shared" si="51"/>
        <v>0.0878666666666667+0.00800839964540634i</v>
      </c>
      <c r="S151" s="227" t="str">
        <f t="shared" si="52"/>
        <v>0.0085-22.4764007754345i</v>
      </c>
      <c r="T151" s="227" t="str">
        <f t="shared" si="53"/>
        <v>9.77393707833201-5.69137064108656i</v>
      </c>
      <c r="U151" s="227" t="str">
        <f t="shared" si="54"/>
        <v>80.9186682207738-7.3022090302322i</v>
      </c>
      <c r="V151" s="227">
        <f t="shared" si="66"/>
        <v>38.196198069604065</v>
      </c>
      <c r="W151" s="227">
        <f t="shared" si="67"/>
        <v>-5.156480905814858</v>
      </c>
      <c r="X151" s="227" t="str">
        <f t="shared" si="55"/>
        <v>0.999999477033961-0.00021295788686263i</v>
      </c>
      <c r="Y151" s="227" t="str">
        <f t="shared" si="56"/>
        <v>63.3055940813234+13.2751867098076i</v>
      </c>
      <c r="Z151" s="227" t="str">
        <f t="shared" si="57"/>
        <v>32.9682475708389+6.90611414608105i</v>
      </c>
      <c r="AA151" s="227" t="str">
        <f t="shared" si="58"/>
        <v>17.5415850238465-5.24561263418559i</v>
      </c>
      <c r="AB151" s="227">
        <f t="shared" si="68"/>
        <v>25.253346596201549</v>
      </c>
      <c r="AC151" s="227">
        <f t="shared" si="69"/>
        <v>-16.648699760341838</v>
      </c>
      <c r="AD151" s="229">
        <f t="shared" si="70"/>
        <v>-2.4609480355451265</v>
      </c>
      <c r="AE151" s="229">
        <f t="shared" si="71"/>
        <v>111.58133272947612</v>
      </c>
      <c r="AF151" s="227">
        <f t="shared" si="59"/>
        <v>22.792398560656423</v>
      </c>
      <c r="AG151" s="227">
        <f t="shared" si="60"/>
        <v>94.932632969134275</v>
      </c>
      <c r="AH151" s="229" t="str">
        <f t="shared" si="61"/>
        <v>0.277070211176709-0.70046614896877i</v>
      </c>
    </row>
    <row r="152" spans="9:34" x14ac:dyDescent="0.2">
      <c r="I152" s="227">
        <v>148</v>
      </c>
      <c r="J152" s="227">
        <f t="shared" si="49"/>
        <v>2.4430181339639434</v>
      </c>
      <c r="K152" s="227">
        <f t="shared" si="72"/>
        <v>277.34359070367395</v>
      </c>
      <c r="L152" s="227">
        <f t="shared" si="62"/>
        <v>1742.601174149753</v>
      </c>
      <c r="M152" s="227">
        <f t="shared" si="50"/>
        <v>5536.5203085709845</v>
      </c>
      <c r="N152" s="227">
        <f>SQRT((ABS(AC152)-171.5+'Small Signal'!C$59)^2)</f>
        <v>84.49207412200181</v>
      </c>
      <c r="O152" s="227">
        <f t="shared" si="63"/>
        <v>95.012483594106911</v>
      </c>
      <c r="P152" s="227">
        <f t="shared" si="64"/>
        <v>22.609897416168959</v>
      </c>
      <c r="Q152" s="227">
        <f t="shared" si="65"/>
        <v>277.34359070367395</v>
      </c>
      <c r="R152" s="227" t="str">
        <f t="shared" si="51"/>
        <v>0.0878666666666667+0.00819022551850384i</v>
      </c>
      <c r="S152" s="227" t="str">
        <f t="shared" si="52"/>
        <v>0.0085-21.9774168114582i</v>
      </c>
      <c r="T152" s="227" t="str">
        <f t="shared" si="53"/>
        <v>9.66153856933007-5.75359581723238i</v>
      </c>
      <c r="U152" s="227" t="str">
        <f t="shared" si="54"/>
        <v>80.9151687614883-7.46980255595417i</v>
      </c>
      <c r="V152" s="227">
        <f t="shared" si="66"/>
        <v>38.197454070964319</v>
      </c>
      <c r="W152" s="227">
        <f t="shared" si="67"/>
        <v>-5.2743944967020289</v>
      </c>
      <c r="X152" s="227" t="str">
        <f t="shared" si="55"/>
        <v>0.999999453017121-0.000217792966956817i</v>
      </c>
      <c r="Y152" s="227" t="str">
        <f t="shared" si="56"/>
        <v>63.370163400936+13.5752711267989i</v>
      </c>
      <c r="Z152" s="227" t="str">
        <f t="shared" si="57"/>
        <v>33.0019391067129+7.06221805173981i</v>
      </c>
      <c r="AA152" s="227" t="str">
        <f t="shared" si="58"/>
        <v>17.4783985306204-5.34632663681263i</v>
      </c>
      <c r="AB152" s="227">
        <f t="shared" si="68"/>
        <v>25.238473878563561</v>
      </c>
      <c r="AC152" s="227">
        <f t="shared" si="69"/>
        <v>-17.007925877998179</v>
      </c>
      <c r="AD152" s="229">
        <f t="shared" si="70"/>
        <v>-2.6285764623946029</v>
      </c>
      <c r="AE152" s="229">
        <f t="shared" si="71"/>
        <v>112.02040947210509</v>
      </c>
      <c r="AF152" s="227">
        <f t="shared" si="59"/>
        <v>22.609897416168959</v>
      </c>
      <c r="AG152" s="227">
        <f t="shared" si="60"/>
        <v>95.012483594106911</v>
      </c>
      <c r="AH152" s="229" t="str">
        <f t="shared" si="61"/>
        <v>0.277031591154217-0.684974654513519i</v>
      </c>
    </row>
    <row r="153" spans="9:34" x14ac:dyDescent="0.2">
      <c r="I153" s="227">
        <v>149</v>
      </c>
      <c r="J153" s="227">
        <f t="shared" si="49"/>
        <v>2.4527682564907263</v>
      </c>
      <c r="K153" s="227">
        <f t="shared" si="72"/>
        <v>283.64050928423097</v>
      </c>
      <c r="L153" s="227">
        <f t="shared" si="62"/>
        <v>1782.165880455615</v>
      </c>
      <c r="M153" s="227">
        <f t="shared" si="50"/>
        <v>5530.0804222603647</v>
      </c>
      <c r="N153" s="227">
        <f>SQRT((ABS(AC153)-171.5+'Small Signal'!C$59)^2)</f>
        <v>84.12591522894013</v>
      </c>
      <c r="O153" s="227">
        <f t="shared" si="63"/>
        <v>95.092513824535047</v>
      </c>
      <c r="P153" s="227">
        <f t="shared" si="64"/>
        <v>22.427841447988495</v>
      </c>
      <c r="Q153" s="227">
        <f t="shared" si="65"/>
        <v>283.64050928423097</v>
      </c>
      <c r="R153" s="227" t="str">
        <f t="shared" si="51"/>
        <v>0.0878666666666667+0.00837617963814139i</v>
      </c>
      <c r="S153" s="227" t="str">
        <f t="shared" si="52"/>
        <v>0.0085-21.4895104661271i</v>
      </c>
      <c r="T153" s="227" t="str">
        <f t="shared" si="53"/>
        <v>9.54671364681057-5.8142336468301i</v>
      </c>
      <c r="U153" s="227" t="str">
        <f t="shared" si="54"/>
        <v>80.9114931549405-7.64132653947013i</v>
      </c>
      <c r="V153" s="227">
        <f t="shared" si="66"/>
        <v>38.198767405016092</v>
      </c>
      <c r="W153" s="227">
        <f t="shared" si="67"/>
        <v>-5.3950438440021147</v>
      </c>
      <c r="X153" s="227" t="str">
        <f t="shared" si="55"/>
        <v>0.999999427897326-0.000222737824621872i</v>
      </c>
      <c r="Y153" s="227" t="str">
        <f t="shared" si="56"/>
        <v>63.4377264201758+13.8820736680339i</v>
      </c>
      <c r="Z153" s="227" t="str">
        <f t="shared" si="57"/>
        <v>33.0371926754853+7.22181614724543i</v>
      </c>
      <c r="AA153" s="227" t="str">
        <f t="shared" si="58"/>
        <v>17.4127719476131-5.44818380510893i</v>
      </c>
      <c r="AB153" s="227">
        <f t="shared" si="68"/>
        <v>25.22297270614121</v>
      </c>
      <c r="AC153" s="227">
        <f t="shared" si="69"/>
        <v>-17.374084771059877</v>
      </c>
      <c r="AD153" s="229">
        <f t="shared" si="70"/>
        <v>-2.7951312581527139</v>
      </c>
      <c r="AE153" s="229">
        <f t="shared" si="71"/>
        <v>112.46659859559493</v>
      </c>
      <c r="AF153" s="227">
        <f t="shared" si="59"/>
        <v>22.427841447988495</v>
      </c>
      <c r="AG153" s="227">
        <f t="shared" si="60"/>
        <v>95.092513824535047</v>
      </c>
      <c r="AH153" s="229" t="str">
        <f t="shared" si="61"/>
        <v>0.276994641017524-0.6698284142295i</v>
      </c>
    </row>
    <row r="154" spans="9:34" x14ac:dyDescent="0.2">
      <c r="I154" s="227">
        <v>150</v>
      </c>
      <c r="J154" s="227">
        <f t="shared" si="49"/>
        <v>2.46251837901751</v>
      </c>
      <c r="K154" s="227">
        <f t="shared" si="72"/>
        <v>290.08039559485076</v>
      </c>
      <c r="L154" s="227">
        <f t="shared" si="62"/>
        <v>1822.6288795024082</v>
      </c>
      <c r="M154" s="227">
        <f t="shared" si="50"/>
        <v>5523.4943222237916</v>
      </c>
      <c r="N154" s="227">
        <f>SQRT((ABS(AC154)-171.5+'Small Signal'!C$59)^2)</f>
        <v>83.75274204769164</v>
      </c>
      <c r="O154" s="227">
        <f t="shared" si="63"/>
        <v>95.172638838846979</v>
      </c>
      <c r="P154" s="227">
        <f t="shared" si="64"/>
        <v>22.246241177619694</v>
      </c>
      <c r="Q154" s="227">
        <f t="shared" si="65"/>
        <v>290.08039559485076</v>
      </c>
      <c r="R154" s="227" t="str">
        <f t="shared" si="51"/>
        <v>0.0878666666666667+0.00856635573366132i</v>
      </c>
      <c r="S154" s="227" t="str">
        <f t="shared" si="52"/>
        <v>0.0085-21.01243581243i</v>
      </c>
      <c r="T154" s="227" t="str">
        <f t="shared" si="53"/>
        <v>9.42950234681757-5.87317135143249i</v>
      </c>
      <c r="U154" s="227" t="str">
        <f t="shared" si="54"/>
        <v>80.9076318483454-7.81687893361369i</v>
      </c>
      <c r="V154" s="227">
        <f t="shared" si="66"/>
        <v>38.200140671545739</v>
      </c>
      <c r="W154" s="227">
        <f t="shared" si="67"/>
        <v>-5.5184951628710035</v>
      </c>
      <c r="X154" s="227" t="str">
        <f t="shared" si="55"/>
        <v>0.999999401623922-0.000227794952291186i</v>
      </c>
      <c r="Y154" s="227" t="str">
        <f t="shared" si="56"/>
        <v>63.508423281824+14.1957398676452i</v>
      </c>
      <c r="Z154" s="227" t="str">
        <f t="shared" si="57"/>
        <v>33.0740813956574+7.38498408544597i</v>
      </c>
      <c r="AA154" s="227" t="str">
        <f t="shared" si="58"/>
        <v>17.3446312008857-5.55114510470364i</v>
      </c>
      <c r="AB154" s="227">
        <f t="shared" si="68"/>
        <v>25.206818918467135</v>
      </c>
      <c r="AC154" s="227">
        <f t="shared" si="69"/>
        <v>-17.747257952308367</v>
      </c>
      <c r="AD154" s="229">
        <f t="shared" si="70"/>
        <v>-2.9605777408474427</v>
      </c>
      <c r="AE154" s="229">
        <f t="shared" si="71"/>
        <v>112.91989679115535</v>
      </c>
      <c r="AF154" s="227">
        <f t="shared" si="59"/>
        <v>22.246241177619694</v>
      </c>
      <c r="AG154" s="227">
        <f t="shared" si="60"/>
        <v>95.172638838846979</v>
      </c>
      <c r="AH154" s="229" t="str">
        <f t="shared" si="61"/>
        <v>0.276959286259776-0.655019793980841i</v>
      </c>
    </row>
    <row r="155" spans="9:34" x14ac:dyDescent="0.2">
      <c r="I155" s="227">
        <v>151</v>
      </c>
      <c r="J155" s="227">
        <f t="shared" si="49"/>
        <v>2.4722685015442938</v>
      </c>
      <c r="K155" s="227">
        <f t="shared" si="72"/>
        <v>296.66649563142352</v>
      </c>
      <c r="L155" s="227">
        <f t="shared" si="62"/>
        <v>1864.0105664838172</v>
      </c>
      <c r="M155" s="227">
        <f t="shared" si="50"/>
        <v>5516.7586887670004</v>
      </c>
      <c r="N155" s="227">
        <f>SQRT((ABS(AC155)-171.5+'Small Signal'!C$59)^2)</f>
        <v>83.372475507450218</v>
      </c>
      <c r="O155" s="227">
        <f t="shared" si="63"/>
        <v>95.252768785819086</v>
      </c>
      <c r="P155" s="227">
        <f t="shared" si="64"/>
        <v>22.065106938722078</v>
      </c>
      <c r="Q155" s="227">
        <f t="shared" si="65"/>
        <v>296.66649563142352</v>
      </c>
      <c r="R155" s="227" t="str">
        <f t="shared" si="51"/>
        <v>0.0878666666666667+0.00876084966247394i</v>
      </c>
      <c r="S155" s="227" t="str">
        <f t="shared" si="52"/>
        <v>0.0085-20.5459523830216i</v>
      </c>
      <c r="T155" s="227" t="str">
        <f t="shared" si="53"/>
        <v>9.30995129415645-5.93029642140163i</v>
      </c>
      <c r="U155" s="227" t="str">
        <f t="shared" si="54"/>
        <v>80.9035747108598-7.99656051984002i</v>
      </c>
      <c r="V155" s="227">
        <f t="shared" si="66"/>
        <v>38.201576586549983</v>
      </c>
      <c r="W155" s="227">
        <f t="shared" si="67"/>
        <v>-5.6448164598034252</v>
      </c>
      <c r="X155" s="227" t="str">
        <f t="shared" si="55"/>
        <v>0.999999374143931-0.000232966898987341i</v>
      </c>
      <c r="Y155" s="227" t="str">
        <f t="shared" si="56"/>
        <v>63.5824008131127+14.5164180321755i</v>
      </c>
      <c r="Z155" s="227" t="str">
        <f t="shared" si="57"/>
        <v>33.1126818728949+7.55179895725285i</v>
      </c>
      <c r="AA155" s="227" t="str">
        <f t="shared" si="58"/>
        <v>17.2739016953749-5.65516757935542i</v>
      </c>
      <c r="AB155" s="227">
        <f t="shared" si="68"/>
        <v>25.189987631113937</v>
      </c>
      <c r="AC155" s="227">
        <f t="shared" si="69"/>
        <v>-18.127524492549782</v>
      </c>
      <c r="AD155" s="229">
        <f t="shared" si="70"/>
        <v>-3.1248806923918595</v>
      </c>
      <c r="AE155" s="229">
        <f t="shared" si="71"/>
        <v>113.38029327836887</v>
      </c>
      <c r="AF155" s="227">
        <f t="shared" si="59"/>
        <v>22.065106938722078</v>
      </c>
      <c r="AG155" s="227">
        <f t="shared" si="60"/>
        <v>95.252768785819086</v>
      </c>
      <c r="AH155" s="229" t="str">
        <f t="shared" si="61"/>
        <v>0.276925455591045-0.640541329789483i</v>
      </c>
    </row>
    <row r="156" spans="9:34" x14ac:dyDescent="0.2">
      <c r="I156" s="227">
        <v>152</v>
      </c>
      <c r="J156" s="227">
        <f t="shared" si="49"/>
        <v>2.4820186240710767</v>
      </c>
      <c r="K156" s="227">
        <f t="shared" si="72"/>
        <v>303.40212908821462</v>
      </c>
      <c r="L156" s="227">
        <f t="shared" si="62"/>
        <v>1906.3317996540743</v>
      </c>
      <c r="M156" s="227">
        <f t="shared" si="50"/>
        <v>5509.870126824072</v>
      </c>
      <c r="N156" s="227">
        <f>SQRT((ABS(AC156)-171.5+'Small Signal'!C$59)^2)</f>
        <v>82.985039233132341</v>
      </c>
      <c r="O156" s="227">
        <f t="shared" si="63"/>
        <v>95.332808692468987</v>
      </c>
      <c r="P156" s="227">
        <f t="shared" si="64"/>
        <v>21.884448834324157</v>
      </c>
      <c r="Q156" s="227">
        <f t="shared" si="65"/>
        <v>303.40212908821462</v>
      </c>
      <c r="R156" s="227" t="str">
        <f t="shared" si="51"/>
        <v>0.0878666666666667+0.00895975945837415i</v>
      </c>
      <c r="S156" s="227" t="str">
        <f t="shared" si="52"/>
        <v>0.0085-20.0898250490157i</v>
      </c>
      <c r="T156" s="227" t="str">
        <f t="shared" si="53"/>
        <v>9.18811380106007-5.98549705800113i</v>
      </c>
      <c r="U156" s="227" t="str">
        <f t="shared" si="54"/>
        <v>80.8993109936747-8.18047501424702i</v>
      </c>
      <c r="V156" s="227">
        <f t="shared" si="66"/>
        <v>38.203077987264287</v>
      </c>
      <c r="W156" s="227">
        <f t="shared" si="67"/>
        <v>-5.7740775936265498</v>
      </c>
      <c r="X156" s="227" t="str">
        <f t="shared" si="55"/>
        <v>0.999999345401942-0.000238256271606936i</v>
      </c>
      <c r="Y156" s="227" t="str">
        <f t="shared" si="56"/>
        <v>63.659812855845+14.844259261132i</v>
      </c>
      <c r="Z156" s="227" t="str">
        <f t="shared" si="57"/>
        <v>33.1530743722083+7.72233930202746i</v>
      </c>
      <c r="AA156" s="227" t="str">
        <f t="shared" si="58"/>
        <v>17.2005084780118-5.76020419050123i</v>
      </c>
      <c r="AB156" s="227">
        <f t="shared" si="68"/>
        <v>25.172453231539684</v>
      </c>
      <c r="AC156" s="227">
        <f t="shared" si="69"/>
        <v>-18.51496076686767</v>
      </c>
      <c r="AD156" s="229">
        <f t="shared" si="70"/>
        <v>-3.2880043972155262</v>
      </c>
      <c r="AE156" s="229">
        <f t="shared" si="71"/>
        <v>113.84776945933666</v>
      </c>
      <c r="AF156" s="227">
        <f t="shared" si="59"/>
        <v>21.884448834324157</v>
      </c>
      <c r="AG156" s="227">
        <f t="shared" si="60"/>
        <v>95.332808692468987</v>
      </c>
      <c r="AH156" s="229" t="str">
        <f t="shared" si="61"/>
        <v>0.276893080794596-0.626385724074072i</v>
      </c>
    </row>
    <row r="157" spans="9:34" x14ac:dyDescent="0.2">
      <c r="I157" s="227">
        <v>153</v>
      </c>
      <c r="J157" s="227">
        <f t="shared" si="49"/>
        <v>2.4917687465978604</v>
      </c>
      <c r="K157" s="227">
        <f t="shared" si="72"/>
        <v>310.29069103114273</v>
      </c>
      <c r="L157" s="227">
        <f t="shared" si="62"/>
        <v>1949.6139108414766</v>
      </c>
      <c r="M157" s="227">
        <f t="shared" si="50"/>
        <v>5502.8251642461719</v>
      </c>
      <c r="N157" s="227">
        <f>SQRT((ABS(AC157)-171.5+'Small Signal'!C$59)^2)</f>
        <v>82.590359809296871</v>
      </c>
      <c r="O157" s="227">
        <f t="shared" si="63"/>
        <v>95.412658386540357</v>
      </c>
      <c r="P157" s="227">
        <f t="shared" si="64"/>
        <v>21.70427669167055</v>
      </c>
      <c r="Q157" s="227">
        <f t="shared" si="65"/>
        <v>310.29069103114273</v>
      </c>
      <c r="R157" s="227" t="str">
        <f t="shared" si="51"/>
        <v>0.0878666666666667+0.00916318538095494i</v>
      </c>
      <c r="S157" s="227" t="str">
        <f t="shared" si="52"/>
        <v>0.0085-19.6438239014696i</v>
      </c>
      <c r="T157" s="227" t="str">
        <f t="shared" si="53"/>
        <v>9.06404993231909-6.03866263267243i</v>
      </c>
      <c r="U157" s="227" t="str">
        <f t="shared" si="54"/>
        <v>80.8948292869834-8.36872917887086i</v>
      </c>
      <c r="V157" s="227">
        <f t="shared" si="66"/>
        <v>38.20464783739196</v>
      </c>
      <c r="W157" s="227">
        <f t="shared" si="67"/>
        <v>-5.9063503393245789</v>
      </c>
      <c r="X157" s="227" t="str">
        <f t="shared" si="55"/>
        <v>0.999999315339997-0.000243665736234583i</v>
      </c>
      <c r="Y157" s="227" t="str">
        <f t="shared" si="56"/>
        <v>63.740820613819+15.1794174644077i</v>
      </c>
      <c r="Z157" s="227" t="str">
        <f t="shared" si="57"/>
        <v>33.1953429991559+7.89668511631531i</v>
      </c>
      <c r="AA157" s="227" t="str">
        <f t="shared" si="58"/>
        <v>17.124376416486-5.86620365959872i</v>
      </c>
      <c r="AB157" s="227">
        <f t="shared" si="68"/>
        <v>25.154189376612727</v>
      </c>
      <c r="AC157" s="227">
        <f t="shared" si="69"/>
        <v>-18.909640190703122</v>
      </c>
      <c r="AD157" s="229">
        <f t="shared" si="70"/>
        <v>-3.4499126849421762</v>
      </c>
      <c r="AE157" s="229">
        <f t="shared" si="71"/>
        <v>114.32229857724347</v>
      </c>
      <c r="AF157" s="227">
        <f t="shared" si="59"/>
        <v>21.70427669167055</v>
      </c>
      <c r="AG157" s="227">
        <f t="shared" si="60"/>
        <v>95.412658386540357</v>
      </c>
      <c r="AH157" s="229" t="str">
        <f t="shared" si="61"/>
        <v>0.276862096589328-0.612545841972671i</v>
      </c>
    </row>
    <row r="158" spans="9:34" x14ac:dyDescent="0.2">
      <c r="I158" s="227">
        <v>154</v>
      </c>
      <c r="J158" s="227">
        <f t="shared" si="49"/>
        <v>2.5015188691246433</v>
      </c>
      <c r="K158" s="227">
        <f t="shared" si="72"/>
        <v>317.33565360904294</v>
      </c>
      <c r="L158" s="227">
        <f t="shared" si="62"/>
        <v>1993.8787162005692</v>
      </c>
      <c r="M158" s="227">
        <f t="shared" si="50"/>
        <v>5495.620250051421</v>
      </c>
      <c r="N158" s="227">
        <f>SQRT((ABS(AC158)-171.5+'Small Signal'!C$59)^2)</f>
        <v>82.188367054016084</v>
      </c>
      <c r="O158" s="227">
        <f t="shared" si="63"/>
        <v>95.492212435360912</v>
      </c>
      <c r="P158" s="227">
        <f t="shared" si="64"/>
        <v>21.52460001476787</v>
      </c>
      <c r="Q158" s="227">
        <f t="shared" si="65"/>
        <v>317.33565360904294</v>
      </c>
      <c r="R158" s="227" t="str">
        <f t="shared" si="51"/>
        <v>0.0878666666666667+0.00937122996614267i</v>
      </c>
      <c r="S158" s="227" t="str">
        <f t="shared" si="52"/>
        <v>0.0085-19.2077241355001i</v>
      </c>
      <c r="T158" s="227" t="str">
        <f t="shared" si="53"/>
        <v>8.93782653448451-6.08968416072458i</v>
      </c>
      <c r="U158" s="227" t="str">
        <f t="shared" si="54"/>
        <v>80.890117473545-8.56143293856746i</v>
      </c>
      <c r="V158" s="227">
        <f t="shared" si="66"/>
        <v>38.206289232539206</v>
      </c>
      <c r="W158" s="227">
        <f t="shared" si="67"/>
        <v>-6.0417084548625137</v>
      </c>
      <c r="X158" s="227" t="str">
        <f t="shared" si="55"/>
        <v>0.999999283897479-0.000249198019486731i</v>
      </c>
      <c r="Y158" s="227" t="str">
        <f t="shared" si="56"/>
        <v>63.8255930185416+15.5220493761705i</v>
      </c>
      <c r="Z158" s="227" t="str">
        <f t="shared" si="57"/>
        <v>33.2395758905819+8.07491786071829i</v>
      </c>
      <c r="AA158" s="227" t="str">
        <f t="shared" si="58"/>
        <v>17.045430394203-5.97311031444719i</v>
      </c>
      <c r="AB158" s="227">
        <f t="shared" si="68"/>
        <v>25.135168991971668</v>
      </c>
      <c r="AC158" s="227">
        <f t="shared" si="69"/>
        <v>-19.311632945983906</v>
      </c>
      <c r="AD158" s="229">
        <f t="shared" si="70"/>
        <v>-3.6105689772037977</v>
      </c>
      <c r="AE158" s="229">
        <f t="shared" si="71"/>
        <v>114.80384538134481</v>
      </c>
      <c r="AF158" s="227">
        <f t="shared" si="59"/>
        <v>21.52460001476787</v>
      </c>
      <c r="AG158" s="227">
        <f t="shared" si="60"/>
        <v>95.492212435360912</v>
      </c>
      <c r="AH158" s="229" t="str">
        <f t="shared" si="61"/>
        <v>0.276832440498147-0.599014707747406i</v>
      </c>
    </row>
    <row r="159" spans="9:34" x14ac:dyDescent="0.2">
      <c r="I159" s="227">
        <v>155</v>
      </c>
      <c r="J159" s="227">
        <f t="shared" si="49"/>
        <v>2.511268991651427</v>
      </c>
      <c r="K159" s="227">
        <f t="shared" si="72"/>
        <v>324.54056780379432</v>
      </c>
      <c r="L159" s="227">
        <f t="shared" si="62"/>
        <v>2039.1485272085208</v>
      </c>
      <c r="M159" s="227">
        <f t="shared" si="50"/>
        <v>5488.2517526350457</v>
      </c>
      <c r="N159" s="227">
        <f>SQRT((ABS(AC159)-171.5+'Small Signal'!C$59)^2)</f>
        <v>81.778994302397592</v>
      </c>
      <c r="O159" s="227">
        <f t="shared" si="63"/>
        <v>95.57136010289743</v>
      </c>
      <c r="P159" s="227">
        <f t="shared" si="64"/>
        <v>21.345427934722082</v>
      </c>
      <c r="Q159" s="227">
        <f t="shared" si="65"/>
        <v>324.54056780379432</v>
      </c>
      <c r="R159" s="227" t="str">
        <f t="shared" si="51"/>
        <v>0.0878666666666667+0.00958399807788005i</v>
      </c>
      <c r="S159" s="227" t="str">
        <f t="shared" si="52"/>
        <v>0.0085-18.7813059369702i</v>
      </c>
      <c r="T159" s="227" t="str">
        <f t="shared" si="53"/>
        <v>8.80951722699085-6.13845478633899i</v>
      </c>
      <c r="U159" s="227" t="str">
        <f t="shared" si="54"/>
        <v>80.8851626785627-8.75869950381563i</v>
      </c>
      <c r="V159" s="227">
        <f t="shared" si="66"/>
        <v>38.208005405863872</v>
      </c>
      <c r="W159" s="227">
        <f t="shared" si="67"/>
        <v>-6.180227751190202</v>
      </c>
      <c r="X159" s="227" t="str">
        <f t="shared" si="55"/>
        <v>0.999999251010986-0.000254855909886011i</v>
      </c>
      <c r="Y159" s="227" t="str">
        <f t="shared" si="56"/>
        <v>63.9143071142988+15.8723145647793i</v>
      </c>
      <c r="Z159" s="227" t="str">
        <f t="shared" si="57"/>
        <v>33.2858654154458+8.25712046467387i</v>
      </c>
      <c r="AA159" s="227" t="str">
        <f t="shared" si="58"/>
        <v>16.963595521921-6.0808639407777i</v>
      </c>
      <c r="AB159" s="227">
        <f t="shared" si="68"/>
        <v>25.115364273381925</v>
      </c>
      <c r="AC159" s="227">
        <f t="shared" si="69"/>
        <v>-19.721005697602411</v>
      </c>
      <c r="AD159" s="229">
        <f t="shared" si="70"/>
        <v>-3.7699363386598419</v>
      </c>
      <c r="AE159" s="229">
        <f t="shared" si="71"/>
        <v>115.29236580049984</v>
      </c>
      <c r="AF159" s="227">
        <f t="shared" si="59"/>
        <v>21.345427934722082</v>
      </c>
      <c r="AG159" s="227">
        <f t="shared" si="60"/>
        <v>95.57136010289743</v>
      </c>
      <c r="AH159" s="229" t="str">
        <f t="shared" si="61"/>
        <v>0.276804052721987-0.585785501269244i</v>
      </c>
    </row>
    <row r="160" spans="9:34" x14ac:dyDescent="0.2">
      <c r="I160" s="227">
        <v>156</v>
      </c>
      <c r="J160" s="227">
        <f t="shared" si="49"/>
        <v>2.5210191141782103</v>
      </c>
      <c r="K160" s="227">
        <f t="shared" si="72"/>
        <v>331.90906522016979</v>
      </c>
      <c r="L160" s="227">
        <f t="shared" si="62"/>
        <v>2085.4461619110821</v>
      </c>
      <c r="M160" s="227">
        <f t="shared" si="50"/>
        <v>5480.7159579388799</v>
      </c>
      <c r="N160" s="227">
        <f>SQRT((ABS(AC160)-171.5+'Small Signal'!C$59)^2)</f>
        <v>81.362178699372123</v>
      </c>
      <c r="O160" s="227">
        <f t="shared" si="63"/>
        <v>95.649985326866627</v>
      </c>
      <c r="P160" s="227">
        <f t="shared" si="64"/>
        <v>21.166769157989329</v>
      </c>
      <c r="Q160" s="227">
        <f t="shared" si="65"/>
        <v>331.90906522016979</v>
      </c>
      <c r="R160" s="227" t="str">
        <f t="shared" si="51"/>
        <v>0.0878666666666667+0.00980159696098208i</v>
      </c>
      <c r="S160" s="227" t="str">
        <f t="shared" si="52"/>
        <v>0.0085-18.3643543716946i</v>
      </c>
      <c r="T160" s="227" t="str">
        <f t="shared" si="53"/>
        <v>8.67920235333896-6.1848702754811i</v>
      </c>
      <c r="U160" s="227" t="str">
        <f t="shared" si="54"/>
        <v>80.8799512155425-8.9606454997923i</v>
      </c>
      <c r="V160" s="227">
        <f t="shared" si="66"/>
        <v>38.20979973394271</v>
      </c>
      <c r="W160" s="227">
        <f t="shared" si="67"/>
        <v>-6.3219861656175942</v>
      </c>
      <c r="X160" s="227" t="str">
        <f t="shared" si="55"/>
        <v>0.999999216614204-0.000260642259266771i</v>
      </c>
      <c r="Y160" s="227" t="str">
        <f t="shared" si="56"/>
        <v>64.0071484636865+16.2303754382352i</v>
      </c>
      <c r="Z160" s="227" t="str">
        <f t="shared" si="57"/>
        <v>33.3343083863189+8.44337732888344i</v>
      </c>
      <c r="AA160" s="227" t="str">
        <f t="shared" si="58"/>
        <v>16.8787973664787-6.18939964050961i</v>
      </c>
      <c r="AB160" s="227">
        <f t="shared" si="68"/>
        <v>25.094746690255288</v>
      </c>
      <c r="AC160" s="227">
        <f t="shared" si="69"/>
        <v>-20.137821300627863</v>
      </c>
      <c r="AD160" s="229">
        <f t="shared" si="70"/>
        <v>-3.9279775322659582</v>
      </c>
      <c r="AE160" s="229">
        <f t="shared" si="71"/>
        <v>115.78780662749449</v>
      </c>
      <c r="AF160" s="227">
        <f t="shared" si="59"/>
        <v>21.166769157989329</v>
      </c>
      <c r="AG160" s="227">
        <f t="shared" si="60"/>
        <v>95.649985326866627</v>
      </c>
      <c r="AH160" s="229" t="str">
        <f t="shared" si="61"/>
        <v>0.276776876019241-0.572851554581162i</v>
      </c>
    </row>
    <row r="161" spans="9:34" x14ac:dyDescent="0.2">
      <c r="I161" s="227">
        <v>157</v>
      </c>
      <c r="J161" s="227">
        <f t="shared" si="49"/>
        <v>2.5307692367049937</v>
      </c>
      <c r="K161" s="227">
        <f t="shared" si="72"/>
        <v>339.44485991633542</v>
      </c>
      <c r="L161" s="227">
        <f t="shared" si="62"/>
        <v>2132.7949564239516</v>
      </c>
      <c r="M161" s="227">
        <f t="shared" si="50"/>
        <v>5473.0090675793126</v>
      </c>
      <c r="N161" s="227">
        <f>SQRT((ABS(AC161)-171.5+'Small Signal'!C$59)^2)</f>
        <v>80.937861501264592</v>
      </c>
      <c r="O161" s="227">
        <f t="shared" si="63"/>
        <v>95.727966717771224</v>
      </c>
      <c r="P161" s="227">
        <f t="shared" si="64"/>
        <v>20.988631912688806</v>
      </c>
      <c r="Q161" s="227">
        <f t="shared" si="65"/>
        <v>339.44485991633542</v>
      </c>
      <c r="R161" s="227" t="str">
        <f t="shared" si="51"/>
        <v>0.0878666666666667+0.0100241362951926i</v>
      </c>
      <c r="S161" s="227" t="str">
        <f t="shared" si="52"/>
        <v>0.0085-17.9566592771015i</v>
      </c>
      <c r="T161" s="227" t="str">
        <f t="shared" si="53"/>
        <v>8.54696889080753-6.22882951303306i</v>
      </c>
      <c r="U161" s="227" t="str">
        <f t="shared" si="54"/>
        <v>80.8744685277784-9.16739110209714i</v>
      </c>
      <c r="V161" s="227">
        <f t="shared" si="66"/>
        <v>38.211675742863115</v>
      </c>
      <c r="W161" s="227">
        <f t="shared" si="67"/>
        <v>-6.4670638387681585</v>
      </c>
      <c r="X161" s="227" t="str">
        <f t="shared" si="55"/>
        <v>0.999999180637775-0.000266559984212537i</v>
      </c>
      <c r="Y161" s="227" t="str">
        <f t="shared" si="56"/>
        <v>64.1043115748123+16.5963972446339i</v>
      </c>
      <c r="Z161" s="227" t="str">
        <f t="shared" si="57"/>
        <v>33.3850062821774+8.63377432510975i</v>
      </c>
      <c r="AA161" s="227" t="str">
        <f t="shared" si="58"/>
        <v>16.7909621969304-6.29864769817615i</v>
      </c>
      <c r="AB161" s="227">
        <f t="shared" si="68"/>
        <v>25.073286991499856</v>
      </c>
      <c r="AC161" s="227">
        <f t="shared" si="69"/>
        <v>-20.562138498735411</v>
      </c>
      <c r="AD161" s="229">
        <f t="shared" si="70"/>
        <v>-4.0846550788110489</v>
      </c>
      <c r="AE161" s="229">
        <f t="shared" si="71"/>
        <v>116.29010521650663</v>
      </c>
      <c r="AF161" s="227">
        <f t="shared" si="59"/>
        <v>20.988631912688806</v>
      </c>
      <c r="AG161" s="227">
        <f t="shared" si="60"/>
        <v>95.727966717771224</v>
      </c>
      <c r="AH161" s="229" t="str">
        <f t="shared" si="61"/>
        <v>0.276750855590331-0.560206348537928i</v>
      </c>
    </row>
    <row r="162" spans="9:34" x14ac:dyDescent="0.2">
      <c r="I162" s="227">
        <v>158</v>
      </c>
      <c r="J162" s="227">
        <f t="shared" si="49"/>
        <v>2.5405193592317774</v>
      </c>
      <c r="K162" s="227">
        <f t="shared" si="72"/>
        <v>347.15175027590294</v>
      </c>
      <c r="L162" s="227">
        <f t="shared" si="62"/>
        <v>2181.2187766952302</v>
      </c>
      <c r="M162" s="227">
        <f t="shared" si="50"/>
        <v>5465.127196932729</v>
      </c>
      <c r="N162" s="227">
        <f>SQRT((ABS(AC162)-171.5+'Small Signal'!C$59)^2)</f>
        <v>80.50598838557076</v>
      </c>
      <c r="O162" s="227">
        <f t="shared" si="63"/>
        <v>95.805177581733489</v>
      </c>
      <c r="P162" s="227">
        <f t="shared" si="64"/>
        <v>20.811023893163867</v>
      </c>
      <c r="Q162" s="227">
        <f t="shared" si="65"/>
        <v>347.15175027590294</v>
      </c>
      <c r="R162" s="227" t="str">
        <f t="shared" si="51"/>
        <v>0.0878666666666667+0.0102517282504676i</v>
      </c>
      <c r="S162" s="227" t="str">
        <f t="shared" si="52"/>
        <v>0.0085-17.5580151563021i</v>
      </c>
      <c r="T162" s="227" t="str">
        <f t="shared" si="53"/>
        <v>8.41291031754191-6.27023500021431i</v>
      </c>
      <c r="U162" s="227" t="str">
        <f t="shared" si="54"/>
        <v>80.8686991250863-9.37906017952447i</v>
      </c>
      <c r="V162" s="227">
        <f t="shared" si="66"/>
        <v>38.213637114546223</v>
      </c>
      <c r="W162" s="227">
        <f t="shared" si="67"/>
        <v>-6.6155431953288408</v>
      </c>
      <c r="X162" s="227" t="str">
        <f t="shared" si="55"/>
        <v>0.999999143009154-0.000272612067526099i</v>
      </c>
      <c r="Y162" s="227" t="str">
        <f t="shared" si="56"/>
        <v>64.2060003514314+16.9705480670188i</v>
      </c>
      <c r="Z162" s="227" t="str">
        <f t="shared" si="57"/>
        <v>33.4380654831505+8.82839879302874i</v>
      </c>
      <c r="AA162" s="227" t="str">
        <f t="shared" si="58"/>
        <v>16.700017248308-6.40853345712657i</v>
      </c>
      <c r="AB162" s="227">
        <f t="shared" si="68"/>
        <v>25.05095521387436</v>
      </c>
      <c r="AC162" s="227">
        <f t="shared" si="69"/>
        <v>-20.994011614429237</v>
      </c>
      <c r="AD162" s="229">
        <f t="shared" si="70"/>
        <v>-4.2399313207104932</v>
      </c>
      <c r="AE162" s="229">
        <f t="shared" si="71"/>
        <v>116.79918919616273</v>
      </c>
      <c r="AF162" s="227">
        <f t="shared" si="59"/>
        <v>20.811023893163867</v>
      </c>
      <c r="AG162" s="227">
        <f t="shared" si="60"/>
        <v>95.805177581733489</v>
      </c>
      <c r="AH162" s="229" t="str">
        <f t="shared" si="61"/>
        <v>0.276725938967222-0.547843509520868i</v>
      </c>
    </row>
    <row r="163" spans="9:34" x14ac:dyDescent="0.2">
      <c r="I163" s="227">
        <v>159</v>
      </c>
      <c r="J163" s="227">
        <f t="shared" si="49"/>
        <v>2.5502694817585607</v>
      </c>
      <c r="K163" s="227">
        <f t="shared" si="72"/>
        <v>355.03362092248625</v>
      </c>
      <c r="L163" s="227">
        <f t="shared" si="62"/>
        <v>2230.7420305349324</v>
      </c>
      <c r="M163" s="227">
        <f t="shared" si="50"/>
        <v>5457.066373177483</v>
      </c>
      <c r="N163" s="227">
        <f>SQRT((ABS(AC163)-171.5+'Small Signal'!C$59)^2)</f>
        <v>80.066509768248011</v>
      </c>
      <c r="O163" s="227">
        <f t="shared" si="63"/>
        <v>95.881485968963972</v>
      </c>
      <c r="P163" s="227">
        <f t="shared" si="64"/>
        <v>20.633952203005279</v>
      </c>
      <c r="Q163" s="227">
        <f t="shared" si="65"/>
        <v>355.03362092248625</v>
      </c>
      <c r="R163" s="227" t="str">
        <f t="shared" si="51"/>
        <v>0.0878666666666667+0.0104844875435142i</v>
      </c>
      <c r="S163" s="227" t="str">
        <f t="shared" si="52"/>
        <v>0.0085-17.1682210745102i</v>
      </c>
      <c r="T163" s="227" t="str">
        <f t="shared" si="53"/>
        <v>8.27712643628037-6.30899334815517i</v>
      </c>
      <c r="U163" s="227" t="str">
        <f t="shared" si="54"/>
        <v>80.8626265153488-9.59578044430685i</v>
      </c>
      <c r="V163" s="227">
        <f t="shared" si="66"/>
        <v>38.215687693305284</v>
      </c>
      <c r="W163" s="227">
        <f t="shared" si="67"/>
        <v>-6.7675090288333788</v>
      </c>
      <c r="X163" s="227" t="str">
        <f t="shared" si="55"/>
        <v>0.999999103652466-0.000278801559732982i</v>
      </c>
      <c r="Y163" s="227" t="str">
        <f t="shared" si="56"/>
        <v>64.3124285673673+17.3529988119797i</v>
      </c>
      <c r="Z163" s="227" t="str">
        <f t="shared" si="57"/>
        <v>33.4935975179287+9.02733953379258i</v>
      </c>
      <c r="AA163" s="227" t="str">
        <f t="shared" si="58"/>
        <v>16.6058910031013-6.51897720721288i</v>
      </c>
      <c r="AB163" s="227">
        <f t="shared" si="68"/>
        <v>25.027720693018782</v>
      </c>
      <c r="AC163" s="227">
        <f t="shared" si="69"/>
        <v>-21.433490231752</v>
      </c>
      <c r="AD163" s="229">
        <f t="shared" si="70"/>
        <v>-4.3937684900135014</v>
      </c>
      <c r="AE163" s="229">
        <f t="shared" si="71"/>
        <v>117.31497620071598</v>
      </c>
      <c r="AF163" s="227">
        <f t="shared" si="59"/>
        <v>20.633952203005279</v>
      </c>
      <c r="AG163" s="227">
        <f t="shared" si="60"/>
        <v>95.881485968963972</v>
      </c>
      <c r="AH163" s="229" t="str">
        <f t="shared" si="61"/>
        <v>0.27670207590762-0.535756806225884i</v>
      </c>
    </row>
    <row r="164" spans="9:34" x14ac:dyDescent="0.2">
      <c r="I164" s="227">
        <v>160</v>
      </c>
      <c r="J164" s="227">
        <f t="shared" si="49"/>
        <v>2.560019604285344</v>
      </c>
      <c r="K164" s="227">
        <f t="shared" si="72"/>
        <v>363.09444467773227</v>
      </c>
      <c r="L164" s="227">
        <f t="shared" si="62"/>
        <v>2281.3896799176587</v>
      </c>
      <c r="M164" s="227">
        <f t="shared" si="50"/>
        <v>5448.8225332914144</v>
      </c>
      <c r="N164" s="227">
        <f>SQRT((ABS(AC164)-171.5+'Small Signal'!C$59)^2)</f>
        <v>79.619381127723074</v>
      </c>
      <c r="O164" s="227">
        <f t="shared" si="63"/>
        <v>95.956754749660917</v>
      </c>
      <c r="P164" s="227">
        <f t="shared" si="64"/>
        <v>20.457423296789912</v>
      </c>
      <c r="Q164" s="227">
        <f t="shared" si="65"/>
        <v>363.09444467773227</v>
      </c>
      <c r="R164" s="227" t="str">
        <f t="shared" si="51"/>
        <v>0.0878666666666667+0.010722531495613i</v>
      </c>
      <c r="S164" s="227" t="str">
        <f t="shared" si="52"/>
        <v>0.0085-16.7870805577624i</v>
      </c>
      <c r="T164" s="227" t="str">
        <f t="shared" si="53"/>
        <v>8.13972315442863-6.34501576333238i</v>
      </c>
      <c r="U164" s="227" t="str">
        <f t="shared" si="54"/>
        <v>80.8562331304238-9.81768361027922i</v>
      </c>
      <c r="V164" s="227">
        <f t="shared" si="66"/>
        <v>38.217831492646546</v>
      </c>
      <c r="W164" s="227">
        <f t="shared" si="67"/>
        <v>-6.9230485907286496</v>
      </c>
      <c r="X164" s="227" t="str">
        <f t="shared" si="55"/>
        <v>0.99999906248835-0.000285131580619048i</v>
      </c>
      <c r="Y164" s="227" t="str">
        <f t="shared" si="56"/>
        <v>64.4238203666768+17.7439231912699i</v>
      </c>
      <c r="Z164" s="227" t="str">
        <f t="shared" si="57"/>
        <v>33.5517193245898+9.23068679992259i</v>
      </c>
      <c r="AA164" s="227" t="str">
        <f t="shared" si="58"/>
        <v>16.5085134904159-6.62989408576264i</v>
      </c>
      <c r="AB164" s="227">
        <f t="shared" si="68"/>
        <v>25.003552077335485</v>
      </c>
      <c r="AC164" s="227">
        <f t="shared" si="69"/>
        <v>-21.880618872276916</v>
      </c>
      <c r="AD164" s="229">
        <f t="shared" si="70"/>
        <v>-4.5461287805455717</v>
      </c>
      <c r="AE164" s="229">
        <f t="shared" si="71"/>
        <v>117.83737362193783</v>
      </c>
      <c r="AF164" s="227">
        <f t="shared" si="59"/>
        <v>20.457423296789912</v>
      </c>
      <c r="AG164" s="227">
        <f t="shared" si="60"/>
        <v>95.956754749660917</v>
      </c>
      <c r="AH164" s="229" t="str">
        <f t="shared" si="61"/>
        <v>0.276679218293667-0.523940146523206i</v>
      </c>
    </row>
    <row r="165" spans="9:34" x14ac:dyDescent="0.2">
      <c r="I165" s="227">
        <v>161</v>
      </c>
      <c r="J165" s="227">
        <f t="shared" si="49"/>
        <v>2.5697697268121273</v>
      </c>
      <c r="K165" s="227">
        <f t="shared" si="72"/>
        <v>371.33828456380047</v>
      </c>
      <c r="L165" s="227">
        <f t="shared" si="62"/>
        <v>2333.1872535645434</v>
      </c>
      <c r="M165" s="227">
        <f t="shared" si="50"/>
        <v>5440.3915220039016</v>
      </c>
      <c r="N165" s="227">
        <f>SQRT((ABS(AC165)-171.5+'Small Signal'!C$59)^2)</f>
        <v>79.164563334693469</v>
      </c>
      <c r="O165" s="227">
        <f t="shared" si="63"/>
        <v>96.030841719056724</v>
      </c>
      <c r="P165" s="227">
        <f t="shared" si="64"/>
        <v>20.281442920820705</v>
      </c>
      <c r="Q165" s="227">
        <f t="shared" si="65"/>
        <v>371.33828456380047</v>
      </c>
      <c r="R165" s="227" t="str">
        <f t="shared" si="51"/>
        <v>0.0878666666666667+0.0109659800917534i</v>
      </c>
      <c r="S165" s="227" t="str">
        <f t="shared" si="52"/>
        <v>0.0085-16.414401493886i</v>
      </c>
      <c r="T165" s="227" t="str">
        <f t="shared" si="53"/>
        <v>8.00081222066822-6.37821852047433i</v>
      </c>
      <c r="U165" s="227" t="str">
        <f t="shared" si="54"/>
        <v>80.8495002458884-10.0449055594399i</v>
      </c>
      <c r="V165" s="227">
        <f t="shared" si="66"/>
        <v>38.220072702315385</v>
      </c>
      <c r="W165" s="227">
        <f t="shared" si="67"/>
        <v>-7.0822516839942349</v>
      </c>
      <c r="X165" s="227" t="str">
        <f t="shared" si="55"/>
        <v>0.999999019433802-0.000291605320803014i</v>
      </c>
      <c r="Y165" s="227" t="str">
        <f t="shared" si="56"/>
        <v>64.5404107910748+18.1434976956349i</v>
      </c>
      <c r="Z165" s="227" t="str">
        <f t="shared" si="57"/>
        <v>33.6125535256345+9.4385322811097i</v>
      </c>
      <c r="AA165" s="227" t="str">
        <f t="shared" si="58"/>
        <v>16.4078166026131-6.74119399372898i</v>
      </c>
      <c r="AB165" s="227">
        <f t="shared" si="68"/>
        <v>24.97841734489359</v>
      </c>
      <c r="AC165" s="227">
        <f t="shared" si="69"/>
        <v>-22.335436665306535</v>
      </c>
      <c r="AD165" s="229">
        <f t="shared" si="70"/>
        <v>-4.6969744240728852</v>
      </c>
      <c r="AE165" s="229">
        <f t="shared" si="71"/>
        <v>118.36627838436326</v>
      </c>
      <c r="AF165" s="227">
        <f t="shared" si="59"/>
        <v>20.281442920820705</v>
      </c>
      <c r="AG165" s="227">
        <f t="shared" si="60"/>
        <v>96.030841719056724</v>
      </c>
      <c r="AH165" s="229" t="str">
        <f t="shared" si="61"/>
        <v>0.27665732003492-0.512387574387206i</v>
      </c>
    </row>
    <row r="166" spans="9:34" x14ac:dyDescent="0.2">
      <c r="I166" s="227">
        <v>162</v>
      </c>
      <c r="J166" s="227">
        <f t="shared" si="49"/>
        <v>2.5795198493389107</v>
      </c>
      <c r="K166" s="227">
        <f t="shared" si="72"/>
        <v>379.76929585131342</v>
      </c>
      <c r="L166" s="227">
        <f t="shared" si="62"/>
        <v>2386.1608598109096</v>
      </c>
      <c r="M166" s="227">
        <f t="shared" si="50"/>
        <v>5431.7690897014136</v>
      </c>
      <c r="N166" s="227">
        <f>SQRT((ABS(AC166)-171.5+'Small Signal'!C$59)^2)</f>
        <v>78.702022986677974</v>
      </c>
      <c r="O166" s="227">
        <f t="shared" si="63"/>
        <v>96.103599733223703</v>
      </c>
      <c r="P166" s="227">
        <f t="shared" si="64"/>
        <v>20.106016053191947</v>
      </c>
      <c r="Q166" s="227">
        <f t="shared" si="65"/>
        <v>379.76929585131342</v>
      </c>
      <c r="R166" s="227" t="str">
        <f t="shared" si="51"/>
        <v>0.0878666666666667+0.0112149560411113i</v>
      </c>
      <c r="S166" s="227" t="str">
        <f t="shared" si="52"/>
        <v>0.0085-16.0499960356656i</v>
      </c>
      <c r="T166" s="227" t="str">
        <f t="shared" si="53"/>
        <v>7.86051091878116-6.40852341850026i</v>
      </c>
      <c r="U166" s="227" t="str">
        <f t="shared" si="54"/>
        <v>80.8424078940793-10.2775865174157i</v>
      </c>
      <c r="V166" s="227">
        <f t="shared" si="66"/>
        <v>38.222415695594279</v>
      </c>
      <c r="W166" s="227">
        <f t="shared" si="67"/>
        <v>-7.2452107616026291</v>
      </c>
      <c r="X166" s="227" t="str">
        <f t="shared" si="55"/>
        <v>0.999998974402005-0.000298226043344664i</v>
      </c>
      <c r="Y166" s="227" t="str">
        <f t="shared" si="56"/>
        <v>64.6624463362767+18.5519015599665i</v>
      </c>
      <c r="Z166" s="227" t="str">
        <f t="shared" si="57"/>
        <v>33.6762287180929+9.65096908545795i</v>
      </c>
      <c r="AA166" s="227" t="str">
        <f t="shared" si="58"/>
        <v>16.3037344290658-6.85278152898515i</v>
      </c>
      <c r="AB166" s="227">
        <f t="shared" si="68"/>
        <v>24.952283823526514</v>
      </c>
      <c r="AC166" s="227">
        <f t="shared" si="69"/>
        <v>-22.797977013322015</v>
      </c>
      <c r="AD166" s="229">
        <f t="shared" si="70"/>
        <v>-4.846267770334566</v>
      </c>
      <c r="AE166" s="229">
        <f t="shared" si="71"/>
        <v>118.90157674654571</v>
      </c>
      <c r="AF166" s="227">
        <f t="shared" si="59"/>
        <v>20.106016053191947</v>
      </c>
      <c r="AG166" s="227">
        <f t="shared" si="60"/>
        <v>96.103599733223703</v>
      </c>
      <c r="AH166" s="229" t="str">
        <f t="shared" si="61"/>
        <v>0.276636336975421-0.501093266894794i</v>
      </c>
    </row>
    <row r="167" spans="9:34" x14ac:dyDescent="0.2">
      <c r="I167" s="227">
        <v>163</v>
      </c>
      <c r="J167" s="227">
        <f t="shared" si="49"/>
        <v>2.5892699718656944</v>
      </c>
      <c r="K167" s="227">
        <f t="shared" si="72"/>
        <v>388.39172815380175</v>
      </c>
      <c r="L167" s="227">
        <f t="shared" si="62"/>
        <v>2440.3371997660552</v>
      </c>
      <c r="M167" s="227">
        <f t="shared" si="50"/>
        <v>5422.9508902855141</v>
      </c>
      <c r="N167" s="227">
        <f>SQRT((ABS(AC167)-171.5+'Small Signal'!C$59)^2)</f>
        <v>78.231732746146946</v>
      </c>
      <c r="O167" s="227">
        <f t="shared" si="63"/>
        <v>96.17487687712385</v>
      </c>
      <c r="P167" s="227">
        <f t="shared" si="64"/>
        <v>19.931146843537508</v>
      </c>
      <c r="Q167" s="227">
        <f t="shared" si="65"/>
        <v>388.39172815380175</v>
      </c>
      <c r="R167" s="227" t="str">
        <f t="shared" si="51"/>
        <v>0.0878666666666667+0.0114695848389005i</v>
      </c>
      <c r="S167" s="227" t="str">
        <f t="shared" si="52"/>
        <v>0.0085-15.69368050616i</v>
      </c>
      <c r="T167" s="227" t="str">
        <f t="shared" si="53"/>
        <v>7.7189417198838-6.43585821507745i</v>
      </c>
      <c r="U167" s="227" t="str">
        <f t="shared" si="54"/>
        <v>80.8349347698098-10.5158712383673i</v>
      </c>
      <c r="V167" s="227">
        <f t="shared" si="66"/>
        <v>38.224865036855583</v>
      </c>
      <c r="W167" s="227">
        <f t="shared" si="67"/>
        <v>-7.4120210301290141</v>
      </c>
      <c r="X167" s="227" t="str">
        <f t="shared" si="55"/>
        <v>0.999998927302155-0.000304997085389582i</v>
      </c>
      <c r="Y167" s="227" t="str">
        <f t="shared" si="56"/>
        <v>64.7901855390067+18.9693167187947i</v>
      </c>
      <c r="Z167" s="227" t="str">
        <f t="shared" si="57"/>
        <v>33.7428797796151+9.86809171565394i</v>
      </c>
      <c r="AA167" s="227" t="str">
        <f t="shared" si="58"/>
        <v>16.1962036064757-6.96455593879465i</v>
      </c>
      <c r="AB167" s="227">
        <f t="shared" si="68"/>
        <v>24.925118214287227</v>
      </c>
      <c r="AC167" s="227">
        <f t="shared" si="69"/>
        <v>-23.268267253853043</v>
      </c>
      <c r="AD167" s="229">
        <f t="shared" si="70"/>
        <v>-4.9939713707497182</v>
      </c>
      <c r="AE167" s="229">
        <f t="shared" si="71"/>
        <v>119.44314413097689</v>
      </c>
      <c r="AF167" s="227">
        <f t="shared" si="59"/>
        <v>19.931146843537508</v>
      </c>
      <c r="AG167" s="227">
        <f t="shared" si="60"/>
        <v>96.17487687712385</v>
      </c>
      <c r="AH167" s="229" t="str">
        <f t="shared" si="61"/>
        <v>0.276616226804656-0.490051531290845i</v>
      </c>
    </row>
    <row r="168" spans="9:34" x14ac:dyDescent="0.2">
      <c r="I168" s="227">
        <v>164</v>
      </c>
      <c r="J168" s="227">
        <f t="shared" si="49"/>
        <v>2.5990200943924777</v>
      </c>
      <c r="K168" s="227">
        <f t="shared" si="72"/>
        <v>397.20992756970054</v>
      </c>
      <c r="L168" s="227">
        <f t="shared" si="62"/>
        <v>2495.7435807718102</v>
      </c>
      <c r="M168" s="227">
        <f t="shared" si="50"/>
        <v>5413.9324789822304</v>
      </c>
      <c r="N168" s="227">
        <f>SQRT((ABS(AC168)-171.5+'Small Signal'!C$59)^2)</f>
        <v>77.753671680915431</v>
      </c>
      <c r="O168" s="227">
        <f t="shared" si="63"/>
        <v>96.244516666210231</v>
      </c>
      <c r="P168" s="227">
        <f t="shared" si="64"/>
        <v>19.756838552858294</v>
      </c>
      <c r="Q168" s="227">
        <f t="shared" si="65"/>
        <v>397.20992756970054</v>
      </c>
      <c r="R168" s="227" t="str">
        <f t="shared" si="51"/>
        <v>0.0878666666666667+0.0117299948296275i</v>
      </c>
      <c r="S168" s="227" t="str">
        <f t="shared" si="52"/>
        <v>0.0085-15.3452753061201i</v>
      </c>
      <c r="T168" s="227" t="str">
        <f t="shared" si="53"/>
        <v>7.57623189477465-6.46015703546465i</v>
      </c>
      <c r="U168" s="227" t="str">
        <f t="shared" si="54"/>
        <v>80.8270581280917-10.7599091999012i</v>
      </c>
      <c r="V168" s="227">
        <f t="shared" si="66"/>
        <v>38.227425489372308</v>
      </c>
      <c r="W168" s="227">
        <f t="shared" si="67"/>
        <v>-7.582780558839417</v>
      </c>
      <c r="X168" s="227" t="str">
        <f t="shared" si="55"/>
        <v>0.999998878039278-0.000311921859851226i</v>
      </c>
      <c r="Y168" s="227" t="str">
        <f t="shared" si="56"/>
        <v>64.9238995965234+19.395927751034i</v>
      </c>
      <c r="Z168" s="227" t="str">
        <f t="shared" si="57"/>
        <v>33.8126481915073+10.0899960394948i</v>
      </c>
      <c r="AA168" s="227" t="str">
        <f t="shared" si="58"/>
        <v>16.0851636849955-7.07641109354397i</v>
      </c>
      <c r="AB168" s="227">
        <f t="shared" si="68"/>
        <v>24.896886618421586</v>
      </c>
      <c r="AC168" s="227">
        <f t="shared" si="69"/>
        <v>-23.746328319084583</v>
      </c>
      <c r="AD168" s="229">
        <f t="shared" si="70"/>
        <v>-5.140048065563291</v>
      </c>
      <c r="AE168" s="229">
        <f t="shared" si="71"/>
        <v>119.99084498529481</v>
      </c>
      <c r="AF168" s="227">
        <f t="shared" si="59"/>
        <v>19.756838552858294</v>
      </c>
      <c r="AG168" s="227">
        <f t="shared" si="60"/>
        <v>96.244516666210231</v>
      </c>
      <c r="AH168" s="229" t="str">
        <f t="shared" si="61"/>
        <v>0.276596948972242-0.479256802119199i</v>
      </c>
    </row>
    <row r="169" spans="9:34" x14ac:dyDescent="0.2">
      <c r="I169" s="227">
        <v>165</v>
      </c>
      <c r="J169" s="227">
        <f t="shared" si="49"/>
        <v>2.608770216919261</v>
      </c>
      <c r="K169" s="227">
        <f t="shared" si="72"/>
        <v>406.22833887298515</v>
      </c>
      <c r="L169" s="227">
        <f t="shared" si="62"/>
        <v>2552.4079301667102</v>
      </c>
      <c r="M169" s="227">
        <f t="shared" si="50"/>
        <v>5404.709310101679</v>
      </c>
      <c r="N169" s="227">
        <f>SQRT((ABS(AC169)-171.5+'Small Signal'!C$59)^2)</f>
        <v>77.26782560536958</v>
      </c>
      <c r="O169" s="227">
        <f t="shared" si="63"/>
        <v>96.312358282712239</v>
      </c>
      <c r="P169" s="227">
        <f t="shared" si="64"/>
        <v>19.583093493856978</v>
      </c>
      <c r="Q169" s="227">
        <f t="shared" si="65"/>
        <v>406.22833887298515</v>
      </c>
      <c r="R169" s="227" t="str">
        <f t="shared" si="51"/>
        <v>0.0878666666666667+0.0119963172717835i</v>
      </c>
      <c r="S169" s="227" t="str">
        <f t="shared" si="52"/>
        <v>0.0085-15.0046048234634i</v>
      </c>
      <c r="T169" s="227" t="str">
        <f t="shared" si="53"/>
        <v>7.43251308861092-6.481360751461i</v>
      </c>
      <c r="U169" s="227" t="str">
        <f t="shared" si="54"/>
        <v>80.8187536731306-11.0098548085919i</v>
      </c>
      <c r="V169" s="227">
        <f t="shared" si="66"/>
        <v>38.230102023390032</v>
      </c>
      <c r="W169" s="227">
        <f t="shared" si="67"/>
        <v>-7.757590394611892</v>
      </c>
      <c r="X169" s="227" t="str">
        <f t="shared" si="55"/>
        <v>0.999998826514039-0.000319003857131192i</v>
      </c>
      <c r="Y169" s="227" t="str">
        <f t="shared" si="56"/>
        <v>65.0638730206698+19.8319218127691i</v>
      </c>
      <c r="Z169" s="227" t="str">
        <f t="shared" si="57"/>
        <v>33.8856823797607+10.3167792541386i</v>
      </c>
      <c r="AA169" s="227" t="str">
        <f t="shared" si="58"/>
        <v>15.9705575091779-7.18823548384997i</v>
      </c>
      <c r="AB169" s="227">
        <f t="shared" si="68"/>
        <v>24.867554568009336</v>
      </c>
      <c r="AC169" s="227">
        <f t="shared" si="69"/>
        <v>-24.232174394630427</v>
      </c>
      <c r="AD169" s="229">
        <f t="shared" si="70"/>
        <v>-5.2844610741523557</v>
      </c>
      <c r="AE169" s="229">
        <f t="shared" si="71"/>
        <v>120.54453267734267</v>
      </c>
      <c r="AF169" s="227">
        <f t="shared" si="59"/>
        <v>19.583093493856978</v>
      </c>
      <c r="AG169" s="227">
        <f t="shared" si="60"/>
        <v>96.312358282712239</v>
      </c>
      <c r="AH169" s="229" t="str">
        <f t="shared" si="61"/>
        <v>0.276578464606167-0.468703638417783i</v>
      </c>
    </row>
    <row r="170" spans="9:34" x14ac:dyDescent="0.2">
      <c r="I170" s="227">
        <v>166</v>
      </c>
      <c r="J170" s="227">
        <f t="shared" si="49"/>
        <v>2.6185203394460448</v>
      </c>
      <c r="K170" s="227">
        <f t="shared" si="72"/>
        <v>415.45150775353579</v>
      </c>
      <c r="L170" s="227">
        <f t="shared" si="62"/>
        <v>2610.3588093626222</v>
      </c>
      <c r="M170" s="227">
        <f t="shared" si="50"/>
        <v>5395.2767347468416</v>
      </c>
      <c r="N170" s="227">
        <f>SQRT((ABS(AC170)-171.5+'Small Signal'!C$59)^2)</f>
        <v>76.774187420932236</v>
      </c>
      <c r="O170" s="227">
        <f t="shared" si="63"/>
        <v>96.37823684747876</v>
      </c>
      <c r="P170" s="227">
        <f t="shared" si="64"/>
        <v>19.409912972242267</v>
      </c>
      <c r="Q170" s="227">
        <f t="shared" si="65"/>
        <v>415.45150775353579</v>
      </c>
      <c r="R170" s="227" t="str">
        <f t="shared" si="51"/>
        <v>0.0878666666666667+0.0122686864040043i</v>
      </c>
      <c r="S170" s="227" t="str">
        <f t="shared" si="52"/>
        <v>0.0085-14.6714973447565i</v>
      </c>
      <c r="T170" s="227" t="str">
        <f t="shared" si="53"/>
        <v>7.28792086062071-6.49941732649721i</v>
      </c>
      <c r="U170" s="227" t="str">
        <f t="shared" si="54"/>
        <v>80.8099954377902-11.2658676167527i</v>
      </c>
      <c r="V170" s="227">
        <f t="shared" si="66"/>
        <v>38.232899824461946</v>
      </c>
      <c r="W170" s="227">
        <f t="shared" si="67"/>
        <v>-7.936554683070316</v>
      </c>
      <c r="X170" s="227" t="str">
        <f t="shared" si="55"/>
        <v>0.99999877262254-0.000326246646878531i</v>
      </c>
      <c r="Y170" s="227" t="str">
        <f t="shared" si="56"/>
        <v>65.2104043285661+20.2774885567565i</v>
      </c>
      <c r="Z170" s="227" t="str">
        <f t="shared" si="57"/>
        <v>33.9621380751745+10.5485398433842i</v>
      </c>
      <c r="AA170" s="227" t="str">
        <f t="shared" si="58"/>
        <v>15.8523316125373-7.29991224317514i</v>
      </c>
      <c r="AB170" s="227">
        <f t="shared" si="68"/>
        <v>24.837087060413129</v>
      </c>
      <c r="AC170" s="227">
        <f t="shared" si="69"/>
        <v>-24.725812579067775</v>
      </c>
      <c r="AD170" s="229">
        <f t="shared" si="70"/>
        <v>-5.4271740881708617</v>
      </c>
      <c r="AE170" s="229">
        <f t="shared" si="71"/>
        <v>121.10404942654654</v>
      </c>
      <c r="AF170" s="227">
        <f t="shared" si="59"/>
        <v>19.409912972242267</v>
      </c>
      <c r="AG170" s="227">
        <f t="shared" si="60"/>
        <v>96.37823684747876</v>
      </c>
      <c r="AH170" s="229" t="str">
        <f t="shared" si="61"/>
        <v>0.276560736434411-0.458386720976459i</v>
      </c>
    </row>
    <row r="171" spans="9:34" x14ac:dyDescent="0.2">
      <c r="I171" s="227">
        <v>167</v>
      </c>
      <c r="J171" s="227">
        <f t="shared" si="49"/>
        <v>2.6282704619728277</v>
      </c>
      <c r="K171" s="227">
        <f t="shared" si="72"/>
        <v>424.88408310837343</v>
      </c>
      <c r="L171" s="227">
        <f t="shared" si="62"/>
        <v>2669.6254282410023</v>
      </c>
      <c r="M171" s="227">
        <f t="shared" si="50"/>
        <v>5385.6299984702964</v>
      </c>
      <c r="N171" s="227">
        <f>SQRT((ABS(AC171)-171.5+'Small Signal'!C$59)^2)</f>
        <v>76.272757454065811</v>
      </c>
      <c r="O171" s="227">
        <f t="shared" si="63"/>
        <v>96.441983728024354</v>
      </c>
      <c r="P171" s="227">
        <f t="shared" si="64"/>
        <v>19.237297229493823</v>
      </c>
      <c r="Q171" s="227">
        <f t="shared" si="65"/>
        <v>424.88408310837343</v>
      </c>
      <c r="R171" s="227" t="str">
        <f t="shared" si="51"/>
        <v>0.0878666666666667+0.0125472395127327i</v>
      </c>
      <c r="S171" s="227" t="str">
        <f t="shared" si="52"/>
        <v>0.0085-14.345784968665i</v>
      </c>
      <c r="T171" s="227" t="str">
        <f t="shared" si="53"/>
        <v>7.14259419202943-6.5142821231879i</v>
      </c>
      <c r="U171" s="227" t="str">
        <f t="shared" si="54"/>
        <v>80.8007556526335-11.5281125511236i</v>
      </c>
      <c r="V171" s="227">
        <f t="shared" si="66"/>
        <v>38.235824302047</v>
      </c>
      <c r="W171" s="227">
        <f t="shared" si="67"/>
        <v>-8.1197807963338366</v>
      </c>
      <c r="X171" s="227" t="str">
        <f t="shared" si="55"/>
        <v>0.999998716256113-0.000333653879789022i</v>
      </c>
      <c r="Y171" s="227" t="str">
        <f t="shared" si="56"/>
        <v>65.3638067722142+20.7328200371497i</v>
      </c>
      <c r="Z171" s="227" t="str">
        <f t="shared" si="57"/>
        <v>34.042178693757+10.7853775271997i</v>
      </c>
      <c r="AA171" s="227" t="str">
        <f t="shared" si="58"/>
        <v>15.7304366242635-7.41131919806419i</v>
      </c>
      <c r="AB171" s="227">
        <f t="shared" si="68"/>
        <v>24.80544859666194</v>
      </c>
      <c r="AC171" s="227">
        <f t="shared" si="69"/>
        <v>-25.227242545934192</v>
      </c>
      <c r="AD171" s="229">
        <f t="shared" si="70"/>
        <v>-5.5681513671681158</v>
      </c>
      <c r="AE171" s="229">
        <f t="shared" si="71"/>
        <v>121.66922627395854</v>
      </c>
      <c r="AF171" s="227">
        <f t="shared" si="59"/>
        <v>19.237297229493823</v>
      </c>
      <c r="AG171" s="227">
        <f t="shared" si="60"/>
        <v>96.441983728024354</v>
      </c>
      <c r="AH171" s="229" t="str">
        <f t="shared" si="61"/>
        <v>0.276543728709797-0.448300849656193i</v>
      </c>
    </row>
    <row r="172" spans="9:34" x14ac:dyDescent="0.2">
      <c r="I172" s="227">
        <v>168</v>
      </c>
      <c r="J172" s="227">
        <f t="shared" si="49"/>
        <v>2.6380205844996114</v>
      </c>
      <c r="K172" s="227">
        <f t="shared" si="72"/>
        <v>434.53081938491835</v>
      </c>
      <c r="L172" s="227">
        <f t="shared" si="62"/>
        <v>2730.2376598760256</v>
      </c>
      <c r="M172" s="227">
        <f t="shared" si="50"/>
        <v>5375.764238877774</v>
      </c>
      <c r="N172" s="227">
        <f>SQRT((ABS(AC172)-171.5+'Small Signal'!C$59)^2)</f>
        <v>75.763543789945516</v>
      </c>
      <c r="O172" s="227">
        <f t="shared" si="63"/>
        <v>96.503426883095159</v>
      </c>
      <c r="P172" s="227">
        <f t="shared" si="64"/>
        <v>19.06524538760706</v>
      </c>
      <c r="Q172" s="227">
        <f t="shared" si="65"/>
        <v>434.53081938491835</v>
      </c>
      <c r="R172" s="227" t="str">
        <f t="shared" si="51"/>
        <v>0.0878666666666667+0.0128321170014173i</v>
      </c>
      <c r="S172" s="227" t="str">
        <f t="shared" si="52"/>
        <v>0.0085-14.0273035213222i</v>
      </c>
      <c r="T172" s="227" t="str">
        <f t="shared" si="53"/>
        <v>6.99667496581192-6.52591817000845i</v>
      </c>
      <c r="U172" s="227" t="str">
        <f t="shared" si="54"/>
        <v>80.7910046035694-11.7967601541932i</v>
      </c>
      <c r="V172" s="227">
        <f t="shared" si="66"/>
        <v>38.23888109837111</v>
      </c>
      <c r="W172" s="227">
        <f t="shared" si="67"/>
        <v>-8.307379467820672</v>
      </c>
      <c r="X172" s="227" t="str">
        <f t="shared" si="55"/>
        <v>0.999998657301099-0.000341229289445283i</v>
      </c>
      <c r="Y172" s="227" t="str">
        <f t="shared" si="56"/>
        <v>65.5244091094327+21.1981105978182i</v>
      </c>
      <c r="Z172" s="227" t="str">
        <f t="shared" si="57"/>
        <v>34.1259757386606+11.0273932026456i</v>
      </c>
      <c r="AA172" s="227" t="str">
        <f t="shared" si="58"/>
        <v>15.604827686364-7.52232894808778i</v>
      </c>
      <c r="AB172" s="227">
        <f t="shared" si="68"/>
        <v>24.772603223880584</v>
      </c>
      <c r="AC172" s="227">
        <f t="shared" si="69"/>
        <v>-25.736456210054488</v>
      </c>
      <c r="AD172" s="229">
        <f t="shared" si="70"/>
        <v>-5.7073578362735242</v>
      </c>
      <c r="AE172" s="229">
        <f t="shared" si="71"/>
        <v>122.23988309314964</v>
      </c>
      <c r="AF172" s="227">
        <f t="shared" si="59"/>
        <v>19.06524538760706</v>
      </c>
      <c r="AG172" s="227">
        <f t="shared" si="60"/>
        <v>96.503426883095159</v>
      </c>
      <c r="AH172" s="229" t="str">
        <f t="shared" si="61"/>
        <v>0.276527407137906-0.438440940768196i</v>
      </c>
    </row>
    <row r="173" spans="9:34" x14ac:dyDescent="0.2">
      <c r="I173" s="227">
        <v>169</v>
      </c>
      <c r="J173" s="227">
        <f t="shared" si="49"/>
        <v>2.6477707070263943</v>
      </c>
      <c r="K173" s="227">
        <f t="shared" si="72"/>
        <v>444.39657897744132</v>
      </c>
      <c r="L173" s="227">
        <f t="shared" si="62"/>
        <v>2792.226055591932</v>
      </c>
      <c r="M173" s="227">
        <f t="shared" si="50"/>
        <v>5365.6744831772739</v>
      </c>
      <c r="N173" s="227">
        <f>SQRT((ABS(AC173)-171.5+'Small Signal'!C$59)^2)</f>
        <v>75.246562599829815</v>
      </c>
      <c r="O173" s="227">
        <f t="shared" si="63"/>
        <v>96.562391243774826</v>
      </c>
      <c r="P173" s="227">
        <f t="shared" si="64"/>
        <v>18.893755396360802</v>
      </c>
      <c r="Q173" s="227">
        <f t="shared" si="65"/>
        <v>444.39657897744132</v>
      </c>
      <c r="R173" s="227" t="str">
        <f t="shared" si="51"/>
        <v>0.0878666666666667+0.0131234624612821i</v>
      </c>
      <c r="S173" s="227" t="str">
        <f t="shared" si="52"/>
        <v>0.0085-13.7158924735793i</v>
      </c>
      <c r="T173" s="227" t="str">
        <f t="shared" si="53"/>
        <v>6.85030742227886-6.53429638416091i</v>
      </c>
      <c r="U173" s="227" t="str">
        <f t="shared" si="54"/>
        <v>80.7807104770381-12.0719868389018i</v>
      </c>
      <c r="V173" s="227">
        <f t="shared" si="66"/>
        <v>38.242076097549635</v>
      </c>
      <c r="W173" s="227">
        <f t="shared" si="67"/>
        <v>-8.4994649345698381</v>
      </c>
      <c r="X173" s="227" t="str">
        <f t="shared" si="55"/>
        <v>0.999998595638618-0.000348976694198667i</v>
      </c>
      <c r="Y173" s="227" t="str">
        <f t="shared" si="56"/>
        <v>65.6925564187089+21.6735567424325i</v>
      </c>
      <c r="Z173" s="227" t="str">
        <f t="shared" si="57"/>
        <v>34.2137092250009+11.2746888752375i</v>
      </c>
      <c r="AA173" s="227" t="str">
        <f t="shared" si="58"/>
        <v>15.4754648792449-7.63280897750573i</v>
      </c>
      <c r="AB173" s="227">
        <f t="shared" si="68"/>
        <v>24.738514581858944</v>
      </c>
      <c r="AC173" s="227">
        <f t="shared" si="69"/>
        <v>-26.253437400170196</v>
      </c>
      <c r="AD173" s="229">
        <f t="shared" si="70"/>
        <v>-5.8447591854981411</v>
      </c>
      <c r="AE173" s="229">
        <f t="shared" si="71"/>
        <v>122.81582864394503</v>
      </c>
      <c r="AF173" s="227">
        <f t="shared" si="59"/>
        <v>18.893755396360802</v>
      </c>
      <c r="AG173" s="227">
        <f t="shared" si="60"/>
        <v>96.562391243774826</v>
      </c>
      <c r="AH173" s="229" t="str">
        <f t="shared" si="61"/>
        <v>0.276511738807935-0.428802024511749i</v>
      </c>
    </row>
    <row r="174" spans="9:34" x14ac:dyDescent="0.2">
      <c r="I174" s="227">
        <v>170</v>
      </c>
      <c r="J174" s="227">
        <f t="shared" si="49"/>
        <v>2.657520829553178</v>
      </c>
      <c r="K174" s="227">
        <f t="shared" si="72"/>
        <v>454.4863346779407</v>
      </c>
      <c r="L174" s="227">
        <f t="shared" si="62"/>
        <v>2855.6218603623411</v>
      </c>
      <c r="M174" s="227">
        <f t="shared" si="50"/>
        <v>5355.3556456725682</v>
      </c>
      <c r="N174" s="227">
        <f>SQRT((ABS(AC174)-171.5+'Small Signal'!C$59)^2)</f>
        <v>74.721838460006637</v>
      </c>
      <c r="O174" s="227">
        <f t="shared" si="63"/>
        <v>96.618699130771887</v>
      </c>
      <c r="P174" s="227">
        <f t="shared" si="64"/>
        <v>18.72282398366599</v>
      </c>
      <c r="Q174" s="227">
        <f t="shared" si="65"/>
        <v>454.4863346779407</v>
      </c>
      <c r="R174" s="227" t="str">
        <f t="shared" si="51"/>
        <v>0.0878666666666667+0.013421422743703i</v>
      </c>
      <c r="S174" s="227" t="str">
        <f t="shared" si="52"/>
        <v>0.0085-13.4113948600905i</v>
      </c>
      <c r="T174" s="227" t="str">
        <f t="shared" si="53"/>
        <v>6.70363759484438-6.53939574814666i</v>
      </c>
      <c r="U174" s="227" t="str">
        <f t="shared" si="54"/>
        <v>80.769839191557-12.353975157521i</v>
      </c>
      <c r="V174" s="227">
        <f t="shared" si="66"/>
        <v>38.245415434967533</v>
      </c>
      <c r="W174" s="227">
        <f t="shared" si="67"/>
        <v>-8.696155087583568</v>
      </c>
      <c r="X174" s="227" t="str">
        <f t="shared" si="55"/>
        <v>0.999998531144331-0.00035689999909389i</v>
      </c>
      <c r="Y174" s="227" t="str">
        <f t="shared" si="56"/>
        <v>65.868610960733+22.1593569843027i</v>
      </c>
      <c r="Z174" s="227" t="str">
        <f t="shared" si="57"/>
        <v>34.3055681289964+11.5273675796945i</v>
      </c>
      <c r="AA174" s="227" t="str">
        <f t="shared" si="58"/>
        <v>15.342313653458-7.74262180056894i</v>
      </c>
      <c r="AB174" s="227">
        <f t="shared" si="68"/>
        <v>24.703145953831601</v>
      </c>
      <c r="AC174" s="227">
        <f t="shared" si="69"/>
        <v>-26.778161539993356</v>
      </c>
      <c r="AD174" s="229">
        <f t="shared" si="70"/>
        <v>-5.9803219701656127</v>
      </c>
      <c r="AE174" s="229">
        <f t="shared" si="71"/>
        <v>123.39686067076525</v>
      </c>
      <c r="AF174" s="227">
        <f t="shared" si="59"/>
        <v>18.72282398366599</v>
      </c>
      <c r="AG174" s="227">
        <f t="shared" si="60"/>
        <v>96.618699130771887</v>
      </c>
      <c r="AH174" s="229" t="str">
        <f t="shared" si="61"/>
        <v>0.276496692126335-0.419379242469385i</v>
      </c>
    </row>
    <row r="175" spans="9:34" x14ac:dyDescent="0.2">
      <c r="I175" s="227">
        <v>171</v>
      </c>
      <c r="J175" s="227">
        <f t="shared" si="49"/>
        <v>2.6672709520799618</v>
      </c>
      <c r="K175" s="227">
        <f t="shared" si="72"/>
        <v>464.80517218264703</v>
      </c>
      <c r="L175" s="227">
        <f t="shared" si="62"/>
        <v>2920.4570285590858</v>
      </c>
      <c r="M175" s="227">
        <f t="shared" si="50"/>
        <v>5344.8025251997642</v>
      </c>
      <c r="N175" s="227">
        <f>SQRT((ABS(AC175)-171.5+'Small Signal'!C$59)^2)</f>
        <v>74.189404660089878</v>
      </c>
      <c r="O175" s="227">
        <f t="shared" si="63"/>
        <v>96.672170707166075</v>
      </c>
      <c r="P175" s="227">
        <f t="shared" si="64"/>
        <v>18.552446609571497</v>
      </c>
      <c r="Q175" s="227">
        <f t="shared" si="65"/>
        <v>464.80517218264703</v>
      </c>
      <c r="R175" s="227" t="str">
        <f t="shared" si="51"/>
        <v>0.0878666666666667+0.0137261480342277i</v>
      </c>
      <c r="S175" s="227" t="str">
        <f t="shared" si="52"/>
        <v>0.0085-13.1136572001955i</v>
      </c>
      <c r="T175" s="227" t="str">
        <f t="shared" si="53"/>
        <v>6.55681273060959-6.5412034380603i</v>
      </c>
      <c r="U175" s="227" t="str">
        <f t="shared" si="54"/>
        <v>80.7583542143366-12.6429140855419i</v>
      </c>
      <c r="V175" s="227">
        <f t="shared" si="66"/>
        <v>38.248905506911932</v>
      </c>
      <c r="W175" s="227">
        <f t="shared" si="67"/>
        <v>-8.8975716307255475</v>
      </c>
      <c r="X175" s="227" t="str">
        <f t="shared" si="55"/>
        <v>0.999998463688191-0.000365003197837345i</v>
      </c>
      <c r="Y175" s="227" t="str">
        <f t="shared" si="56"/>
        <v>66.052953089554+22.6557116737282i</v>
      </c>
      <c r="Z175" s="227" t="str">
        <f t="shared" si="57"/>
        <v>34.4017508629612+11.7855332888998i</v>
      </c>
      <c r="AA175" s="227" t="str">
        <f t="shared" si="58"/>
        <v>15.205345265071-7.85162514224639i</v>
      </c>
      <c r="AB175" s="227">
        <f t="shared" si="68"/>
        <v>24.666460321518922</v>
      </c>
      <c r="AC175" s="227">
        <f t="shared" si="69"/>
        <v>-27.310595339910119</v>
      </c>
      <c r="AD175" s="229">
        <f t="shared" si="70"/>
        <v>-6.1140137119474245</v>
      </c>
      <c r="AE175" s="229">
        <f t="shared" si="71"/>
        <v>123.9827660470762</v>
      </c>
      <c r="AF175" s="227">
        <f t="shared" si="59"/>
        <v>18.552446609571497</v>
      </c>
      <c r="AG175" s="227">
        <f t="shared" si="60"/>
        <v>96.672170707166075</v>
      </c>
      <c r="AH175" s="229" t="str">
        <f t="shared" si="61"/>
        <v>0.276482236753115-0.410167845158187i</v>
      </c>
    </row>
    <row r="176" spans="9:34" x14ac:dyDescent="0.2">
      <c r="I176" s="227">
        <v>172</v>
      </c>
      <c r="J176" s="227">
        <f t="shared" si="49"/>
        <v>2.6770210746067447</v>
      </c>
      <c r="K176" s="227">
        <f t="shared" si="72"/>
        <v>475.35829265545095</v>
      </c>
      <c r="L176" s="227">
        <f t="shared" si="62"/>
        <v>2986.7642400587033</v>
      </c>
      <c r="M176" s="227">
        <f t="shared" si="50"/>
        <v>5334.0098025056868</v>
      </c>
      <c r="N176" s="227">
        <f>SQRT((ABS(AC176)-171.5+'Small Signal'!C$59)^2)</f>
        <v>73.649303498324457</v>
      </c>
      <c r="O176" s="227">
        <f t="shared" si="63"/>
        <v>96.722624465477864</v>
      </c>
      <c r="P176" s="227">
        <f t="shared" si="64"/>
        <v>18.382617424505305</v>
      </c>
      <c r="Q176" s="227">
        <f t="shared" si="65"/>
        <v>475.35829265545095</v>
      </c>
      <c r="R176" s="227" t="str">
        <f t="shared" si="51"/>
        <v>0.0878666666666667+0.0140377919282759i</v>
      </c>
      <c r="S176" s="227" t="str">
        <f t="shared" si="52"/>
        <v>0.0085-12.8225294205588i</v>
      </c>
      <c r="T176" s="227" t="str">
        <f t="shared" si="53"/>
        <v>6.40998070061442-6.53971490215176i</v>
      </c>
      <c r="U176" s="227" t="str">
        <f t="shared" si="54"/>
        <v>80.746216361538-12.9389993214477i</v>
      </c>
      <c r="V176" s="227">
        <f t="shared" si="66"/>
        <v>38.252552980449067</v>
      </c>
      <c r="W176" s="227">
        <f t="shared" si="67"/>
        <v>-9.1038402487503411</v>
      </c>
      <c r="X176" s="227" t="str">
        <f t="shared" si="55"/>
        <v>0.999998393134177-0.000373290374810114i</v>
      </c>
      <c r="Y176" s="227" t="str">
        <f t="shared" si="56"/>
        <v>66.2459822165095+23.162822800366i</v>
      </c>
      <c r="Z176" s="227" t="str">
        <f t="shared" si="57"/>
        <v>34.5024657777894+12.0492908097702i</v>
      </c>
      <c r="AA176" s="227" t="str">
        <f t="shared" si="58"/>
        <v>15.0645372118313-7.9596721559938i</v>
      </c>
      <c r="AB176" s="227">
        <f t="shared" si="68"/>
        <v>24.628420424450184</v>
      </c>
      <c r="AC176" s="227">
        <f t="shared" si="69"/>
        <v>-27.850696501675529</v>
      </c>
      <c r="AD176" s="229">
        <f t="shared" si="70"/>
        <v>-6.2458029999448765</v>
      </c>
      <c r="AE176" s="229">
        <f t="shared" si="71"/>
        <v>124.57332096715339</v>
      </c>
      <c r="AF176" s="227">
        <f t="shared" si="59"/>
        <v>18.382617424505305</v>
      </c>
      <c r="AG176" s="227">
        <f t="shared" si="60"/>
        <v>96.722624465477864</v>
      </c>
      <c r="AH176" s="229" t="str">
        <f t="shared" si="61"/>
        <v>0.276468343540662-0.401163189635957i</v>
      </c>
    </row>
    <row r="177" spans="9:34" x14ac:dyDescent="0.2">
      <c r="I177" s="227">
        <v>173</v>
      </c>
      <c r="J177" s="227">
        <f t="shared" si="49"/>
        <v>2.6867711971335284</v>
      </c>
      <c r="K177" s="227">
        <f t="shared" si="72"/>
        <v>486.15101534952782</v>
      </c>
      <c r="L177" s="227">
        <f t="shared" si="62"/>
        <v>3054.5769167145909</v>
      </c>
      <c r="M177" s="227">
        <f t="shared" si="50"/>
        <v>5322.9720375667384</v>
      </c>
      <c r="N177" s="227">
        <f>SQRT((ABS(AC177)-171.5+'Small Signal'!C$59)^2)</f>
        <v>73.101586561450262</v>
      </c>
      <c r="O177" s="227">
        <f t="shared" si="63"/>
        <v>96.76987774749378</v>
      </c>
      <c r="P177" s="227">
        <f t="shared" si="64"/>
        <v>18.213329232333223</v>
      </c>
      <c r="Q177" s="227">
        <f t="shared" si="65"/>
        <v>486.15101534952782</v>
      </c>
      <c r="R177" s="227" t="str">
        <f t="shared" si="51"/>
        <v>0.0878666666666667+0.0143565115085586i</v>
      </c>
      <c r="S177" s="227" t="str">
        <f t="shared" si="52"/>
        <v>0.0085-12.5378647795249i</v>
      </c>
      <c r="T177" s="227" t="str">
        <f t="shared" si="53"/>
        <v>6.26328940476072-6.53493388876293i</v>
      </c>
      <c r="U177" s="227" t="str">
        <f t="shared" si="54"/>
        <v>80.7333835806132-13.2424336032964i</v>
      </c>
      <c r="V177" s="227">
        <f t="shared" si="66"/>
        <v>38.256364803536201</v>
      </c>
      <c r="W177" s="227">
        <f t="shared" si="67"/>
        <v>-9.3150907850844131</v>
      </c>
      <c r="X177" s="227" t="str">
        <f t="shared" si="55"/>
        <v>0.99999831934002-0.000381765707126687i</v>
      </c>
      <c r="Y177" s="227" t="str">
        <f t="shared" si="56"/>
        <v>66.4481178302833+23.6808937678629i</v>
      </c>
      <c r="Z177" s="227" t="str">
        <f t="shared" si="57"/>
        <v>34.6079316946784+12.3187456645941i</v>
      </c>
      <c r="AA177" s="227" t="str">
        <f t="shared" si="58"/>
        <v>14.9198736670248-8.06661167998003i</v>
      </c>
      <c r="AB177" s="227">
        <f t="shared" si="68"/>
        <v>24.588988823563739</v>
      </c>
      <c r="AC177" s="227">
        <f t="shared" si="69"/>
        <v>-28.398413438549746</v>
      </c>
      <c r="AD177" s="229">
        <f t="shared" si="70"/>
        <v>-6.3756595912305141</v>
      </c>
      <c r="AE177" s="229">
        <f t="shared" si="71"/>
        <v>125.16829118604352</v>
      </c>
      <c r="AF177" s="227">
        <f t="shared" si="59"/>
        <v>18.213329232333223</v>
      </c>
      <c r="AG177" s="227">
        <f t="shared" si="60"/>
        <v>96.76987774749378</v>
      </c>
      <c r="AH177" s="229" t="str">
        <f t="shared" si="61"/>
        <v>0.276454984474977-0.392360737161057i</v>
      </c>
    </row>
    <row r="178" spans="9:34" x14ac:dyDescent="0.2">
      <c r="I178" s="227">
        <v>174</v>
      </c>
      <c r="J178" s="227">
        <f t="shared" si="49"/>
        <v>2.6965213196603117</v>
      </c>
      <c r="K178" s="227">
        <f t="shared" si="72"/>
        <v>497.18878028847678</v>
      </c>
      <c r="L178" s="227">
        <f t="shared" si="62"/>
        <v>3123.9292392030966</v>
      </c>
      <c r="M178" s="227">
        <f t="shared" si="50"/>
        <v>5311.6836668468677</v>
      </c>
      <c r="N178" s="227">
        <f>SQRT((ABS(AC178)-171.5+'Small Signal'!C$59)^2)</f>
        <v>72.54631498661854</v>
      </c>
      <c r="O178" s="227">
        <f t="shared" si="63"/>
        <v>96.81374729486636</v>
      </c>
      <c r="P178" s="227">
        <f t="shared" si="64"/>
        <v>18.044573458807605</v>
      </c>
      <c r="Q178" s="227">
        <f t="shared" si="65"/>
        <v>497.18878028847678</v>
      </c>
      <c r="R178" s="227" t="str">
        <f t="shared" si="51"/>
        <v>0.0878666666666667+0.0146824674242546i</v>
      </c>
      <c r="S178" s="227" t="str">
        <f t="shared" si="52"/>
        <v>0.0085-12.2595197931548i</v>
      </c>
      <c r="T178" s="227" t="str">
        <f t="shared" si="53"/>
        <v>6.11688617648941-6.52687242332009i</v>
      </c>
      <c r="U178" s="227" t="str">
        <f t="shared" si="54"/>
        <v>80.7198107130006-13.5534270430727i</v>
      </c>
      <c r="V178" s="227">
        <f t="shared" si="66"/>
        <v>38.260348215355243</v>
      </c>
      <c r="W178" s="227">
        <f t="shared" si="67"/>
        <v>-9.5314574300179125</v>
      </c>
      <c r="X178" s="227" t="str">
        <f t="shared" si="55"/>
        <v>0.999998242156919-0.000390433466740408i</v>
      </c>
      <c r="Y178" s="227" t="str">
        <f t="shared" si="56"/>
        <v>66.6598005766853+24.210129137667i</v>
      </c>
      <c r="Z178" s="227" t="str">
        <f t="shared" si="57"/>
        <v>34.7183784679607+12.5940039562228i</v>
      </c>
      <c r="AA178" s="227" t="str">
        <f t="shared" si="58"/>
        <v>14.7713459076678-8.17228853293238i</v>
      </c>
      <c r="AB178" s="227">
        <f t="shared" si="68"/>
        <v>24.548127969045048</v>
      </c>
      <c r="AC178" s="227">
        <f t="shared" si="69"/>
        <v>-28.953685013381449</v>
      </c>
      <c r="AD178" s="229">
        <f t="shared" si="70"/>
        <v>-6.503554510237441</v>
      </c>
      <c r="AE178" s="229">
        <f t="shared" si="71"/>
        <v>125.76743230824781</v>
      </c>
      <c r="AF178" s="227">
        <f t="shared" si="59"/>
        <v>18.044573458807605</v>
      </c>
      <c r="AG178" s="227">
        <f t="shared" si="60"/>
        <v>96.81374729486636</v>
      </c>
      <c r="AH178" s="229" t="str">
        <f t="shared" si="61"/>
        <v>0.276442132619197-0.383756050904761i</v>
      </c>
    </row>
    <row r="179" spans="9:34" x14ac:dyDescent="0.2">
      <c r="I179" s="227">
        <v>175</v>
      </c>
      <c r="J179" s="227">
        <f t="shared" si="49"/>
        <v>2.706271442187095</v>
      </c>
      <c r="K179" s="227">
        <f t="shared" si="72"/>
        <v>508.47715100834768</v>
      </c>
      <c r="L179" s="227">
        <f t="shared" si="62"/>
        <v>3194.8561642521859</v>
      </c>
      <c r="M179" s="227">
        <f t="shared" si="50"/>
        <v>5300.1390004933037</v>
      </c>
      <c r="N179" s="227">
        <f>SQRT((ABS(AC179)-171.5+'Small Signal'!C$59)^2)</f>
        <v>71.983559702753865</v>
      </c>
      <c r="O179" s="227">
        <f t="shared" si="63"/>
        <v>96.854049828031407</v>
      </c>
      <c r="P179" s="227">
        <f t="shared" si="64"/>
        <v>17.876340125964795</v>
      </c>
      <c r="Q179" s="227">
        <f t="shared" si="65"/>
        <v>508.47715100834768</v>
      </c>
      <c r="R179" s="227" t="str">
        <f t="shared" si="51"/>
        <v>0.0878666666666667+0.0150158239719853i</v>
      </c>
      <c r="S179" s="227" t="str">
        <f t="shared" si="52"/>
        <v>0.0085-11.9873541629032i</v>
      </c>
      <c r="T179" s="227" t="str">
        <f t="shared" si="53"/>
        <v>5.97091719229554-6.51555073464459i</v>
      </c>
      <c r="U179" s="227" t="str">
        <f t="shared" si="54"/>
        <v>80.7054492352831-13.8721974798263i</v>
      </c>
      <c r="V179" s="227">
        <f t="shared" si="66"/>
        <v>38.264510756852566</v>
      </c>
      <c r="W179" s="227">
        <f t="shared" si="67"/>
        <v>-9.7530789200236772</v>
      </c>
      <c r="X179" s="227" t="str">
        <f t="shared" si="55"/>
        <v>0.99999816142924-0.000399298022596742i</v>
      </c>
      <c r="Y179" s="227" t="str">
        <f t="shared" si="56"/>
        <v>66.8814934019756+24.7507343386113i</v>
      </c>
      <c r="Z179" s="227" t="str">
        <f t="shared" si="57"/>
        <v>34.8340475810328+12.8751722153366i</v>
      </c>
      <c r="AA179" s="227" t="str">
        <f t="shared" si="58"/>
        <v>14.6189527334222-8.27654385048831i</v>
      </c>
      <c r="AB179" s="227">
        <f t="shared" si="68"/>
        <v>24.505800272332049</v>
      </c>
      <c r="AC179" s="227">
        <f t="shared" si="69"/>
        <v>-29.516440297246131</v>
      </c>
      <c r="AD179" s="229">
        <f t="shared" si="70"/>
        <v>-6.6294601463672542</v>
      </c>
      <c r="AE179" s="229">
        <f t="shared" si="71"/>
        <v>126.37049012527754</v>
      </c>
      <c r="AF179" s="227">
        <f t="shared" si="59"/>
        <v>17.876340125964795</v>
      </c>
      <c r="AG179" s="227">
        <f t="shared" si="60"/>
        <v>96.854049828031407</v>
      </c>
      <c r="AH179" s="229" t="str">
        <f t="shared" si="61"/>
        <v>0.276429762059277-0.375344793714904i</v>
      </c>
    </row>
    <row r="180" spans="9:34" x14ac:dyDescent="0.2">
      <c r="I180" s="227">
        <v>176</v>
      </c>
      <c r="J180" s="227">
        <f t="shared" si="49"/>
        <v>2.7160215647138783</v>
      </c>
      <c r="K180" s="227">
        <f t="shared" si="72"/>
        <v>520.02181736191153</v>
      </c>
      <c r="L180" s="227">
        <f t="shared" si="62"/>
        <v>3267.3934422611887</v>
      </c>
      <c r="M180" s="227">
        <f t="shared" si="50"/>
        <v>5288.332219468607</v>
      </c>
      <c r="N180" s="227">
        <f>SQRT((ABS(AC180)-171.5+'Small Signal'!C$59)^2)</f>
        <v>71.413401648737789</v>
      </c>
      <c r="O180" s="227">
        <f t="shared" si="63"/>
        <v>96.890602650563338</v>
      </c>
      <c r="P180" s="227">
        <f t="shared" si="64"/>
        <v>17.708617833005285</v>
      </c>
      <c r="Q180" s="227">
        <f t="shared" si="65"/>
        <v>520.02181736191153</v>
      </c>
      <c r="R180" s="227" t="str">
        <f t="shared" si="51"/>
        <v>0.0878666666666667+0.0153567491786276i</v>
      </c>
      <c r="S180" s="227" t="str">
        <f t="shared" si="52"/>
        <v>0.0085-11.7212307049015i</v>
      </c>
      <c r="T180" s="227" t="str">
        <f t="shared" si="53"/>
        <v>5.82552689109551-6.50099713142022i</v>
      </c>
      <c r="U180" s="227" t="str">
        <f t="shared" si="54"/>
        <v>80.6902469767003-14.198970852642i</v>
      </c>
      <c r="V180" s="227">
        <f t="shared" si="66"/>
        <v>38.268860281463205</v>
      </c>
      <c r="W180" s="227">
        <f t="shared" si="67"/>
        <v>-9.9800987489638704</v>
      </c>
      <c r="X180" s="227" t="str">
        <f t="shared" si="55"/>
        <v>0.999998076994201-0.000408363842835421i</v>
      </c>
      <c r="Y180" s="227" t="str">
        <f t="shared" si="56"/>
        <v>67.1136827638128+25.302915338459i</v>
      </c>
      <c r="Z180" s="227" t="str">
        <f t="shared" si="57"/>
        <v>34.9551927775046+13.1623572277893i</v>
      </c>
      <c r="AA180" s="227" t="str">
        <f t="shared" si="58"/>
        <v>14.4627008723958-8.37921546260369i</v>
      </c>
      <c r="AB180" s="227">
        <f t="shared" si="68"/>
        <v>24.461968182177166</v>
      </c>
      <c r="AC180" s="227">
        <f t="shared" si="69"/>
        <v>-30.086598351262221</v>
      </c>
      <c r="AD180" s="229">
        <f t="shared" si="70"/>
        <v>-6.7533503491718827</v>
      </c>
      <c r="AE180" s="229">
        <f t="shared" si="71"/>
        <v>126.97720100182556</v>
      </c>
      <c r="AF180" s="227">
        <f t="shared" si="59"/>
        <v>17.708617833005285</v>
      </c>
      <c r="AG180" s="227">
        <f t="shared" si="60"/>
        <v>96.890602650563338</v>
      </c>
      <c r="AH180" s="229" t="str">
        <f t="shared" si="61"/>
        <v>0.276417847851749-0.367122725929781i</v>
      </c>
    </row>
    <row r="181" spans="9:34" x14ac:dyDescent="0.2">
      <c r="I181" s="227">
        <v>177</v>
      </c>
      <c r="J181" s="227">
        <f t="shared" si="49"/>
        <v>2.7257716872406617</v>
      </c>
      <c r="K181" s="227">
        <f t="shared" si="72"/>
        <v>531.82859838660806</v>
      </c>
      <c r="L181" s="227">
        <f t="shared" si="62"/>
        <v>3341.5776353206488</v>
      </c>
      <c r="M181" s="227">
        <f t="shared" si="50"/>
        <v>5276.2573726176097</v>
      </c>
      <c r="N181" s="227">
        <f>SQRT((ABS(AC181)-171.5+'Small Signal'!C$59)^2)</f>
        <v>70.835931965746965</v>
      </c>
      <c r="O181" s="227">
        <f t="shared" si="63"/>
        <v>96.923224275631071</v>
      </c>
      <c r="P181" s="227">
        <f t="shared" si="64"/>
        <v>17.541393744160615</v>
      </c>
      <c r="Q181" s="227">
        <f t="shared" si="65"/>
        <v>531.82859838660806</v>
      </c>
      <c r="R181" s="227" t="str">
        <f t="shared" si="51"/>
        <v>0.0878666666666667+0.015705414886007i</v>
      </c>
      <c r="S181" s="227" t="str">
        <f t="shared" si="52"/>
        <v>0.0085-11.4610152808108i</v>
      </c>
      <c r="T181" s="227" t="str">
        <f t="shared" si="53"/>
        <v>5.68085740831823-6.48324783021778i</v>
      </c>
      <c r="U181" s="227" t="str">
        <f t="shared" si="54"/>
        <v>80.6741478107322-14.5339815945444i</v>
      </c>
      <c r="V181" s="227">
        <f t="shared" si="66"/>
        <v>38.273404965997919</v>
      </c>
      <c r="W181" s="227">
        <f t="shared" si="67"/>
        <v>-10.212665392006841</v>
      </c>
      <c r="X181" s="227" t="str">
        <f t="shared" si="55"/>
        <v>0.999997988681543-0.000417635497042587i</v>
      </c>
      <c r="Y181" s="227" t="str">
        <f t="shared" si="56"/>
        <v>67.3568799141882+25.8668782731846i</v>
      </c>
      <c r="Z181" s="227" t="str">
        <f t="shared" si="57"/>
        <v>35.0820807298382+13.4556658398257i</v>
      </c>
      <c r="AA181" s="227" t="str">
        <f t="shared" si="58"/>
        <v>14.3026053697962-8.48013831221307i</v>
      </c>
      <c r="AB181" s="227">
        <f t="shared" si="68"/>
        <v>24.416594264621494</v>
      </c>
      <c r="AC181" s="227">
        <f t="shared" si="69"/>
        <v>-30.664068034253027</v>
      </c>
      <c r="AD181" s="229">
        <f t="shared" si="70"/>
        <v>-6.875200520460881</v>
      </c>
      <c r="AE181" s="229">
        <f t="shared" si="71"/>
        <v>127.58729230988411</v>
      </c>
      <c r="AF181" s="227">
        <f t="shared" si="59"/>
        <v>17.541393744160615</v>
      </c>
      <c r="AG181" s="227">
        <f t="shared" si="60"/>
        <v>96.923224275631071</v>
      </c>
      <c r="AH181" s="229" t="str">
        <f t="shared" si="61"/>
        <v>0.276406365973424-0.359085703241133i</v>
      </c>
    </row>
    <row r="182" spans="9:34" x14ac:dyDescent="0.2">
      <c r="I182" s="227">
        <v>178</v>
      </c>
      <c r="J182" s="227">
        <f t="shared" si="49"/>
        <v>2.7355218097674454</v>
      </c>
      <c r="K182" s="227">
        <f t="shared" si="72"/>
        <v>543.90344523760564</v>
      </c>
      <c r="L182" s="227">
        <f t="shared" si="62"/>
        <v>3417.4461356412803</v>
      </c>
      <c r="M182" s="227">
        <f t="shared" si="50"/>
        <v>5263.9083736677649</v>
      </c>
      <c r="N182" s="227">
        <f>SQRT((ABS(AC182)-171.5+'Small Signal'!C$59)^2)</f>
        <v>70.251252161088104</v>
      </c>
      <c r="O182" s="227">
        <f t="shared" si="63"/>
        <v>96.951735070797952</v>
      </c>
      <c r="P182" s="227">
        <f t="shared" si="64"/>
        <v>17.374653584007781</v>
      </c>
      <c r="Q182" s="227">
        <f t="shared" si="65"/>
        <v>543.90344523760564</v>
      </c>
      <c r="R182" s="227" t="str">
        <f t="shared" si="51"/>
        <v>0.0878666666666667+0.016061996837514i</v>
      </c>
      <c r="S182" s="227" t="str">
        <f t="shared" si="52"/>
        <v>0.0085-11.2065767302105i</v>
      </c>
      <c r="T182" s="227" t="str">
        <f t="shared" si="53"/>
        <v>5.53704802937659-6.46234673701136i</v>
      </c>
      <c r="U182" s="227" t="str">
        <f t="shared" si="54"/>
        <v>80.6570913181973-14.8774730484729i</v>
      </c>
      <c r="V182" s="227">
        <f t="shared" si="66"/>
        <v>38.278153321662288</v>
      </c>
      <c r="W182" s="227">
        <f t="shared" si="67"/>
        <v>-10.450932543136048</v>
      </c>
      <c r="X182" s="227" t="str">
        <f t="shared" si="55"/>
        <v>0.999997896313189-0.000427117658554073i</v>
      </c>
      <c r="Y182" s="227" t="str">
        <f t="shared" si="56"/>
        <v>67.6116222589861+26.4428290292715i</v>
      </c>
      <c r="Z182" s="227" t="str">
        <f t="shared" si="57"/>
        <v>35.2149917478894+13.7552047387026i</v>
      </c>
      <c r="AA182" s="227" t="str">
        <f t="shared" si="58"/>
        <v>14.1386899552346-8.57914491492785i</v>
      </c>
      <c r="AB182" s="227">
        <f t="shared" si="68"/>
        <v>24.369641286691895</v>
      </c>
      <c r="AC182" s="227">
        <f t="shared" si="69"/>
        <v>-31.248747838911893</v>
      </c>
      <c r="AD182" s="229">
        <f t="shared" si="70"/>
        <v>-6.9949877026841136</v>
      </c>
      <c r="AE182" s="229">
        <f t="shared" si="71"/>
        <v>128.20048290970985</v>
      </c>
      <c r="AF182" s="227">
        <f t="shared" si="59"/>
        <v>17.374653584007781</v>
      </c>
      <c r="AG182" s="227">
        <f t="shared" si="60"/>
        <v>96.951735070797952</v>
      </c>
      <c r="AH182" s="229" t="str">
        <f t="shared" si="61"/>
        <v>0.276395293272971-0.351229674605181i</v>
      </c>
    </row>
    <row r="183" spans="9:34" x14ac:dyDescent="0.2">
      <c r="I183" s="227">
        <v>179</v>
      </c>
      <c r="J183" s="227">
        <f t="shared" si="49"/>
        <v>2.7452719322942287</v>
      </c>
      <c r="K183" s="227">
        <f t="shared" si="72"/>
        <v>556.25244418745012</v>
      </c>
      <c r="L183" s="227">
        <f t="shared" si="62"/>
        <v>3495.0371844013193</v>
      </c>
      <c r="M183" s="227">
        <f t="shared" si="50"/>
        <v>5251.2789981613851</v>
      </c>
      <c r="N183" s="227">
        <f>SQRT((ABS(AC183)-171.5+'Small Signal'!C$59)^2)</f>
        <v>69.65947424089893</v>
      </c>
      <c r="O183" s="227">
        <f t="shared" si="63"/>
        <v>96.975957916997899</v>
      </c>
      <c r="P183" s="227">
        <f t="shared" si="64"/>
        <v>17.208381640643367</v>
      </c>
      <c r="Q183" s="227">
        <f t="shared" si="65"/>
        <v>556.25244418745012</v>
      </c>
      <c r="R183" s="227" t="str">
        <f t="shared" si="51"/>
        <v>0.0878666666666667+0.0164266747666862i</v>
      </c>
      <c r="S183" s="227" t="str">
        <f t="shared" si="52"/>
        <v>0.0085-10.9577868044874i</v>
      </c>
      <c r="T183" s="227" t="str">
        <f t="shared" si="53"/>
        <v>5.39423466689852-6.43834518462281i</v>
      </c>
      <c r="U183" s="227" t="str">
        <f t="shared" si="54"/>
        <v>80.6390124190559-15.2296979064986i</v>
      </c>
      <c r="V183" s="227">
        <f t="shared" si="66"/>
        <v>38.283114205172858</v>
      </c>
      <c r="W183" s="227">
        <f t="shared" si="67"/>
        <v>-10.695059367195814</v>
      </c>
      <c r="X183" s="227" t="str">
        <f t="shared" si="55"/>
        <v>0.999997799702886-0.000436815106810979i</v>
      </c>
      <c r="Y183" s="227" t="str">
        <f t="shared" si="56"/>
        <v>67.8784747991089+27.030972773774i</v>
      </c>
      <c r="Z183" s="227" t="str">
        <f t="shared" si="57"/>
        <v>35.354220529921+14.0610802059684i</v>
      </c>
      <c r="AA183" s="227" t="str">
        <f t="shared" si="58"/>
        <v>13.970987384355-8.67606585912401i</v>
      </c>
      <c r="AB183" s="227">
        <f t="shared" si="68"/>
        <v>24.3210723035927</v>
      </c>
      <c r="AC183" s="227">
        <f t="shared" si="69"/>
        <v>-31.840525759101084</v>
      </c>
      <c r="AD183" s="229">
        <f t="shared" si="70"/>
        <v>-7.1126906629493325</v>
      </c>
      <c r="AE183" s="229">
        <f t="shared" si="71"/>
        <v>128.81648367609898</v>
      </c>
      <c r="AF183" s="227">
        <f t="shared" si="59"/>
        <v>17.208381640643367</v>
      </c>
      <c r="AG183" s="227">
        <f t="shared" si="60"/>
        <v>96.975957916997899</v>
      </c>
      <c r="AH183" s="229" t="str">
        <f t="shared" si="61"/>
        <v>0.276384607424242-0.343550680200633i</v>
      </c>
    </row>
    <row r="184" spans="9:34" x14ac:dyDescent="0.2">
      <c r="I184" s="227">
        <v>180</v>
      </c>
      <c r="J184" s="227">
        <f t="shared" si="49"/>
        <v>2.755022054821012</v>
      </c>
      <c r="K184" s="227">
        <f t="shared" si="72"/>
        <v>568.88181969383027</v>
      </c>
      <c r="L184" s="227">
        <f t="shared" si="62"/>
        <v>3574.3898910218609</v>
      </c>
      <c r="M184" s="227">
        <f t="shared" si="50"/>
        <v>5238.3628803182337</v>
      </c>
      <c r="N184" s="227">
        <f>SQRT((ABS(AC184)-171.5+'Small Signal'!C$59)^2)</f>
        <v>69.060720809134665</v>
      </c>
      <c r="O184" s="227">
        <f t="shared" si="63"/>
        <v>96.995718877137023</v>
      </c>
      <c r="P184" s="227">
        <f t="shared" si="64"/>
        <v>17.04256077707246</v>
      </c>
      <c r="Q184" s="227">
        <f t="shared" si="65"/>
        <v>568.88181969383027</v>
      </c>
      <c r="R184" s="227" t="str">
        <f t="shared" si="51"/>
        <v>0.0878666666666667+0.0167996324878027i</v>
      </c>
      <c r="S184" s="227" t="str">
        <f t="shared" si="52"/>
        <v>0.0085-10.714520102192i</v>
      </c>
      <c r="T184" s="227" t="str">
        <f t="shared" si="53"/>
        <v>5.25254936575968-6.41130162898803i</v>
      </c>
      <c r="U184" s="227" t="str">
        <f t="shared" si="54"/>
        <v>80.6198409698405-15.5909186735015i</v>
      </c>
      <c r="V184" s="227">
        <f t="shared" si="66"/>
        <v>38.288296829931163</v>
      </c>
      <c r="W184" s="227">
        <f t="shared" si="67"/>
        <v>-10.945210767494824</v>
      </c>
      <c r="X184" s="227" t="str">
        <f t="shared" si="55"/>
        <v>0.999997698655824-0.000446732729768724i</v>
      </c>
      <c r="Y184" s="227" t="str">
        <f t="shared" si="56"/>
        <v>68.1580316584419+27.6315134262924i</v>
      </c>
      <c r="Z184" s="227" t="str">
        <f t="shared" si="57"/>
        <v>35.5000769588308+14.373397840344i</v>
      </c>
      <c r="AA184" s="227" t="str">
        <f t="shared" si="58"/>
        <v>13.7995397503838-8.77073034530443i</v>
      </c>
      <c r="AB184" s="227">
        <f t="shared" si="68"/>
        <v>24.270850749121241</v>
      </c>
      <c r="AC184" s="227">
        <f t="shared" si="69"/>
        <v>-32.439279190865342</v>
      </c>
      <c r="AD184" s="229">
        <f t="shared" si="70"/>
        <v>-7.2282899720487803</v>
      </c>
      <c r="AE184" s="229">
        <f t="shared" si="71"/>
        <v>129.43499806800236</v>
      </c>
      <c r="AF184" s="227">
        <f t="shared" si="59"/>
        <v>17.04256077707246</v>
      </c>
      <c r="AG184" s="227">
        <f t="shared" si="60"/>
        <v>96.995718877137023</v>
      </c>
      <c r="AH184" s="229" t="str">
        <f t="shared" si="61"/>
        <v>0.276374286881255-0.336044849432635i</v>
      </c>
    </row>
    <row r="185" spans="9:34" x14ac:dyDescent="0.2">
      <c r="I185" s="227">
        <v>181</v>
      </c>
      <c r="J185" s="227">
        <f t="shared" si="49"/>
        <v>2.7647721773477953</v>
      </c>
      <c r="K185" s="227">
        <f t="shared" si="72"/>
        <v>581.79793753698118</v>
      </c>
      <c r="L185" s="227">
        <f t="shared" si="62"/>
        <v>3655.5442528797466</v>
      </c>
      <c r="M185" s="227">
        <f t="shared" si="50"/>
        <v>5225.1535098268823</v>
      </c>
      <c r="N185" s="227">
        <f>SQRT((ABS(AC185)-171.5+'Small Signal'!C$59)^2)</f>
        <v>68.455125130359875</v>
      </c>
      <c r="O185" s="227">
        <f t="shared" si="63"/>
        <v>97.010847869441932</v>
      </c>
      <c r="P185" s="227">
        <f t="shared" si="64"/>
        <v>16.87717245109836</v>
      </c>
      <c r="Q185" s="227">
        <f t="shared" si="65"/>
        <v>581.79793753698118</v>
      </c>
      <c r="R185" s="227" t="str">
        <f t="shared" si="51"/>
        <v>0.0878666666666667+0.0171810579885348i</v>
      </c>
      <c r="S185" s="227" t="str">
        <f t="shared" si="52"/>
        <v>0.0085-10.4766540058311i</v>
      </c>
      <c r="T185" s="227" t="str">
        <f t="shared" si="53"/>
        <v>5.11211983957167-6.38128130754527i</v>
      </c>
      <c r="U185" s="227" t="str">
        <f t="shared" si="54"/>
        <v>80.5995013232812-15.9614081565352i</v>
      </c>
      <c r="V185" s="227">
        <f t="shared" si="66"/>
        <v>38.293710777205597</v>
      </c>
      <c r="W185" s="227">
        <f t="shared" si="67"/>
        <v>-11.201557670054216</v>
      </c>
      <c r="X185" s="227" t="str">
        <f t="shared" si="55"/>
        <v>0.999997592968248-0.000456875526360802i</v>
      </c>
      <c r="Y185" s="227" t="str">
        <f t="shared" si="56"/>
        <v>68.4509177042494+28.2446530663222i</v>
      </c>
      <c r="Z185" s="227" t="str">
        <f t="shared" si="57"/>
        <v>35.6528869465023+14.6922622467869i</v>
      </c>
      <c r="AA185" s="227" t="str">
        <f t="shared" si="58"/>
        <v>13.6243987611642-8.86296676311968i</v>
      </c>
      <c r="AB185" s="227">
        <f t="shared" si="68"/>
        <v>24.21894052899026</v>
      </c>
      <c r="AC185" s="227">
        <f t="shared" si="69"/>
        <v>-33.044874869640125</v>
      </c>
      <c r="AD185" s="229">
        <f t="shared" si="70"/>
        <v>-7.3417680778918983</v>
      </c>
      <c r="AE185" s="229">
        <f t="shared" si="71"/>
        <v>130.05572273908206</v>
      </c>
      <c r="AF185" s="227">
        <f t="shared" si="59"/>
        <v>16.87717245109836</v>
      </c>
      <c r="AG185" s="227">
        <f t="shared" si="60"/>
        <v>97.010847869441932</v>
      </c>
      <c r="AH185" s="229" t="str">
        <f t="shared" si="61"/>
        <v>0.276364310834758-0.328708398981666i</v>
      </c>
    </row>
    <row r="186" spans="9:34" x14ac:dyDescent="0.2">
      <c r="I186" s="227">
        <v>182</v>
      </c>
      <c r="J186" s="227">
        <f t="shared" si="49"/>
        <v>2.7745222998745787</v>
      </c>
      <c r="K186" s="227">
        <f t="shared" si="72"/>
        <v>595.00730802833243</v>
      </c>
      <c r="L186" s="227">
        <f t="shared" si="62"/>
        <v>3738.5411754680968</v>
      </c>
      <c r="M186" s="227">
        <f t="shared" si="50"/>
        <v>5211.6442285632156</v>
      </c>
      <c r="N186" s="227">
        <f>SQRT((ABS(AC186)-171.5+'Small Signal'!C$59)^2)</f>
        <v>67.842831153969371</v>
      </c>
      <c r="O186" s="227">
        <f t="shared" si="63"/>
        <v>97.021179340363005</v>
      </c>
      <c r="P186" s="227">
        <f t="shared" si="64"/>
        <v>16.712196743929759</v>
      </c>
      <c r="Q186" s="227">
        <f t="shared" si="65"/>
        <v>595.00730802833243</v>
      </c>
      <c r="R186" s="227" t="str">
        <f t="shared" si="51"/>
        <v>0.0878666666666667+0.0175711435247001i</v>
      </c>
      <c r="S186" s="227" t="str">
        <f t="shared" si="52"/>
        <v>0.0085-10.2440686200628i</v>
      </c>
      <c r="T186" s="227" t="str">
        <f t="shared" si="53"/>
        <v>4.97306904184619-6.34835586339592i</v>
      </c>
      <c r="U186" s="227" t="str">
        <f t="shared" si="54"/>
        <v>80.5779118463588-16.3414499811492i</v>
      </c>
      <c r="V186" s="227">
        <f t="shared" si="66"/>
        <v>38.299366007265505</v>
      </c>
      <c r="W186" s="227">
        <f t="shared" si="67"/>
        <v>-11.464277325680289</v>
      </c>
      <c r="X186" s="227" t="str">
        <f t="shared" si="55"/>
        <v>0.999997482427046-0.000467248609018468i</v>
      </c>
      <c r="Y186" s="227" t="str">
        <f t="shared" si="56"/>
        <v>68.7577902659465+28.8705912686936i</v>
      </c>
      <c r="Z186" s="227" t="str">
        <f t="shared" si="57"/>
        <v>35.8129933293675+15.0177766879333i</v>
      </c>
      <c r="AA186" s="227" t="str">
        <f t="shared" si="58"/>
        <v>13.4456259772743-8.95260330392387i</v>
      </c>
      <c r="AB186" s="227">
        <f t="shared" si="68"/>
        <v>24.165306116701558</v>
      </c>
      <c r="AC186" s="227">
        <f t="shared" si="69"/>
        <v>-33.657168846030622</v>
      </c>
      <c r="AD186" s="229">
        <f t="shared" si="70"/>
        <v>-7.4531093727717979</v>
      </c>
      <c r="AE186" s="229">
        <f t="shared" si="71"/>
        <v>130.67834818639363</v>
      </c>
      <c r="AF186" s="227">
        <f t="shared" si="59"/>
        <v>16.712196743929759</v>
      </c>
      <c r="AG186" s="227">
        <f t="shared" si="60"/>
        <v>97.021179340363005</v>
      </c>
      <c r="AH186" s="229" t="str">
        <f t="shared" si="61"/>
        <v>0.276354659170292-0.321537630896405i</v>
      </c>
    </row>
    <row r="187" spans="9:34" x14ac:dyDescent="0.2">
      <c r="I187" s="227">
        <v>183</v>
      </c>
      <c r="J187" s="227">
        <f t="shared" si="49"/>
        <v>2.7842724224013624</v>
      </c>
      <c r="K187" s="227">
        <f t="shared" si="72"/>
        <v>608.51658929199937</v>
      </c>
      <c r="L187" s="227">
        <f t="shared" si="62"/>
        <v>3823.4224930145251</v>
      </c>
      <c r="M187" s="227">
        <f t="shared" si="50"/>
        <v>5197.8282272344377</v>
      </c>
      <c r="N187" s="227">
        <f>SQRT((ABS(AC187)-171.5+'Small Signal'!C$59)^2)</f>
        <v>67.223993497636314</v>
      </c>
      <c r="O187" s="227">
        <f t="shared" si="63"/>
        <v>97.026552931616806</v>
      </c>
      <c r="P187" s="227">
        <f t="shared" si="64"/>
        <v>16.547612397635255</v>
      </c>
      <c r="Q187" s="227">
        <f t="shared" si="65"/>
        <v>608.51658929199937</v>
      </c>
      <c r="R187" s="227" t="str">
        <f t="shared" si="51"/>
        <v>0.0878666666666667+0.0179700857171683i</v>
      </c>
      <c r="S187" s="227" t="str">
        <f t="shared" si="52"/>
        <v>0.0085-10.0166467112637i</v>
      </c>
      <c r="T187" s="227" t="str">
        <f t="shared" si="53"/>
        <v>4.83551477458977-6.31260293917629i</v>
      </c>
      <c r="U187" s="227" t="str">
        <f t="shared" si="54"/>
        <v>80.5549843926241-16.7313391359365i</v>
      </c>
      <c r="V187" s="227">
        <f t="shared" si="66"/>
        <v>38.305272870402355</v>
      </c>
      <c r="W187" s="227">
        <f t="shared" si="67"/>
        <v>-11.733553631118813</v>
      </c>
      <c r="X187" s="227" t="str">
        <f t="shared" si="55"/>
        <v>0.999997366809319-0.000477857206247642i</v>
      </c>
      <c r="Y187" s="227" t="str">
        <f t="shared" si="56"/>
        <v>69.0793409585796+29.5095243589635i</v>
      </c>
      <c r="Z187" s="227" t="str">
        <f t="shared" si="57"/>
        <v>35.9807568184749+15.3500426936658i</v>
      </c>
      <c r="AA187" s="227" t="str">
        <f t="shared" si="58"/>
        <v>13.2632930069152-9.03946860620263i</v>
      </c>
      <c r="AB187" s="227">
        <f t="shared" si="68"/>
        <v>24.109912651567701</v>
      </c>
      <c r="AC187" s="227">
        <f t="shared" si="69"/>
        <v>-34.276006502363693</v>
      </c>
      <c r="AD187" s="229">
        <f t="shared" si="70"/>
        <v>-7.5623002539324453</v>
      </c>
      <c r="AE187" s="229">
        <f t="shared" si="71"/>
        <v>131.30255943398049</v>
      </c>
      <c r="AF187" s="227">
        <f t="shared" si="59"/>
        <v>16.547612397635255</v>
      </c>
      <c r="AG187" s="227">
        <f t="shared" si="60"/>
        <v>97.026552931616806</v>
      </c>
      <c r="AH187" s="229" t="str">
        <f t="shared" si="61"/>
        <v>0.276345312427637-0.314528930729581i</v>
      </c>
    </row>
    <row r="188" spans="9:34" x14ac:dyDescent="0.2">
      <c r="I188" s="227">
        <v>184</v>
      </c>
      <c r="J188" s="227">
        <f t="shared" si="49"/>
        <v>2.7940225449281457</v>
      </c>
      <c r="K188" s="227">
        <f t="shared" si="72"/>
        <v>622.33259062077764</v>
      </c>
      <c r="L188" s="227">
        <f t="shared" si="62"/>
        <v>3910.2309895674784</v>
      </c>
      <c r="M188" s="227">
        <f t="shared" si="50"/>
        <v>5183.698541946871</v>
      </c>
      <c r="N188" s="227">
        <f>SQRT((ABS(AC188)-171.5+'Small Signal'!C$59)^2)</f>
        <v>66.598777387953419</v>
      </c>
      <c r="O188" s="227">
        <f t="shared" si="63"/>
        <v>97.026814135751707</v>
      </c>
      <c r="P188" s="227">
        <f t="shared" si="64"/>
        <v>16.383396861493978</v>
      </c>
      <c r="Q188" s="227">
        <f t="shared" si="65"/>
        <v>622.33259062077764</v>
      </c>
      <c r="R188" s="227" t="str">
        <f t="shared" si="51"/>
        <v>0.0878666666666667+0.0183780856509671i</v>
      </c>
      <c r="S188" s="227" t="str">
        <f t="shared" si="52"/>
        <v>0.0085-9.79427364843781i</v>
      </c>
      <c r="T188" s="227" t="str">
        <f t="shared" si="53"/>
        <v>4.69956933659188-6.27410574480303i</v>
      </c>
      <c r="U188" s="227" t="str">
        <f t="shared" si="54"/>
        <v>80.5306237241598-17.131382546577i</v>
      </c>
      <c r="V188" s="227">
        <f t="shared" si="66"/>
        <v>38.31144211775964</v>
      </c>
      <c r="W188" s="227">
        <f t="shared" si="67"/>
        <v>-12.009577470646345</v>
      </c>
      <c r="X188" s="227" t="str">
        <f t="shared" si="55"/>
        <v>0.999997245881932-0.000488706665264306i</v>
      </c>
      <c r="Y188" s="227" t="str">
        <f t="shared" si="56"/>
        <v>69.4162976176684+30.1616445796665i</v>
      </c>
      <c r="Z188" s="227" t="str">
        <f t="shared" si="57"/>
        <v>36.1565570075195+15.6891596240558i</v>
      </c>
      <c r="AA188" s="227" t="str">
        <f t="shared" si="58"/>
        <v>13.077481653417-9.1233924306832i</v>
      </c>
      <c r="AB188" s="227">
        <f t="shared" si="68"/>
        <v>24.052726038441353</v>
      </c>
      <c r="AC188" s="227">
        <f t="shared" si="69"/>
        <v>-34.901222612046567</v>
      </c>
      <c r="AD188" s="229">
        <f t="shared" si="70"/>
        <v>-7.6693291769473761</v>
      </c>
      <c r="AE188" s="229">
        <f t="shared" si="71"/>
        <v>131.92803674779827</v>
      </c>
      <c r="AF188" s="227">
        <f t="shared" si="59"/>
        <v>16.383396861493978</v>
      </c>
      <c r="AG188" s="227">
        <f t="shared" si="60"/>
        <v>97.026814135751707</v>
      </c>
      <c r="AH188" s="229" t="str">
        <f t="shared" si="61"/>
        <v>0.276336251761582-0.30767876571588i</v>
      </c>
    </row>
    <row r="189" spans="9:34" x14ac:dyDescent="0.2">
      <c r="I189" s="227">
        <v>185</v>
      </c>
      <c r="J189" s="227">
        <f t="shared" si="49"/>
        <v>2.803772667454929</v>
      </c>
      <c r="K189" s="227">
        <f t="shared" si="72"/>
        <v>636.46227590834371</v>
      </c>
      <c r="L189" s="227">
        <f t="shared" si="62"/>
        <v>3999.0104205613852</v>
      </c>
      <c r="M189" s="227">
        <f t="shared" si="50"/>
        <v>5169.2480506958473</v>
      </c>
      <c r="N189" s="227">
        <f>SQRT((ABS(AC189)-171.5+'Small Signal'!C$59)^2)</f>
        <v>65.967358556477336</v>
      </c>
      <c r="O189" s="227">
        <f t="shared" si="63"/>
        <v>97.021814934524741</v>
      </c>
      <c r="P189" s="227">
        <f t="shared" si="64"/>
        <v>16.219526347196499</v>
      </c>
      <c r="Q189" s="227">
        <f t="shared" si="65"/>
        <v>636.46227590834371</v>
      </c>
      <c r="R189" s="227" t="str">
        <f t="shared" si="51"/>
        <v>0.0878666666666667+0.0187953489766385i</v>
      </c>
      <c r="S189" s="227" t="str">
        <f t="shared" si="52"/>
        <v>0.0085-9.57683734543734i</v>
      </c>
      <c r="T189" s="227" t="str">
        <f t="shared" si="53"/>
        <v>4.56533921316169-6.23295260341245i</v>
      </c>
      <c r="U189" s="227" t="str">
        <f t="shared" si="54"/>
        <v>80.5047268781236-17.5418996806466i</v>
      </c>
      <c r="V189" s="227">
        <f t="shared" si="66"/>
        <v>38.317884911886367</v>
      </c>
      <c r="W189" s="227">
        <f t="shared" si="67"/>
        <v>-12.292547079557181</v>
      </c>
      <c r="X189" s="227" t="str">
        <f t="shared" si="55"/>
        <v>0.999997119401041-0.000499802454689752i</v>
      </c>
      <c r="Y189" s="227" t="str">
        <f t="shared" si="56"/>
        <v>69.7694263525313+30.8271391572732i</v>
      </c>
      <c r="Z189" s="227" t="str">
        <f t="shared" si="57"/>
        <v>36.3407934425354+16.0352241803789i</v>
      </c>
      <c r="AA189" s="227" t="str">
        <f t="shared" si="58"/>
        <v>12.8882840114379-9.20420636139557i</v>
      </c>
      <c r="AB189" s="227">
        <f t="shared" si="68"/>
        <v>23.99371304866953</v>
      </c>
      <c r="AC189" s="227">
        <f t="shared" si="69"/>
        <v>-35.532641443522671</v>
      </c>
      <c r="AD189" s="229">
        <f t="shared" si="70"/>
        <v>-7.7741867014730301</v>
      </c>
      <c r="AE189" s="229">
        <f t="shared" si="71"/>
        <v>132.5544563780474</v>
      </c>
      <c r="AF189" s="227">
        <f t="shared" si="59"/>
        <v>16.219526347196499</v>
      </c>
      <c r="AG189" s="227">
        <f t="shared" si="60"/>
        <v>97.021814934524741</v>
      </c>
      <c r="AH189" s="229" t="str">
        <f t="shared" si="61"/>
        <v>0.276327458903944-0.300983682990997i</v>
      </c>
    </row>
    <row r="190" spans="9:34" x14ac:dyDescent="0.2">
      <c r="I190" s="227">
        <v>186</v>
      </c>
      <c r="J190" s="227">
        <f t="shared" si="49"/>
        <v>2.8135227899817123</v>
      </c>
      <c r="K190" s="227">
        <f t="shared" si="72"/>
        <v>650.91276715936772</v>
      </c>
      <c r="L190" s="227">
        <f t="shared" si="62"/>
        <v>4089.8055348713465</v>
      </c>
      <c r="M190" s="227">
        <f t="shared" si="50"/>
        <v>5154.4694697758832</v>
      </c>
      <c r="N190" s="227">
        <f>SQRT((ABS(AC190)-171.5+'Small Signal'!C$59)^2)</f>
        <v>65.329923089625652</v>
      </c>
      <c r="O190" s="227">
        <f t="shared" si="63"/>
        <v>97.011414414315936</v>
      </c>
      <c r="P190" s="227">
        <f t="shared" si="64"/>
        <v>16.055975892756479</v>
      </c>
      <c r="Q190" s="227">
        <f t="shared" si="65"/>
        <v>650.91276715936772</v>
      </c>
      <c r="R190" s="227" t="str">
        <f t="shared" si="51"/>
        <v>0.0878666666666667+0.0192220860138953i</v>
      </c>
      <c r="S190" s="227" t="str">
        <f t="shared" si="52"/>
        <v>0.0085-9.36422820446651i</v>
      </c>
      <c r="T190" s="227" t="str">
        <f t="shared" si="53"/>
        <v>4.43292480855531-6.18923647990433i</v>
      </c>
      <c r="U190" s="227" t="str">
        <f t="shared" si="54"/>
        <v>80.4771824722106-17.9632231844036i</v>
      </c>
      <c r="V190" s="227">
        <f t="shared" si="66"/>
        <v>38.324612836908393</v>
      </c>
      <c r="W190" s="227">
        <f t="shared" si="67"/>
        <v>-12.582668431103281</v>
      </c>
      <c r="X190" s="227" t="str">
        <f t="shared" si="55"/>
        <v>0.999996987111606-0.000511150167307011i</v>
      </c>
      <c r="Y190" s="227" t="str">
        <f t="shared" si="56"/>
        <v>70.139533725513+31.506189258492i</v>
      </c>
      <c r="Z190" s="227" t="str">
        <f t="shared" si="57"/>
        <v>36.5338867571058+16.3883298582659i</v>
      </c>
      <c r="AA190" s="227" t="str">
        <f t="shared" si="58"/>
        <v>12.6958025082307-9.28174452843746i</v>
      </c>
      <c r="AB190" s="227">
        <f t="shared" si="68"/>
        <v>23.932841421754571</v>
      </c>
      <c r="AC190" s="227">
        <f t="shared" si="69"/>
        <v>-36.170076910374341</v>
      </c>
      <c r="AD190" s="229">
        <f t="shared" si="70"/>
        <v>-7.876865528998092</v>
      </c>
      <c r="AE190" s="229">
        <f t="shared" si="71"/>
        <v>133.18149132469028</v>
      </c>
      <c r="AF190" s="227">
        <f t="shared" si="59"/>
        <v>16.055975892756479</v>
      </c>
      <c r="AG190" s="227">
        <f t="shared" si="60"/>
        <v>97.011414414315936</v>
      </c>
      <c r="AH190" s="229" t="str">
        <f t="shared" si="61"/>
        <v>0.276318916126755-0.294440307850924i</v>
      </c>
    </row>
    <row r="191" spans="9:34" x14ac:dyDescent="0.2">
      <c r="I191" s="227">
        <v>187</v>
      </c>
      <c r="J191" s="227">
        <f t="shared" si="49"/>
        <v>2.8232729125084957</v>
      </c>
      <c r="K191" s="227">
        <f t="shared" si="72"/>
        <v>665.6913480793321</v>
      </c>
      <c r="L191" s="227">
        <f t="shared" si="62"/>
        <v>4182.6620973686313</v>
      </c>
      <c r="M191" s="227">
        <f t="shared" si="50"/>
        <v>5139.3553501093647</v>
      </c>
      <c r="N191" s="227">
        <f>SQRT((ABS(AC191)-171.5+'Small Signal'!C$59)^2)</f>
        <v>64.686667231180081</v>
      </c>
      <c r="O191" s="227">
        <f t="shared" si="63"/>
        <v>96.995479352850495</v>
      </c>
      <c r="P191" s="227">
        <f t="shared" si="64"/>
        <v>15.892719434895215</v>
      </c>
      <c r="Q191" s="227">
        <f t="shared" si="65"/>
        <v>665.6913480793321</v>
      </c>
      <c r="R191" s="227" t="str">
        <f t="shared" si="51"/>
        <v>0.0878666666666667+0.0196585118576326i</v>
      </c>
      <c r="S191" s="227" t="str">
        <f t="shared" si="52"/>
        <v>0.0085-9.15633906083864i</v>
      </c>
      <c r="T191" s="227" t="str">
        <f t="shared" si="53"/>
        <v>4.30242022182435-6.14305449652631i</v>
      </c>
      <c r="U191" s="227" t="str">
        <f t="shared" si="54"/>
        <v>80.4478699428413-18.395699552744i</v>
      </c>
      <c r="V191" s="227">
        <f t="shared" si="66"/>
        <v>38.33163790820366</v>
      </c>
      <c r="W191" s="227">
        <f t="shared" si="67"/>
        <v>-12.880155648574743</v>
      </c>
      <c r="X191" s="227" t="str">
        <f t="shared" si="55"/>
        <v>0.999996848746874-0.000522755522879873i</v>
      </c>
      <c r="Y191" s="227" t="str">
        <f t="shared" si="56"/>
        <v>70.5274690650261+32.1989688232195i</v>
      </c>
      <c r="Z191" s="227" t="str">
        <f t="shared" si="57"/>
        <v>36.7362798771983+16.7485663363611i</v>
      </c>
      <c r="AA191" s="227" t="str">
        <f t="shared" si="58"/>
        <v>12.5001498867232-9.35584434769242i</v>
      </c>
      <c r="AB191" s="227">
        <f t="shared" si="68"/>
        <v>23.870079967169076</v>
      </c>
      <c r="AC191" s="227">
        <f t="shared" si="69"/>
        <v>-36.813332768819905</v>
      </c>
      <c r="AD191" s="229">
        <f t="shared" si="70"/>
        <v>-7.9773605322738614</v>
      </c>
      <c r="AE191" s="229">
        <f t="shared" si="71"/>
        <v>133.8088121216704</v>
      </c>
      <c r="AF191" s="227">
        <f t="shared" si="59"/>
        <v>15.892719434895215</v>
      </c>
      <c r="AG191" s="227">
        <f t="shared" si="60"/>
        <v>96.995479352850495</v>
      </c>
      <c r="AH191" s="229" t="str">
        <f t="shared" si="61"/>
        <v>0.276310606206518-0.288045342050588i</v>
      </c>
    </row>
    <row r="192" spans="9:34" x14ac:dyDescent="0.2">
      <c r="I192" s="227">
        <v>188</v>
      </c>
      <c r="J192" s="227">
        <f t="shared" si="49"/>
        <v>2.8330230350352794</v>
      </c>
      <c r="K192" s="227">
        <f t="shared" si="72"/>
        <v>680.80546774585071</v>
      </c>
      <c r="L192" s="227">
        <f t="shared" si="62"/>
        <v>4277.6269119882545</v>
      </c>
      <c r="M192" s="227">
        <f t="shared" si="50"/>
        <v>5123.8980734918778</v>
      </c>
      <c r="N192" s="227">
        <f>SQRT((ABS(AC192)-171.5+'Small Signal'!C$59)^2)</f>
        <v>64.037797136459574</v>
      </c>
      <c r="O192" s="227">
        <f t="shared" si="63"/>
        <v>96.973884771604673</v>
      </c>
      <c r="P192" s="227">
        <f t="shared" si="64"/>
        <v>15.729729889566409</v>
      </c>
      <c r="Q192" s="227">
        <f t="shared" si="65"/>
        <v>680.80546774585071</v>
      </c>
      <c r="R192" s="227" t="str">
        <f t="shared" si="51"/>
        <v>0.0878666666666667+0.0201048464863448i</v>
      </c>
      <c r="S192" s="227" t="str">
        <f t="shared" si="52"/>
        <v>0.0085-8.95306512896065i</v>
      </c>
      <c r="T192" s="227" t="str">
        <f t="shared" si="53"/>
        <v>4.17391306632049-6.0945074398989i</v>
      </c>
      <c r="U192" s="227" t="str">
        <f t="shared" si="54"/>
        <v>80.416658709163-18.8396898333978i</v>
      </c>
      <c r="V192" s="227">
        <f t="shared" si="66"/>
        <v>38.33897258144308</v>
      </c>
      <c r="W192" s="227">
        <f t="shared" si="67"/>
        <v>-13.185231444315113</v>
      </c>
      <c r="X192" s="227" t="str">
        <f t="shared" si="55"/>
        <v>0.999996704027841-0.000534624371035908i</v>
      </c>
      <c r="Y192" s="227" t="str">
        <f t="shared" si="56"/>
        <v>70.9341269206223+32.9056432599197i</v>
      </c>
      <c r="Z192" s="227" t="str">
        <f t="shared" si="57"/>
        <v>36.948439299893+17.1160187930612i</v>
      </c>
      <c r="AA192" s="227" t="str">
        <f t="shared" si="58"/>
        <v>12.3014491276022-9.42634727228683i</v>
      </c>
      <c r="AB192" s="227">
        <f t="shared" si="68"/>
        <v>23.805398665743379</v>
      </c>
      <c r="AC192" s="227">
        <f t="shared" si="69"/>
        <v>-37.462202863540433</v>
      </c>
      <c r="AD192" s="229">
        <f t="shared" si="70"/>
        <v>-8.0756687761769701</v>
      </c>
      <c r="AE192" s="229">
        <f t="shared" si="71"/>
        <v>134.4360876351451</v>
      </c>
      <c r="AF192" s="227">
        <f t="shared" si="59"/>
        <v>15.729729889566409</v>
      </c>
      <c r="AG192" s="227">
        <f t="shared" si="60"/>
        <v>96.973884771604673</v>
      </c>
      <c r="AH192" s="229" t="str">
        <f t="shared" si="61"/>
        <v>0.276302512389513-0.281795562140997i</v>
      </c>
    </row>
    <row r="193" spans="9:34" x14ac:dyDescent="0.2">
      <c r="I193" s="227">
        <v>189</v>
      </c>
      <c r="J193" s="227">
        <f t="shared" si="49"/>
        <v>2.8427731575620623</v>
      </c>
      <c r="K193" s="227">
        <f t="shared" si="72"/>
        <v>696.26274436333722</v>
      </c>
      <c r="L193" s="227">
        <f t="shared" si="62"/>
        <v>4374.7478453202566</v>
      </c>
      <c r="M193" s="227">
        <f t="shared" si="50"/>
        <v>5108.0898487522772</v>
      </c>
      <c r="N193" s="227">
        <f>SQRT((ABS(AC193)-171.5+'Small Signal'!C$59)^2)</f>
        <v>63.383528577595143</v>
      </c>
      <c r="O193" s="227">
        <f t="shared" si="63"/>
        <v>96.946514448470182</v>
      </c>
      <c r="P193" s="227">
        <f t="shared" si="64"/>
        <v>15.566979240188829</v>
      </c>
      <c r="Q193" s="227">
        <f t="shared" si="65"/>
        <v>696.26274436333722</v>
      </c>
      <c r="R193" s="227" t="str">
        <f t="shared" si="51"/>
        <v>0.0878666666666667+0.0205613148730052i</v>
      </c>
      <c r="S193" s="227" t="str">
        <f t="shared" si="52"/>
        <v>0.0085-8.75430394951642i</v>
      </c>
      <c r="T193" s="227" t="str">
        <f t="shared" si="53"/>
        <v>4.04748433261014-6.04369926378388i</v>
      </c>
      <c r="U193" s="227" t="str">
        <f t="shared" si="54"/>
        <v>80.3834072552629-19.2955703663519i</v>
      </c>
      <c r="V193" s="227">
        <f t="shared" si="66"/>
        <v>38.346629760844237</v>
      </c>
      <c r="W193" s="227">
        <f t="shared" si="67"/>
        <v>-13.498127587612078</v>
      </c>
      <c r="X193" s="227" t="str">
        <f t="shared" si="55"/>
        <v>0.99999655266269-0.000546762694214941i</v>
      </c>
      <c r="Y193" s="227" t="str">
        <f t="shared" si="56"/>
        <v>71.3604496687697+33.626367987521i</v>
      </c>
      <c r="Z193" s="227" t="str">
        <f t="shared" si="57"/>
        <v>37.1708564505057+17.490767143026i</v>
      </c>
      <c r="AA193" s="227" t="str">
        <f t="shared" si="58"/>
        <v>12.0998333081034-9.49309955014291i</v>
      </c>
      <c r="AB193" s="227">
        <f t="shared" si="68"/>
        <v>23.738768770018087</v>
      </c>
      <c r="AC193" s="227">
        <f t="shared" si="69"/>
        <v>-38.116471422404842</v>
      </c>
      <c r="AD193" s="229">
        <f t="shared" si="70"/>
        <v>-8.1717895298292582</v>
      </c>
      <c r="AE193" s="229">
        <f t="shared" si="71"/>
        <v>135.06298587087502</v>
      </c>
      <c r="AF193" s="227">
        <f t="shared" si="59"/>
        <v>15.566979240188829</v>
      </c>
      <c r="AG193" s="227">
        <f t="shared" si="60"/>
        <v>96.946514448470182</v>
      </c>
      <c r="AH193" s="229" t="str">
        <f t="shared" si="61"/>
        <v>0.276294618358019-0.275687817844045i</v>
      </c>
    </row>
    <row r="194" spans="9:34" x14ac:dyDescent="0.2">
      <c r="I194" s="227">
        <v>190</v>
      </c>
      <c r="J194" s="227">
        <f t="shared" si="49"/>
        <v>2.852523280088846</v>
      </c>
      <c r="K194" s="227">
        <f t="shared" si="72"/>
        <v>712.07096910293831</v>
      </c>
      <c r="L194" s="227">
        <f t="shared" si="62"/>
        <v>4474.0738507367114</v>
      </c>
      <c r="M194" s="227">
        <f t="shared" si="50"/>
        <v>5091.922707825589</v>
      </c>
      <c r="N194" s="227">
        <f>SQRT((ABS(AC194)-171.5+'Small Signal'!C$59)^2)</f>
        <v>62.724086599691077</v>
      </c>
      <c r="O194" s="227">
        <f t="shared" si="63"/>
        <v>96.913261385512385</v>
      </c>
      <c r="P194" s="227">
        <f t="shared" si="64"/>
        <v>15.404438633064165</v>
      </c>
      <c r="Q194" s="227">
        <f t="shared" si="65"/>
        <v>712.07096910293831</v>
      </c>
      <c r="R194" s="227" t="str">
        <f t="shared" si="51"/>
        <v>0.0878666666666667+0.0210281470984625i</v>
      </c>
      <c r="S194" s="227" t="str">
        <f t="shared" si="52"/>
        <v>0.0085-8.55995533782245i</v>
      </c>
      <c r="T194" s="227" t="str">
        <f t="shared" si="53"/>
        <v>3.92320829410234-5.99073659174799i</v>
      </c>
      <c r="U194" s="227" t="str">
        <f t="shared" si="54"/>
        <v>80.3479621221535-19.7637335593165i</v>
      </c>
      <c r="V194" s="227">
        <f t="shared" si="66"/>
        <v>38.354622806459375</v>
      </c>
      <c r="W194" s="227">
        <f t="shared" si="67"/>
        <v>-13.819085403541285</v>
      </c>
      <c r="X194" s="227" t="str">
        <f t="shared" si="55"/>
        <v>0.999996394346204-0.000559176610684482i</v>
      </c>
      <c r="Y194" s="227" t="str">
        <f t="shared" si="56"/>
        <v>71.8074302783274+34.3612868060104i</v>
      </c>
      <c r="Z194" s="227" t="str">
        <f t="shared" si="57"/>
        <v>37.4040491227727+17.8728851841579i</v>
      </c>
      <c r="AA194" s="227" t="str">
        <f t="shared" si="58"/>
        <v>11.8954453957837-9.55595298162132i</v>
      </c>
      <c r="AB194" s="227">
        <f t="shared" si="68"/>
        <v>23.67016290293563</v>
      </c>
      <c r="AC194" s="227">
        <f t="shared" si="69"/>
        <v>-38.775913400308923</v>
      </c>
      <c r="AD194" s="229">
        <f t="shared" si="70"/>
        <v>-8.2657242698714644</v>
      </c>
      <c r="AE194" s="229">
        <f t="shared" si="71"/>
        <v>135.68917478582131</v>
      </c>
      <c r="AF194" s="227">
        <f t="shared" si="59"/>
        <v>15.404438633064165</v>
      </c>
      <c r="AG194" s="227">
        <f t="shared" si="60"/>
        <v>96.913261385512385</v>
      </c>
      <c r="AH194" s="229" t="str">
        <f t="shared" si="61"/>
        <v>0.276286908197453-0.269719030464158i</v>
      </c>
    </row>
    <row r="195" spans="9:34" x14ac:dyDescent="0.2">
      <c r="I195" s="227">
        <v>191</v>
      </c>
      <c r="J195" s="227">
        <f t="shared" si="49"/>
        <v>2.8622734026156298</v>
      </c>
      <c r="K195" s="227">
        <f t="shared" si="72"/>
        <v>728.23811002962589</v>
      </c>
      <c r="L195" s="227">
        <f t="shared" si="62"/>
        <v>4575.6549930663759</v>
      </c>
      <c r="M195" s="227">
        <f t="shared" si="50"/>
        <v>5075.3885017367429</v>
      </c>
      <c r="N195" s="227">
        <f>SQRT((ABS(AC195)-171.5+'Small Signal'!C$59)^2)</f>
        <v>62.059705128077724</v>
      </c>
      <c r="O195" s="227">
        <f t="shared" si="63"/>
        <v>96.874028227016851</v>
      </c>
      <c r="P195" s="227">
        <f t="shared" si="64"/>
        <v>15.242078479364098</v>
      </c>
      <c r="Q195" s="227">
        <f t="shared" si="65"/>
        <v>728.23811002962589</v>
      </c>
      <c r="R195" s="227" t="str">
        <f t="shared" si="51"/>
        <v>0.0878666666666667+0.021505578467412i</v>
      </c>
      <c r="S195" s="227" t="str">
        <f t="shared" si="52"/>
        <v>0.0085-8.36992133333026i</v>
      </c>
      <c r="T195" s="227" t="str">
        <f t="shared" si="53"/>
        <v>3.80115245427621-5.93572822367698i</v>
      </c>
      <c r="U195" s="227" t="str">
        <f t="shared" si="54"/>
        <v>80.310156800189-20.2445886998368i</v>
      </c>
      <c r="V195" s="227">
        <f t="shared" si="66"/>
        <v>38.362965540293402</v>
      </c>
      <c r="W195" s="227">
        <f t="shared" si="67"/>
        <v>-14.148356304986756</v>
      </c>
      <c r="X195" s="227" t="str">
        <f t="shared" si="55"/>
        <v>0.999996228759147-0.000571872377623601i</v>
      </c>
      <c r="Y195" s="227" t="str">
        <f t="shared" si="56"/>
        <v>72.2761152450676+35.1105300757597i</v>
      </c>
      <c r="Z195" s="227" t="str">
        <f t="shared" si="57"/>
        <v>37.6485630069463+18.262439644626i</v>
      </c>
      <c r="AA195" s="227" t="str">
        <f t="shared" si="58"/>
        <v>11.6884379761885-9.61476567093394i</v>
      </c>
      <c r="AB195" s="227">
        <f t="shared" si="68"/>
        <v>23.599555154229314</v>
      </c>
      <c r="AC195" s="227">
        <f t="shared" si="69"/>
        <v>-39.440294871922276</v>
      </c>
      <c r="AD195" s="229">
        <f t="shared" si="70"/>
        <v>-8.3574766748652163</v>
      </c>
      <c r="AE195" s="229">
        <f t="shared" si="71"/>
        <v>136.31432309893913</v>
      </c>
      <c r="AF195" s="227">
        <f t="shared" si="59"/>
        <v>15.242078479364098</v>
      </c>
      <c r="AG195" s="227">
        <f t="shared" si="60"/>
        <v>96.874028227016851</v>
      </c>
      <c r="AH195" s="229" t="str">
        <f t="shared" si="61"/>
        <v>0.276279366364289-0.263886191335965i</v>
      </c>
    </row>
    <row r="196" spans="9:34" x14ac:dyDescent="0.2">
      <c r="I196" s="227">
        <v>192</v>
      </c>
      <c r="J196" s="227">
        <f t="shared" ref="J196:J259" si="73">1+I196*(LOG(fsw)-1)/500</f>
        <v>2.8720235251424127</v>
      </c>
      <c r="K196" s="227">
        <f t="shared" si="72"/>
        <v>744.77231611847253</v>
      </c>
      <c r="L196" s="227">
        <f t="shared" si="62"/>
        <v>4679.542473829697</v>
      </c>
      <c r="M196" s="227">
        <f t="shared" ref="M196:M259" si="74">SQRT((Fco_target-K197)^2)</f>
        <v>5058.4788964931076</v>
      </c>
      <c r="N196" s="227">
        <f>SQRT((ABS(AC196)-171.5+'Small Signal'!C$59)^2)</f>
        <v>61.390626527259968</v>
      </c>
      <c r="O196" s="227">
        <f t="shared" si="63"/>
        <v>96.828727623434332</v>
      </c>
      <c r="P196" s="227">
        <f t="shared" si="64"/>
        <v>15.079868562993401</v>
      </c>
      <c r="Q196" s="227">
        <f t="shared" si="65"/>
        <v>744.77231611847253</v>
      </c>
      <c r="R196" s="227" t="str">
        <f t="shared" ref="R196:R259" si="75">IMSUM(COMPLEX(DCRss,Lss*L196),COMPLEX(Rdsonss,0),COMPLEX(40/3*Risense,0))</f>
        <v>0.0878666666666667+0.0219938496269996i</v>
      </c>
      <c r="S196" s="227" t="str">
        <f t="shared" ref="S196:S259" si="76">IMSUM(COMPLEX(ESRss,0),IMDIV(COMPLEX(1,0),COMPLEX(0,L196*Cbulkss)))</f>
        <v>0.0085-8.18410615024996i</v>
      </c>
      <c r="T196" s="227" t="str">
        <f t="shared" ref="T196:T259" si="77">IMDIV(IMPRODUCT(S196,COMPLEX(Ross,0)),IMSUM(S196,COMPLEX(Ross,0)))</f>
        <v>3.68137753401303-5.87878464985167i</v>
      </c>
      <c r="U196" s="227" t="str">
        <f t="shared" ref="U196:U259" si="78">IMPRODUCT(COMPLEX(Vinss,0),COMPLEX(M^2,0),IMDIV(IMSUB(COMPLEX(1,0),IMDIV(IMPRODUCT(R196,COMPLEX(M^2,0)),COMPLEX(Ross,0))),IMSUM(COMPLEX(1,0),IMDIV(IMPRODUCT(R196,COMPLEX(M^2,0)),T196))))</f>
        <v>80.2698105115924-20.7385628044003i</v>
      </c>
      <c r="V196" s="227">
        <f t="shared" si="66"/>
        <v>38.371672251020826</v>
      </c>
      <c r="W196" s="227">
        <f t="shared" si="67"/>
        <v>-14.486202360229179</v>
      </c>
      <c r="X196" s="227" t="str">
        <f t="shared" ref="X196:X259" si="79">IMSUM(COMPLEX(1,L196/(wn*q0)),IMPOWER(COMPLEX(0,L196/wn),2))</f>
        <v>0.999996055567624-0.000584856394276839i</v>
      </c>
      <c r="Y196" s="227" t="str">
        <f t="shared" ref="Y196:Y259" si="80">IMPRODUCT(COMPLEX(2*Ioutss*M^2,0),IMDIV(IMSUM(COMPLEX(1,0),IMDIV(COMPLEX(Ross,0),IMPRODUCT(COMPLEX(2,0),S196))),IMSUM(COMPLEX(1,0),IMDIV(IMPRODUCT(R196,COMPLEX(M^2,0)),T196))))</f>
        <v>72.7676077048725+35.8742126832048i</v>
      </c>
      <c r="Z196" s="227" t="str">
        <f t="shared" ref="Z196:Z259" si="81">IMPRODUCT(COMPLEX(Fm*40/3*Risense,0),Y196,X196)</f>
        <v>37.9049733107939+18.6594891182532i</v>
      </c>
      <c r="AA196" s="227" t="str">
        <f t="shared" ref="AA196:AA259" si="82">IMDIV(IMPRODUCT(COMPLEX(Fm,0),U196),IMSUM(COMPLEX(1,0),Z196))</f>
        <v>11.478972914014-9.66940276478289i</v>
      </c>
      <c r="AB196" s="227">
        <f t="shared" si="68"/>
        <v>23.526921173864359</v>
      </c>
      <c r="AC196" s="227">
        <f t="shared" si="69"/>
        <v>-40.109373472740039</v>
      </c>
      <c r="AD196" s="229">
        <f t="shared" si="70"/>
        <v>-8.4470526108709585</v>
      </c>
      <c r="AE196" s="229">
        <f t="shared" si="71"/>
        <v>136.93810109617436</v>
      </c>
      <c r="AF196" s="227">
        <f t="shared" ref="AF196:AF259" si="83">AD196+AB196</f>
        <v>15.079868562993401</v>
      </c>
      <c r="AG196" s="227">
        <f t="shared" ref="AG196:AG259" si="84">AE196+AC196</f>
        <v>96.828727623434332</v>
      </c>
      <c r="AH196" s="229" t="str">
        <f t="shared" ref="AH196:AH259" si="85">IMDIV(IMPRODUCT(COMPLEX(gea*Rea*Rslss/(Rslss+Rshss),0),COMPLEX(1,L196*Ccompss*Rcompss),COMPLEX(1,k_3*L196*Cffss*Rshss)),IMPRODUCT(COMPLEX(1,L196*Rea*Ccompss),COMPLEX(1,L196*Rcompss*Chfss),COMPLEX(1,k_3*L196*Rffss*Cffss)))</f>
        <v>0.276271977654752-0.258186360307238i</v>
      </c>
    </row>
    <row r="197" spans="9:34" x14ac:dyDescent="0.2">
      <c r="I197" s="227">
        <v>193</v>
      </c>
      <c r="J197" s="227">
        <f t="shared" si="73"/>
        <v>2.8817736476691964</v>
      </c>
      <c r="K197" s="227">
        <f t="shared" si="72"/>
        <v>761.68192136210757</v>
      </c>
      <c r="L197" s="227">
        <f t="shared" ref="L197:L260" si="86">2*PI()*K197</f>
        <v>4785.7886570467117</v>
      </c>
      <c r="M197" s="227">
        <f t="shared" si="74"/>
        <v>5041.1853688837964</v>
      </c>
      <c r="N197" s="227">
        <f>SQRT((ABS(AC197)-171.5+'Small Signal'!C$59)^2)</f>
        <v>60.71710111260569</v>
      </c>
      <c r="O197" s="227">
        <f t="shared" ref="O197:O260" si="87">ABS(AG197)</f>
        <v>96.77728253733801</v>
      </c>
      <c r="P197" s="227">
        <f t="shared" ref="P197:P260" si="88">ABS(AF197)</f>
        <v>14.917778153553487</v>
      </c>
      <c r="Q197" s="227">
        <f t="shared" ref="Q197:Q260" si="89">K197</f>
        <v>761.68192136210757</v>
      </c>
      <c r="R197" s="227" t="str">
        <f t="shared" si="75"/>
        <v>0.0878666666666667+0.0224932066881195i</v>
      </c>
      <c r="S197" s="227" t="str">
        <f t="shared" si="76"/>
        <v>0.0085-8.00241612926948i</v>
      </c>
      <c r="T197" s="227" t="str">
        <f t="shared" si="77"/>
        <v>3.5639374972004-5.82001757602146i</v>
      </c>
      <c r="U197" s="227" t="str">
        <f t="shared" si="78"/>
        <v>80.2267268716373-21.2461015045393i</v>
      </c>
      <c r="V197" s="227">
        <f t="shared" ref="V197:V260" si="90">20*LOG(IMABS(U197))</f>
        <v>38.380757697034248</v>
      </c>
      <c r="W197" s="227">
        <f t="shared" ref="W197:W260" si="91">IF(DEGREES(IMARGUMENT(U197))&gt;0,DEGREES(IMARGUMENT(U197))-360, DEGREES(IMARGUMENT(U197)))</f>
        <v>-14.832896898661341</v>
      </c>
      <c r="X197" s="227" t="str">
        <f t="shared" si="79"/>
        <v>0.999995874422405-0.000598135205179719i</v>
      </c>
      <c r="Y197" s="227" t="str">
        <f t="shared" si="80"/>
        <v>73.2830707354891+36.6524317677931i</v>
      </c>
      <c r="Z197" s="227" t="str">
        <f t="shared" si="81"/>
        <v>38.1738864786191+19.064082875172i</v>
      </c>
      <c r="AA197" s="227" t="str">
        <f t="shared" si="82"/>
        <v>11.2672209480876-9.71973717152388i</v>
      </c>
      <c r="AB197" s="227">
        <f t="shared" ref="AB197:AB260" si="92">20*LOG(IMABS(AA197))</f>
        <v>23.452238261880524</v>
      </c>
      <c r="AC197" s="227">
        <f t="shared" ref="AC197:AC260" si="93">IF(DEGREES(IMARGUMENT(AA197))&gt;0,DEGREES(IMARGUMENT(AA197))-360, DEGREES(IMARGUMENT(AA197)))</f>
        <v>-40.78289888739431</v>
      </c>
      <c r="AD197" s="229">
        <f t="shared" ref="AD197:AD260" si="94">20*LOG(IMABS(AH197))</f>
        <v>-8.5344601083270373</v>
      </c>
      <c r="AE197" s="229">
        <f t="shared" ref="AE197:AE260" si="95">180+DEGREES(IMARGUMENT(AH197))</f>
        <v>137.56018142473232</v>
      </c>
      <c r="AF197" s="227">
        <f t="shared" si="83"/>
        <v>14.917778153553487</v>
      </c>
      <c r="AG197" s="227">
        <f t="shared" si="84"/>
        <v>96.77728253733801</v>
      </c>
      <c r="AH197" s="229" t="str">
        <f t="shared" si="85"/>
        <v>0.276264727174195-0.252616664256299i</v>
      </c>
    </row>
    <row r="198" spans="9:34" x14ac:dyDescent="0.2">
      <c r="I198" s="227">
        <v>194</v>
      </c>
      <c r="J198" s="227">
        <f t="shared" si="73"/>
        <v>2.8915237701959793</v>
      </c>
      <c r="K198" s="227">
        <f t="shared" si="72"/>
        <v>778.97544897141847</v>
      </c>
      <c r="L198" s="227">
        <f t="shared" si="86"/>
        <v>4894.4470956308378</v>
      </c>
      <c r="M198" s="227">
        <f t="shared" si="74"/>
        <v>5023.4992021835633</v>
      </c>
      <c r="N198" s="227">
        <f>SQRT((ABS(AC198)-171.5+'Small Signal'!C$59)^2)</f>
        <v>60.039386616247356</v>
      </c>
      <c r="O198" s="227">
        <f t="shared" si="87"/>
        <v>96.719626488050181</v>
      </c>
      <c r="P198" s="227">
        <f t="shared" si="88"/>
        <v>14.755776123569481</v>
      </c>
      <c r="Q198" s="227">
        <f t="shared" si="89"/>
        <v>778.97544897141847</v>
      </c>
      <c r="R198" s="227" t="str">
        <f t="shared" si="75"/>
        <v>0.0878666666666667+0.0230039013494649i</v>
      </c>
      <c r="S198" s="227" t="str">
        <f t="shared" si="76"/>
        <v>0.0085-7.82475969034646i</v>
      </c>
      <c r="T198" s="227" t="str">
        <f t="shared" si="77"/>
        <v>3.44887961248454-5.75953946260589i</v>
      </c>
      <c r="U198" s="227" t="str">
        <f t="shared" si="78"/>
        <v>80.18069241583-21.7676699695012i</v>
      </c>
      <c r="V198" s="227">
        <f t="shared" si="90"/>
        <v>38.390237107522353</v>
      </c>
      <c r="W198" s="227">
        <f t="shared" si="91"/>
        <v>-15.188725157365718</v>
      </c>
      <c r="X198" s="227" t="str">
        <f t="shared" si="79"/>
        <v>0.999995684958222-0.000611715503457481i</v>
      </c>
      <c r="Y198" s="227" t="str">
        <f t="shared" si="80"/>
        <v>73.8237308568401+37.4452641820624i</v>
      </c>
      <c r="Z198" s="227" t="str">
        <f t="shared" si="81"/>
        <v>38.4559420134857+19.4762595330654i</v>
      </c>
      <c r="AA198" s="227" t="str">
        <f t="shared" si="82"/>
        <v>11.0533612212523-9.76565025409762i</v>
      </c>
      <c r="AB198" s="227">
        <f t="shared" si="92"/>
        <v>23.375485453996806</v>
      </c>
      <c r="AC198" s="227">
        <f t="shared" si="93"/>
        <v>-41.460613383752644</v>
      </c>
      <c r="AD198" s="229">
        <f t="shared" si="94"/>
        <v>-8.6197093304273249</v>
      </c>
      <c r="AE198" s="229">
        <f t="shared" si="95"/>
        <v>138.18023987180283</v>
      </c>
      <c r="AF198" s="227">
        <f t="shared" si="83"/>
        <v>14.755776123569481</v>
      </c>
      <c r="AG198" s="227">
        <f t="shared" si="84"/>
        <v>96.719626488050181</v>
      </c>
      <c r="AH198" s="229" t="str">
        <f t="shared" si="85"/>
        <v>0.276257600307082-0.247174295643171i</v>
      </c>
    </row>
    <row r="199" spans="9:34" x14ac:dyDescent="0.2">
      <c r="I199" s="227">
        <v>195</v>
      </c>
      <c r="J199" s="227">
        <f t="shared" si="73"/>
        <v>2.901273892722763</v>
      </c>
      <c r="K199" s="227">
        <f t="shared" si="72"/>
        <v>796.6616156716517</v>
      </c>
      <c r="L199" s="227">
        <f t="shared" si="86"/>
        <v>5005.5725583820722</v>
      </c>
      <c r="M199" s="227">
        <f t="shared" si="74"/>
        <v>5005.4114817591908</v>
      </c>
      <c r="N199" s="227">
        <f>SQRT((ABS(AC199)-171.5+'Small Signal'!C$59)^2)</f>
        <v>59.357747609103711</v>
      </c>
      <c r="O199" s="227">
        <f t="shared" si="87"/>
        <v>96.655703732216836</v>
      </c>
      <c r="P199" s="227">
        <f t="shared" si="88"/>
        <v>14.593831069087951</v>
      </c>
      <c r="Q199" s="227">
        <f t="shared" si="89"/>
        <v>796.6616156716517</v>
      </c>
      <c r="R199" s="227" t="str">
        <f t="shared" si="75"/>
        <v>0.0878666666666667+0.0235261910243957i</v>
      </c>
      <c r="S199" s="227" t="str">
        <f t="shared" si="76"/>
        <v>0.0085-7.65104728654745i</v>
      </c>
      <c r="T199" s="227" t="str">
        <f t="shared" si="77"/>
        <v>3.33624454879886-5.69746308082613i</v>
      </c>
      <c r="U199" s="227" t="str">
        <f t="shared" si="78"/>
        <v>80.1314749790636-22.3037538645378i</v>
      </c>
      <c r="V199" s="227">
        <f t="shared" si="90"/>
        <v>38.400126181231037</v>
      </c>
      <c r="W199" s="227">
        <f t="shared" si="91"/>
        <v>-15.553984971489704</v>
      </c>
      <c r="X199" s="227" t="str">
        <f t="shared" si="79"/>
        <v>0.999995486793032-0.000625604134198734i</v>
      </c>
      <c r="Y199" s="227" t="str">
        <f t="shared" si="80"/>
        <v>74.3908817399438+38.2527636532936i</v>
      </c>
      <c r="Z199" s="227" t="str">
        <f t="shared" si="81"/>
        <v>38.7518144078422+19.8960455725226i</v>
      </c>
      <c r="AA199" s="227" t="str">
        <f t="shared" si="82"/>
        <v>10.8375807470162-9.80703249000745i</v>
      </c>
      <c r="AB199" s="227">
        <f t="shared" si="92"/>
        <v>23.29664360235256</v>
      </c>
      <c r="AC199" s="227">
        <f t="shared" si="93"/>
        <v>-42.142252390896282</v>
      </c>
      <c r="AD199" s="229">
        <f t="shared" si="94"/>
        <v>-8.7028125332646091</v>
      </c>
      <c r="AE199" s="229">
        <f t="shared" si="95"/>
        <v>138.79795612311312</v>
      </c>
      <c r="AF199" s="227">
        <f t="shared" si="83"/>
        <v>14.593831069087951</v>
      </c>
      <c r="AG199" s="227">
        <f t="shared" si="84"/>
        <v>96.655703732216836</v>
      </c>
      <c r="AH199" s="229" t="str">
        <f t="shared" si="85"/>
        <v>0.276250582687577-0.241856511093724i</v>
      </c>
    </row>
    <row r="200" spans="9:34" x14ac:dyDescent="0.2">
      <c r="I200" s="227">
        <v>196</v>
      </c>
      <c r="J200" s="227">
        <f t="shared" si="73"/>
        <v>2.9110240152495463</v>
      </c>
      <c r="K200" s="227">
        <f>10^(J200)</f>
        <v>814.74933609602397</v>
      </c>
      <c r="L200" s="227">
        <f t="shared" si="86"/>
        <v>5119.2210575928602</v>
      </c>
      <c r="M200" s="227">
        <f t="shared" si="74"/>
        <v>4986.9130905760994</v>
      </c>
      <c r="N200" s="227">
        <f>SQRT((ABS(AC200)-171.5+'Small Signal'!C$59)^2)</f>
        <v>58.672454881365098</v>
      </c>
      <c r="O200" s="227">
        <f t="shared" si="87"/>
        <v>96.585469378251361</v>
      </c>
      <c r="P200" s="227">
        <f t="shared" si="88"/>
        <v>14.431911432702218</v>
      </c>
      <c r="Q200" s="227">
        <f t="shared" si="89"/>
        <v>814.74933609602397</v>
      </c>
      <c r="R200" s="227" t="str">
        <f t="shared" si="75"/>
        <v>0.0878666666666667+0.0240603389706864i</v>
      </c>
      <c r="S200" s="227" t="str">
        <f t="shared" si="76"/>
        <v>0.0085-7.48119135891228i</v>
      </c>
      <c r="T200" s="227" t="str">
        <f t="shared" si="77"/>
        <v>3.22606650210065-5.63390108822854i</v>
      </c>
      <c r="U200" s="227" t="str">
        <f t="shared" si="78"/>
        <v>80.0788219112136-22.8548603431851i</v>
      </c>
      <c r="V200" s="227">
        <f t="shared" si="90"/>
        <v>38.410441082512484</v>
      </c>
      <c r="W200" s="227">
        <f t="shared" si="91"/>
        <v>-15.928987511539388</v>
      </c>
      <c r="X200" s="227" t="str">
        <f t="shared" si="79"/>
        <v>0.999995279527249-0.000639808097905682i</v>
      </c>
      <c r="Y200" s="227" t="str">
        <f t="shared" si="80"/>
        <v>74.985888134379+39.0749576113287i</v>
      </c>
      <c r="Z200" s="227" t="str">
        <f t="shared" si="81"/>
        <v>39.0622151876857+20.3234536780339i</v>
      </c>
      <c r="AA200" s="227" t="str">
        <f t="shared" si="82"/>
        <v>10.6200738156068-9.84378409175055i</v>
      </c>
      <c r="AB200" s="227">
        <f t="shared" si="92"/>
        <v>23.215695450777648</v>
      </c>
      <c r="AC200" s="227">
        <f t="shared" si="93"/>
        <v>-42.827545118634895</v>
      </c>
      <c r="AD200" s="229">
        <f t="shared" si="94"/>
        <v>-8.7837840180754299</v>
      </c>
      <c r="AE200" s="229">
        <f t="shared" si="95"/>
        <v>139.41301449688626</v>
      </c>
      <c r="AF200" s="227">
        <f t="shared" si="83"/>
        <v>14.431911432702218</v>
      </c>
      <c r="AG200" s="227">
        <f t="shared" si="84"/>
        <v>96.585469378251361</v>
      </c>
      <c r="AH200" s="229" t="str">
        <f t="shared" si="85"/>
        <v>0.276243660170601-0.236660630016117i</v>
      </c>
    </row>
    <row r="201" spans="9:34" x14ac:dyDescent="0.2">
      <c r="I201" s="227">
        <v>197</v>
      </c>
      <c r="J201" s="227">
        <f t="shared" si="73"/>
        <v>2.9207741377763297</v>
      </c>
      <c r="K201" s="227">
        <f>10^(J201)</f>
        <v>833.24772727911602</v>
      </c>
      <c r="L201" s="227">
        <f t="shared" si="86"/>
        <v>5235.4498772809247</v>
      </c>
      <c r="M201" s="227">
        <f t="shared" si="74"/>
        <v>4967.9947046029502</v>
      </c>
      <c r="N201" s="227">
        <f>SQRT((ABS(AC201)-171.5+'Small Signal'!C$59)^2)</f>
        <v>57.983784784201845</v>
      </c>
      <c r="O201" s="227">
        <f t="shared" si="87"/>
        <v>96.508889433275755</v>
      </c>
      <c r="P201" s="227">
        <f t="shared" si="88"/>
        <v>14.269985628038018</v>
      </c>
      <c r="Q201" s="227">
        <f t="shared" si="89"/>
        <v>833.24772727911602</v>
      </c>
      <c r="R201" s="227" t="str">
        <f t="shared" si="75"/>
        <v>0.0878666666666667+0.0246066144232203i</v>
      </c>
      <c r="S201" s="227" t="str">
        <f t="shared" si="76"/>
        <v>0.0085-7.31510629232037i</v>
      </c>
      <c r="T201" s="227" t="str">
        <f t="shared" si="77"/>
        <v>3.11837335059345-5.568965625709i</v>
      </c>
      <c r="U201" s="227" t="str">
        <f t="shared" si="78"/>
        <v>80.022458112006-23.4215190711307i</v>
      </c>
      <c r="V201" s="227">
        <f t="shared" si="90"/>
        <v>38.421198434214411</v>
      </c>
      <c r="W201" s="227">
        <f t="shared" si="91"/>
        <v>-16.314058070940813</v>
      </c>
      <c r="X201" s="227" t="str">
        <f t="shared" si="79"/>
        <v>0.999995062742933-0.000654334554022701i</v>
      </c>
      <c r="Y201" s="227" t="str">
        <f t="shared" si="80"/>
        <v>75.6101900239439+39.9118436428131i</v>
      </c>
      <c r="Z201" s="227" t="str">
        <f t="shared" si="81"/>
        <v>39.3878950752426+20.758480883888i</v>
      </c>
      <c r="AA201" s="227" t="str">
        <f t="shared" si="82"/>
        <v>10.4010413428512-9.8758155813533i</v>
      </c>
      <c r="AB201" s="227">
        <f t="shared" si="92"/>
        <v>23.132625704020381</v>
      </c>
      <c r="AC201" s="227">
        <f t="shared" si="93"/>
        <v>-43.516215215798162</v>
      </c>
      <c r="AD201" s="229">
        <f t="shared" si="94"/>
        <v>-8.8626400759823625</v>
      </c>
      <c r="AE201" s="229">
        <f t="shared" si="95"/>
        <v>140.02510464907391</v>
      </c>
      <c r="AF201" s="227">
        <f t="shared" si="83"/>
        <v>14.269985628038018</v>
      </c>
      <c r="AG201" s="227">
        <f t="shared" si="84"/>
        <v>96.508889433275755</v>
      </c>
      <c r="AH201" s="229" t="str">
        <f t="shared" si="85"/>
        <v>0.27623681880336-0.231584033248803i</v>
      </c>
    </row>
    <row r="202" spans="9:34" x14ac:dyDescent="0.2">
      <c r="I202" s="227">
        <v>198</v>
      </c>
      <c r="J202" s="227">
        <f t="shared" si="73"/>
        <v>2.9305242603031134</v>
      </c>
      <c r="K202" s="227">
        <f>10^(J202)</f>
        <v>852.16611325226495</v>
      </c>
      <c r="L202" s="227">
        <f t="shared" si="86"/>
        <v>5354.3176020629662</v>
      </c>
      <c r="M202" s="227">
        <f t="shared" si="74"/>
        <v>4948.6467881119115</v>
      </c>
      <c r="N202" s="227">
        <f>SQRT((ABS(AC202)-171.5+'Small Signal'!C$59)^2)</f>
        <v>57.292018535851568</v>
      </c>
      <c r="O202" s="227">
        <f t="shared" si="87"/>
        <v>96.425940781878225</v>
      </c>
      <c r="P202" s="227">
        <f t="shared" si="88"/>
        <v>14.108022164707338</v>
      </c>
      <c r="Q202" s="227">
        <f t="shared" si="89"/>
        <v>852.16611325226495</v>
      </c>
      <c r="R202" s="227" t="str">
        <f t="shared" si="75"/>
        <v>0.0878666666666667+0.0251652927296959i</v>
      </c>
      <c r="S202" s="227" t="str">
        <f t="shared" si="76"/>
        <v>0.0085-7.1527083723367i</v>
      </c>
      <c r="T202" s="227" t="str">
        <f t="shared" si="77"/>
        <v>3.0131868356096-5.50276793779879i</v>
      </c>
      <c r="U202" s="227" t="str">
        <f t="shared" si="78"/>
        <v>79.9620838661421-24.0042832782465i</v>
      </c>
      <c r="V202" s="227">
        <f t="shared" si="90"/>
        <v>38.432415306897184</v>
      </c>
      <c r="W202" s="227">
        <f t="shared" si="91"/>
        <v>-16.709536907416503</v>
      </c>
      <c r="X202" s="227" t="str">
        <f t="shared" si="79"/>
        <v>0.999994836002954-0.000669190824545024i</v>
      </c>
      <c r="Y202" s="227" t="str">
        <f t="shared" si="80"/>
        <v>76.2653070196091+40.7633855272711i</v>
      </c>
      <c r="Z202" s="227" t="str">
        <f t="shared" si="81"/>
        <v>39.7296462748557+21.2011065017092i</v>
      </c>
      <c r="AA202" s="227" t="str">
        <f t="shared" si="82"/>
        <v>10.1806901660463-9.90304831299325i</v>
      </c>
      <c r="AB202" s="227">
        <f t="shared" si="92"/>
        <v>23.04742109039389</v>
      </c>
      <c r="AC202" s="227">
        <f t="shared" si="93"/>
        <v>-44.207981464148432</v>
      </c>
      <c r="AD202" s="229">
        <f t="shared" si="94"/>
        <v>-8.939398925686552</v>
      </c>
      <c r="AE202" s="229">
        <f t="shared" si="95"/>
        <v>140.63392224602666</v>
      </c>
      <c r="AF202" s="227">
        <f t="shared" si="83"/>
        <v>14.108022164707338</v>
      </c>
      <c r="AG202" s="227">
        <f t="shared" si="84"/>
        <v>96.425940781878225</v>
      </c>
      <c r="AH202" s="229" t="str">
        <f t="shared" si="85"/>
        <v>0.276230044797252-0.226624161739446i</v>
      </c>
    </row>
    <row r="203" spans="9:34" x14ac:dyDescent="0.2">
      <c r="I203" s="227">
        <v>199</v>
      </c>
      <c r="J203" s="227">
        <f t="shared" si="73"/>
        <v>2.9402743828298967</v>
      </c>
      <c r="K203" s="227">
        <f>10^(J203)</f>
        <v>871.51402974330347</v>
      </c>
      <c r="L203" s="227">
        <f t="shared" si="86"/>
        <v>5475.8841466839976</v>
      </c>
      <c r="M203" s="227">
        <f t="shared" si="74"/>
        <v>4928.859588872213</v>
      </c>
      <c r="N203" s="227">
        <f>SQRT((ABS(AC203)-171.5+'Small Signal'!C$59)^2)</f>
        <v>56.597441495619591</v>
      </c>
      <c r="O203" s="227">
        <f t="shared" si="87"/>
        <v>96.33661109674722</v>
      </c>
      <c r="P203" s="227">
        <f t="shared" si="88"/>
        <v>13.945989772734487</v>
      </c>
      <c r="Q203" s="227">
        <f t="shared" si="89"/>
        <v>871.51402974330347</v>
      </c>
      <c r="R203" s="227" t="str">
        <f t="shared" si="75"/>
        <v>0.0878666666666667+0.0257366554894148i</v>
      </c>
      <c r="S203" s="227" t="str">
        <f t="shared" si="76"/>
        <v>0.0085-6.99391574301609i</v>
      </c>
      <c r="T203" s="227" t="str">
        <f t="shared" si="77"/>
        <v>2.91052276526329-5.43541801762133i</v>
      </c>
      <c r="U203" s="227" t="str">
        <f t="shared" si="78"/>
        <v>79.8973724576498-24.6037308341855i</v>
      </c>
      <c r="V203" s="227">
        <f t="shared" si="90"/>
        <v>38.444109203796131</v>
      </c>
      <c r="W203" s="227">
        <f t="shared" si="91"/>
        <v>-17.115780141963953</v>
      </c>
      <c r="X203" s="227" t="str">
        <f t="shared" si="79"/>
        <v>0.999994598850105-0.000684384397709361i</v>
      </c>
      <c r="Y203" s="227" t="str">
        <f t="shared" si="80"/>
        <v>76.9528429980497+41.6295088049585i</v>
      </c>
      <c r="Z203" s="227" t="str">
        <f t="shared" si="81"/>
        <v>40.0883048863324+21.6512898035213i</v>
      </c>
      <c r="AA203" s="227" t="str">
        <f t="shared" si="82"/>
        <v>9.95923229169854-9.92541493812664i</v>
      </c>
      <c r="AB203" s="227">
        <f t="shared" si="92"/>
        <v>22.96007041734757</v>
      </c>
      <c r="AC203" s="227">
        <f t="shared" si="93"/>
        <v>-44.902558504380409</v>
      </c>
      <c r="AD203" s="229">
        <f t="shared" si="94"/>
        <v>-9.0140806446130828</v>
      </c>
      <c r="AE203" s="229">
        <f t="shared" si="95"/>
        <v>141.23916960112763</v>
      </c>
      <c r="AF203" s="227">
        <f t="shared" si="83"/>
        <v>13.945989772734487</v>
      </c>
      <c r="AG203" s="227">
        <f t="shared" si="84"/>
        <v>96.33661109674722</v>
      </c>
      <c r="AH203" s="229" t="str">
        <f t="shared" si="85"/>
        <v>0.276223324500127-0.221778515254066i</v>
      </c>
    </row>
    <row r="204" spans="9:34" x14ac:dyDescent="0.2">
      <c r="I204" s="227">
        <v>200</v>
      </c>
      <c r="J204" s="227">
        <f t="shared" si="73"/>
        <v>2.95002450535668</v>
      </c>
      <c r="K204" s="227">
        <f>10^(J204)</f>
        <v>891.30122898300249</v>
      </c>
      <c r="L204" s="227">
        <f t="shared" si="86"/>
        <v>5600.2107862171097</v>
      </c>
      <c r="M204" s="227">
        <f t="shared" si="74"/>
        <v>4908.6231332345806</v>
      </c>
      <c r="N204" s="227">
        <f>SQRT((ABS(AC204)-171.5+'Small Signal'!C$59)^2)</f>
        <v>55.90034240967428</v>
      </c>
      <c r="O204" s="227">
        <f t="shared" si="87"/>
        <v>96.240898681959479</v>
      </c>
      <c r="P204" s="227">
        <f t="shared" si="88"/>
        <v>13.783857525467415</v>
      </c>
      <c r="Q204" s="227">
        <f t="shared" si="89"/>
        <v>891.30122898300249</v>
      </c>
      <c r="R204" s="227" t="str">
        <f t="shared" si="75"/>
        <v>0.0878666666666667+0.0263209906952204i</v>
      </c>
      <c r="S204" s="227" t="str">
        <f t="shared" si="76"/>
        <v>0.0085-6.83864836564399i</v>
      </c>
      <c r="T204" s="227" t="str">
        <f t="shared" si="77"/>
        <v>2.81039123796407-5.36702427759184i</v>
      </c>
      <c r="U204" s="227" t="str">
        <f t="shared" si="78"/>
        <v>79.8279675402309-25.2204653414822i</v>
      </c>
      <c r="V204" s="227">
        <f t="shared" si="90"/>
        <v>38.456298040867686</v>
      </c>
      <c r="W204" s="227">
        <f t="shared" si="91"/>
        <v>-17.533160719447007</v>
      </c>
      <c r="X204" s="227" t="str">
        <f t="shared" si="79"/>
        <v>0.999994350806181-0.000699922931768308i</v>
      </c>
      <c r="Y204" s="227" t="str">
        <f t="shared" si="80"/>
        <v>77.6744909928269+42.5100958203128i</v>
      </c>
      <c r="Z204" s="227" t="str">
        <f t="shared" si="81"/>
        <v>40.4647534493688+22.1089674310338i</v>
      </c>
      <c r="AA204" s="227" t="str">
        <f t="shared" si="82"/>
        <v>9.73688410067689-9.94285980807213i</v>
      </c>
      <c r="AB204" s="227">
        <f t="shared" si="92"/>
        <v>22.870564619523503</v>
      </c>
      <c r="AC204" s="227">
        <f t="shared" si="93"/>
        <v>-45.59965759032572</v>
      </c>
      <c r="AD204" s="229">
        <f t="shared" si="94"/>
        <v>-9.0867070940560879</v>
      </c>
      <c r="AE204" s="229">
        <f t="shared" si="95"/>
        <v>141.8405562722852</v>
      </c>
      <c r="AF204" s="227">
        <f t="shared" si="83"/>
        <v>13.783857525467415</v>
      </c>
      <c r="AG204" s="227">
        <f t="shared" si="84"/>
        <v>96.240898681959479</v>
      </c>
      <c r="AH204" s="229" t="str">
        <f t="shared" si="85"/>
        <v>0.276216644368807-0.217044651115745i</v>
      </c>
    </row>
    <row r="205" spans="9:34" x14ac:dyDescent="0.2">
      <c r="I205" s="227">
        <v>201</v>
      </c>
      <c r="J205" s="227">
        <f t="shared" si="73"/>
        <v>2.9597746278834633</v>
      </c>
      <c r="K205" s="227">
        <f t="shared" ref="K205:K253" si="96">10^(J205)</f>
        <v>911.53768462063488</v>
      </c>
      <c r="L205" s="227">
        <f t="shared" si="86"/>
        <v>5727.360186948873</v>
      </c>
      <c r="M205" s="227">
        <f t="shared" si="74"/>
        <v>4887.9272211040607</v>
      </c>
      <c r="N205" s="227">
        <f>SQRT((ABS(AC205)-171.5+'Small Signal'!C$59)^2)</f>
        <v>55.201012632816457</v>
      </c>
      <c r="O205" s="227">
        <f t="shared" si="87"/>
        <v>96.138812250403191</v>
      </c>
      <c r="P205" s="227">
        <f t="shared" si="88"/>
        <v>13.621594960006453</v>
      </c>
      <c r="Q205" s="227">
        <f t="shared" si="89"/>
        <v>911.53768462063488</v>
      </c>
      <c r="R205" s="227" t="str">
        <f t="shared" si="75"/>
        <v>0.0878666666666667+0.0269185928786597i</v>
      </c>
      <c r="S205" s="227" t="str">
        <f t="shared" si="76"/>
        <v>0.0085-6.68682797839329i</v>
      </c>
      <c r="T205" s="227" t="str">
        <f t="shared" si="77"/>
        <v>2.71279688289779-5.29769324660574i</v>
      </c>
      <c r="U205" s="227" t="str">
        <f t="shared" si="78"/>
        <v>79.7534802379222-25.8551172383365i</v>
      </c>
      <c r="V205" s="227">
        <f t="shared" si="90"/>
        <v>38.469000121165003</v>
      </c>
      <c r="W205" s="227">
        <f t="shared" si="91"/>
        <v>-17.962069435046086</v>
      </c>
      <c r="X205" s="227" t="str">
        <f t="shared" si="79"/>
        <v>0.999994091371019-0.000715814258850458i</v>
      </c>
      <c r="Y205" s="227" t="str">
        <f t="shared" si="80"/>
        <v>78.4320383436225+43.404980177959i</v>
      </c>
      <c r="Z205" s="227" t="str">
        <f t="shared" si="81"/>
        <v>40.8599236217865+22.5740504982715i</v>
      </c>
      <c r="AA205" s="227" t="str">
        <f t="shared" si="82"/>
        <v>9.51386551691133-9.95533930961475i</v>
      </c>
      <c r="AB205" s="227">
        <f t="shared" si="92"/>
        <v>22.778896798911198</v>
      </c>
      <c r="AC205" s="227">
        <f t="shared" si="93"/>
        <v>-46.29898736718355</v>
      </c>
      <c r="AD205" s="229">
        <f t="shared" si="94"/>
        <v>-9.1573018389047451</v>
      </c>
      <c r="AE205" s="229">
        <f t="shared" si="95"/>
        <v>142.43779961758673</v>
      </c>
      <c r="AF205" s="227">
        <f t="shared" si="83"/>
        <v>13.621594960006453</v>
      </c>
      <c r="AG205" s="227">
        <f t="shared" si="84"/>
        <v>96.138812250403191</v>
      </c>
      <c r="AH205" s="229" t="str">
        <f t="shared" si="85"/>
        <v>0.276209990941843-0.212420182972278i</v>
      </c>
    </row>
    <row r="206" spans="9:34" x14ac:dyDescent="0.2">
      <c r="I206" s="227">
        <v>202</v>
      </c>
      <c r="J206" s="227">
        <f t="shared" si="73"/>
        <v>2.9695247504102467</v>
      </c>
      <c r="K206" s="227">
        <f t="shared" si="96"/>
        <v>932.23359675115444</v>
      </c>
      <c r="L206" s="227">
        <f t="shared" si="86"/>
        <v>5857.3964379660329</v>
      </c>
      <c r="M206" s="227">
        <f t="shared" si="74"/>
        <v>4866.7614207987117</v>
      </c>
      <c r="N206" s="227">
        <f>SQRT((ABS(AC206)-171.5+'Small Signal'!C$59)^2)</f>
        <v>54.499745330674841</v>
      </c>
      <c r="O206" s="227">
        <f t="shared" si="87"/>
        <v>96.030370637512732</v>
      </c>
      <c r="P206" s="227">
        <f t="shared" si="88"/>
        <v>13.459172194218793</v>
      </c>
      <c r="Q206" s="227">
        <f t="shared" si="89"/>
        <v>932.23359675115444</v>
      </c>
      <c r="R206" s="227" t="str">
        <f t="shared" si="75"/>
        <v>0.0878666666666667+0.0275297632584404i</v>
      </c>
      <c r="S206" s="227" t="str">
        <f t="shared" si="76"/>
        <v>0.0085-6.5383780568768i</v>
      </c>
      <c r="T206" s="227" t="str">
        <f t="shared" si="77"/>
        <v>2.61773911463258-5.22752929415345i</v>
      </c>
      <c r="U206" s="227" t="str">
        <f t="shared" si="78"/>
        <v>79.6734859477352-26.5083449011485i</v>
      </c>
      <c r="V206" s="227">
        <f t="shared" si="90"/>
        <v>38.48223410268664</v>
      </c>
      <c r="W206" s="227">
        <f t="shared" si="91"/>
        <v>-18.40291603104723</v>
      </c>
      <c r="X206" s="227" t="str">
        <f t="shared" si="79"/>
        <v>0.999993820021483-0.000732066388908149i</v>
      </c>
      <c r="Y206" s="227" t="str">
        <f t="shared" si="80"/>
        <v>79.227372106678+44.3139405405306i</v>
      </c>
      <c r="Z206" s="227" t="str">
        <f t="shared" si="81"/>
        <v>41.274798993133+23.0464213506546i</v>
      </c>
      <c r="AA206" s="227" t="str">
        <f t="shared" si="82"/>
        <v>9.29039914629165-9.96282212989083i</v>
      </c>
      <c r="AB206" s="227">
        <f t="shared" si="92"/>
        <v>22.685062256780132</v>
      </c>
      <c r="AC206" s="227">
        <f t="shared" si="93"/>
        <v>-47.000254669325159</v>
      </c>
      <c r="AD206" s="229">
        <f t="shared" si="94"/>
        <v>-9.2258900625613389</v>
      </c>
      <c r="AE206" s="229">
        <f t="shared" si="95"/>
        <v>143.03062530683789</v>
      </c>
      <c r="AF206" s="227">
        <f t="shared" si="83"/>
        <v>13.459172194218793</v>
      </c>
      <c r="AG206" s="227">
        <f t="shared" si="84"/>
        <v>96.030370637512732</v>
      </c>
      <c r="AH206" s="229" t="str">
        <f t="shared" si="85"/>
        <v>0.276203350812444-0.207902779592121i</v>
      </c>
    </row>
    <row r="207" spans="9:34" x14ac:dyDescent="0.2">
      <c r="I207" s="227">
        <v>203</v>
      </c>
      <c r="J207" s="227">
        <f t="shared" si="73"/>
        <v>2.9792748729370304</v>
      </c>
      <c r="K207" s="227">
        <f t="shared" si="96"/>
        <v>953.39939705650295</v>
      </c>
      <c r="L207" s="227">
        <f t="shared" si="86"/>
        <v>5990.3850834592959</v>
      </c>
      <c r="M207" s="227">
        <f t="shared" si="74"/>
        <v>4845.1150637915598</v>
      </c>
      <c r="N207" s="227">
        <f>SQRT((ABS(AC207)-171.5+'Small Signal'!C$59)^2)</f>
        <v>53.79683466699629</v>
      </c>
      <c r="O207" s="227">
        <f t="shared" si="87"/>
        <v>95.915602454133989</v>
      </c>
      <c r="P207" s="227">
        <f t="shared" si="88"/>
        <v>13.296560039451888</v>
      </c>
      <c r="Q207" s="227">
        <f t="shared" si="89"/>
        <v>953.39939705650295</v>
      </c>
      <c r="R207" s="227" t="str">
        <f t="shared" si="75"/>
        <v>0.0878666666666667+0.0281548098922587i</v>
      </c>
      <c r="S207" s="227" t="str">
        <f t="shared" si="76"/>
        <v>0.0085-6.39322377557563i</v>
      </c>
      <c r="T207" s="227" t="str">
        <f t="shared" si="77"/>
        <v>2.52521239908896-5.15663438151143i</v>
      </c>
      <c r="U207" s="227" t="str">
        <f t="shared" si="78"/>
        <v>79.5875208130315-27.1808357343288i</v>
      </c>
      <c r="V207" s="227">
        <f t="shared" si="90"/>
        <v>38.496018958724477</v>
      </c>
      <c r="W207" s="227">
        <f t="shared" si="91"/>
        <v>-18.856130368679324</v>
      </c>
      <c r="X207" s="227" t="str">
        <f t="shared" si="79"/>
        <v>0.999993536210416-0.000748687513754848i</v>
      </c>
      <c r="Y207" s="227" t="str">
        <f t="shared" si="80"/>
        <v>80.0624847266388+45.2366936889595i</v>
      </c>
      <c r="Z207" s="227" t="str">
        <f t="shared" si="81"/>
        <v>41.71041803365+23.5259299391548i</v>
      </c>
      <c r="AA207" s="227" t="str">
        <f t="shared" si="82"/>
        <v>9.06670939284621-9.96528944757267i</v>
      </c>
      <c r="AB207" s="227">
        <f t="shared" si="92"/>
        <v>22.58905851713461</v>
      </c>
      <c r="AC207" s="227">
        <f t="shared" si="93"/>
        <v>-47.703165333003703</v>
      </c>
      <c r="AD207" s="229">
        <f t="shared" si="94"/>
        <v>-9.292498477682722</v>
      </c>
      <c r="AE207" s="229">
        <f t="shared" si="95"/>
        <v>143.6187677871377</v>
      </c>
      <c r="AF207" s="227">
        <f t="shared" si="83"/>
        <v>13.296560039451888</v>
      </c>
      <c r="AG207" s="227">
        <f t="shared" si="84"/>
        <v>95.915602454133989</v>
      </c>
      <c r="AH207" s="229" t="str">
        <f t="shared" si="85"/>
        <v>0.276196710601517-0.20349016368804i</v>
      </c>
    </row>
    <row r="208" spans="9:34" x14ac:dyDescent="0.2">
      <c r="I208" s="227">
        <v>204</v>
      </c>
      <c r="J208" s="227">
        <f t="shared" si="73"/>
        <v>2.9890249954638137</v>
      </c>
      <c r="K208" s="227">
        <f t="shared" si="96"/>
        <v>975.04575406365495</v>
      </c>
      <c r="L208" s="227">
        <f t="shared" si="86"/>
        <v>6126.3931557605974</v>
      </c>
      <c r="M208" s="227">
        <f t="shared" si="74"/>
        <v>4822.9772393331714</v>
      </c>
      <c r="N208" s="227">
        <f>SQRT((ABS(AC208)-171.5+'Small Signal'!C$59)^2)</f>
        <v>53.092574980861201</v>
      </c>
      <c r="O208" s="227">
        <f t="shared" si="87"/>
        <v>95.794545681942282</v>
      </c>
      <c r="P208" s="227">
        <f t="shared" si="88"/>
        <v>13.133730108117538</v>
      </c>
      <c r="Q208" s="227">
        <f t="shared" si="89"/>
        <v>975.04575406365495</v>
      </c>
      <c r="R208" s="227" t="str">
        <f t="shared" si="75"/>
        <v>0.0878666666666667+0.0287940478320748i</v>
      </c>
      <c r="S208" s="227" t="str">
        <f t="shared" si="76"/>
        <v>0.0085-6.25129197012344i</v>
      </c>
      <c r="T208" s="227" t="str">
        <f t="shared" si="77"/>
        <v>2.43520652822052-5.08510783989387i</v>
      </c>
      <c r="U208" s="227" t="str">
        <f t="shared" si="78"/>
        <v>79.4950778332207-27.8733072318544i</v>
      </c>
      <c r="V208" s="227">
        <f t="shared" si="90"/>
        <v>38.510373929603418</v>
      </c>
      <c r="W208" s="227">
        <f t="shared" si="91"/>
        <v>-19.322163679926216</v>
      </c>
      <c r="X208" s="227" t="str">
        <f t="shared" si="79"/>
        <v>0.999993239365529-0.000765686011194189i</v>
      </c>
      <c r="Y208" s="227" t="str">
        <f t="shared" si="80"/>
        <v>80.9394799661463+46.1728867562761i</v>
      </c>
      <c r="Z208" s="227" t="str">
        <f t="shared" si="81"/>
        <v>42.1678771765864+24.0123897631449i</v>
      </c>
      <c r="AA208" s="227" t="str">
        <f t="shared" si="82"/>
        <v>8.84302155960965-9.96273504818803i</v>
      </c>
      <c r="AB208" s="227">
        <f t="shared" si="92"/>
        <v>22.490885341507823</v>
      </c>
      <c r="AC208" s="227">
        <f t="shared" si="93"/>
        <v>-48.407425019138799</v>
      </c>
      <c r="AD208" s="229">
        <f t="shared" si="94"/>
        <v>-9.3571552333902854</v>
      </c>
      <c r="AE208" s="229">
        <f t="shared" si="95"/>
        <v>144.20197070108108</v>
      </c>
      <c r="AF208" s="227">
        <f t="shared" si="83"/>
        <v>13.133730108117538</v>
      </c>
      <c r="AG208" s="227">
        <f t="shared" si="84"/>
        <v>95.794545681942282</v>
      </c>
      <c r="AH208" s="229" t="str">
        <f t="shared" si="85"/>
        <v>0.276190056930764-0.199180110767844i</v>
      </c>
    </row>
    <row r="209" spans="9:34" x14ac:dyDescent="0.2">
      <c r="I209" s="227">
        <v>205</v>
      </c>
      <c r="J209" s="227">
        <f t="shared" si="73"/>
        <v>2.998775117990597</v>
      </c>
      <c r="K209" s="227">
        <f t="shared" si="96"/>
        <v>997.1835785220436</v>
      </c>
      <c r="L209" s="227">
        <f t="shared" si="86"/>
        <v>6265.4892091304655</v>
      </c>
      <c r="M209" s="227">
        <f t="shared" si="74"/>
        <v>4800.336788952146</v>
      </c>
      <c r="N209" s="227">
        <f>SQRT((ABS(AC209)-171.5+'Small Signal'!C$59)^2)</f>
        <v>52.387259958771708</v>
      </c>
      <c r="O209" s="227">
        <f t="shared" si="87"/>
        <v>95.667247215385132</v>
      </c>
      <c r="P209" s="227">
        <f t="shared" si="88"/>
        <v>12.970654915387758</v>
      </c>
      <c r="Q209" s="227">
        <f t="shared" si="89"/>
        <v>997.1835785220436</v>
      </c>
      <c r="R209" s="227" t="str">
        <f t="shared" si="75"/>
        <v>0.0878666666666667+0.0294477992829132i</v>
      </c>
      <c r="S209" s="227" t="str">
        <f t="shared" si="76"/>
        <v>0.0085-6.1125111004286i</v>
      </c>
      <c r="T209" s="227" t="str">
        <f t="shared" si="77"/>
        <v>2.34770690088198-5.01304617520975i</v>
      </c>
      <c r="U209" s="227" t="str">
        <f t="shared" si="78"/>
        <v>79.3956025719603-28.5865079914014i</v>
      </c>
      <c r="V209" s="227">
        <f t="shared" si="90"/>
        <v>38.52531846455642</v>
      </c>
      <c r="W209" s="227">
        <f t="shared" si="91"/>
        <v>-19.801489904445592</v>
      </c>
      <c r="X209" s="227" t="str">
        <f t="shared" si="79"/>
        <v>0.999992928888254-0.000783070449242779i</v>
      </c>
      <c r="Y209" s="227" t="str">
        <f t="shared" si="80"/>
        <v>81.8605790846305+47.1220885352306i</v>
      </c>
      <c r="Z209" s="227" t="str">
        <f t="shared" si="81"/>
        <v>42.6483340292721+24.5055733299695i</v>
      </c>
      <c r="AA209" s="227" t="str">
        <f t="shared" si="82"/>
        <v>8.61956094181281-9.95516536226247i</v>
      </c>
      <c r="AB209" s="227">
        <f t="shared" si="92"/>
        <v>22.39054473498587</v>
      </c>
      <c r="AC209" s="227">
        <f t="shared" si="93"/>
        <v>-49.112740041228292</v>
      </c>
      <c r="AD209" s="229">
        <f t="shared" si="94"/>
        <v>-9.4198898195981116</v>
      </c>
      <c r="AE209" s="229">
        <f t="shared" si="95"/>
        <v>144.77998725661342</v>
      </c>
      <c r="AF209" s="227">
        <f t="shared" si="83"/>
        <v>12.970654915387758</v>
      </c>
      <c r="AG209" s="227">
        <f t="shared" si="84"/>
        <v>95.667247215385132</v>
      </c>
      <c r="AH209" s="229" t="str">
        <f t="shared" si="85"/>
        <v>0.27618337639581-0.194970448011632i</v>
      </c>
    </row>
    <row r="210" spans="9:34" x14ac:dyDescent="0.2">
      <c r="I210" s="227">
        <v>206</v>
      </c>
      <c r="J210" s="227">
        <f t="shared" si="73"/>
        <v>3.0085252405173804</v>
      </c>
      <c r="K210" s="227">
        <f t="shared" si="96"/>
        <v>1019.8240289030692</v>
      </c>
      <c r="L210" s="227">
        <f t="shared" si="86"/>
        <v>6407.7433543124544</v>
      </c>
      <c r="M210" s="227">
        <f t="shared" si="74"/>
        <v>4777.1823008307301</v>
      </c>
      <c r="N210" s="227">
        <f>SQRT((ABS(AC210)-171.5+'Small Signal'!C$59)^2)</f>
        <v>51.681181806615712</v>
      </c>
      <c r="O210" s="227">
        <f t="shared" si="87"/>
        <v>95.533762354596718</v>
      </c>
      <c r="P210" s="227">
        <f t="shared" si="88"/>
        <v>12.80730797431719</v>
      </c>
      <c r="Q210" s="227">
        <f t="shared" si="89"/>
        <v>1019.8240289030692</v>
      </c>
      <c r="R210" s="227" t="str">
        <f t="shared" si="75"/>
        <v>0.0878666666666667+0.0301163937652685i</v>
      </c>
      <c r="S210" s="227" t="str">
        <f t="shared" si="76"/>
        <v>0.0085-5.97681121461441i</v>
      </c>
      <c r="T210" s="227" t="str">
        <f t="shared" si="77"/>
        <v>2.26269480750839-4.94054289885421i</v>
      </c>
      <c r="U210" s="227" t="str">
        <f t="shared" si="78"/>
        <v>79.288488422328-29.3212186575164i</v>
      </c>
      <c r="V210" s="227">
        <f t="shared" si="90"/>
        <v>38.540872152305113</v>
      </c>
      <c r="W210" s="227">
        <f t="shared" si="91"/>
        <v>-20.294607116900298</v>
      </c>
      <c r="X210" s="227" t="str">
        <f t="shared" si="79"/>
        <v>0.999992604152534-0.00080084959044886i</v>
      </c>
      <c r="Y210" s="227" t="str">
        <f t="shared" si="80"/>
        <v>82.828127251517+48.0837797481148i</v>
      </c>
      <c r="Z210" s="227" t="str">
        <f t="shared" si="81"/>
        <v>43.1530107050979+25.005207073053i</v>
      </c>
      <c r="AA210" s="227" t="str">
        <f t="shared" si="82"/>
        <v>8.39655192013829-9.94259942584827i</v>
      </c>
      <c r="AB210" s="227">
        <f t="shared" si="92"/>
        <v>22.288040943426381</v>
      </c>
      <c r="AC210" s="227">
        <f t="shared" si="93"/>
        <v>-49.818818193384288</v>
      </c>
      <c r="AD210" s="229">
        <f t="shared" si="94"/>
        <v>-9.4807329691091908</v>
      </c>
      <c r="AE210" s="229">
        <f t="shared" si="95"/>
        <v>145.35258054798101</v>
      </c>
      <c r="AF210" s="227">
        <f t="shared" si="83"/>
        <v>12.80730797431719</v>
      </c>
      <c r="AG210" s="227">
        <f t="shared" si="84"/>
        <v>95.533762354596718</v>
      </c>
      <c r="AH210" s="229" t="str">
        <f t="shared" si="85"/>
        <v>0.276176655539265-0.190859053174989i</v>
      </c>
    </row>
    <row r="211" spans="9:34" x14ac:dyDescent="0.2">
      <c r="I211" s="227">
        <v>207</v>
      </c>
      <c r="J211" s="227">
        <f t="shared" si="73"/>
        <v>3.0182753630441641</v>
      </c>
      <c r="K211" s="227">
        <f t="shared" si="96"/>
        <v>1042.978517024485</v>
      </c>
      <c r="L211" s="227">
        <f t="shared" si="86"/>
        <v>6553.2272938721981</v>
      </c>
      <c r="M211" s="227">
        <f t="shared" si="74"/>
        <v>4753.5021040527536</v>
      </c>
      <c r="N211" s="227">
        <f>SQRT((ABS(AC211)-171.5+'Small Signal'!C$59)^2)</f>
        <v>50.97463042651502</v>
      </c>
      <c r="O211" s="227">
        <f t="shared" si="87"/>
        <v>95.394154254164349</v>
      </c>
      <c r="P211" s="227">
        <f t="shared" si="88"/>
        <v>12.643663883793929</v>
      </c>
      <c r="Q211" s="227">
        <f t="shared" si="89"/>
        <v>1042.978517024485</v>
      </c>
      <c r="R211" s="227" t="str">
        <f t="shared" si="75"/>
        <v>0.0878666666666667+0.0308001682811993i</v>
      </c>
      <c r="S211" s="227" t="str">
        <f t="shared" si="76"/>
        <v>0.0085-5.84412391376035i</v>
      </c>
      <c r="T211" s="227" t="str">
        <f t="shared" si="77"/>
        <v>2.1801477163921-4.86768838377597i</v>
      </c>
      <c r="U211" s="227" t="str">
        <f t="shared" si="78"/>
        <v>79.1730713835156-30.0782527650963i</v>
      </c>
      <c r="V211" s="227">
        <f t="shared" si="90"/>
        <v>38.557054638725091</v>
      </c>
      <c r="W211" s="227">
        <f t="shared" si="91"/>
        <v>-20.802039050144117</v>
      </c>
      <c r="X211" s="227" t="str">
        <f t="shared" si="79"/>
        <v>0.999992264503559-0.000819032396309038i</v>
      </c>
      <c r="Y211" s="227" t="str">
        <f t="shared" si="80"/>
        <v>83.844600171243+49.0573421539123i</v>
      </c>
      <c r="Z211" s="227" t="str">
        <f t="shared" si="81"/>
        <v>43.6831972644535+25.5109656634589i</v>
      </c>
      <c r="AA211" s="227" t="str">
        <f t="shared" si="82"/>
        <v>8.17421706178727-9.92506876389057i</v>
      </c>
      <c r="AB211" s="227">
        <f t="shared" si="92"/>
        <v>22.183380441914341</v>
      </c>
      <c r="AC211" s="227">
        <f t="shared" si="93"/>
        <v>-50.52536957348498</v>
      </c>
      <c r="AD211" s="229">
        <f t="shared" si="94"/>
        <v>-9.5397165581204124</v>
      </c>
      <c r="AE211" s="229">
        <f t="shared" si="95"/>
        <v>145.91952382764933</v>
      </c>
      <c r="AF211" s="227">
        <f t="shared" si="83"/>
        <v>12.643663883793929</v>
      </c>
      <c r="AG211" s="227">
        <f t="shared" si="84"/>
        <v>95.394154254164349</v>
      </c>
      <c r="AH211" s="229" t="str">
        <f t="shared" si="85"/>
        <v>0.276169880823698-0.186843853517529i</v>
      </c>
    </row>
    <row r="212" spans="9:34" x14ac:dyDescent="0.2">
      <c r="I212" s="227">
        <v>208</v>
      </c>
      <c r="J212" s="227">
        <f t="shared" si="73"/>
        <v>3.0280254855709474</v>
      </c>
      <c r="K212" s="227">
        <f t="shared" si="96"/>
        <v>1066.6587138024611</v>
      </c>
      <c r="L212" s="227">
        <f t="shared" si="86"/>
        <v>6702.0143583386989</v>
      </c>
      <c r="M212" s="227">
        <f t="shared" si="74"/>
        <v>4729.2842627209438</v>
      </c>
      <c r="N212" s="227">
        <f>SQRT((ABS(AC212)-171.5+'Small Signal'!C$59)^2)</f>
        <v>50.267892603496747</v>
      </c>
      <c r="O212" s="227">
        <f t="shared" si="87"/>
        <v>95.248493332934046</v>
      </c>
      <c r="P212" s="227">
        <f t="shared" si="88"/>
        <v>12.479698408810354</v>
      </c>
      <c r="Q212" s="227">
        <f t="shared" si="89"/>
        <v>1066.6587138024611</v>
      </c>
      <c r="R212" s="227" t="str">
        <f t="shared" si="75"/>
        <v>0.0878666666666667+0.0314994674841919i</v>
      </c>
      <c r="S212" s="227" t="str">
        <f t="shared" si="76"/>
        <v>0.0085-5.71438231742595i</v>
      </c>
      <c r="T212" s="227" t="str">
        <f t="shared" si="77"/>
        <v>2.10003955951579-4.79456974489915i</v>
      </c>
      <c r="U212" s="227" t="str">
        <f t="shared" si="78"/>
        <v>79.0486242994039-30.8584574482684i</v>
      </c>
      <c r="V212" s="227">
        <f t="shared" si="90"/>
        <v>38.573885529755401</v>
      </c>
      <c r="W212" s="227">
        <f t="shared" si="91"/>
        <v>-21.324336719796655</v>
      </c>
      <c r="X212" s="227" t="str">
        <f t="shared" si="79"/>
        <v>0.99999190925645-0.000837628031785277i</v>
      </c>
      <c r="Y212" s="227" t="str">
        <f t="shared" si="80"/>
        <v>84.9126108877112+50.0420463532572i</v>
      </c>
      <c r="Z212" s="227" t="str">
        <f t="shared" si="81"/>
        <v>44.2402552475652+26.0224656421902i</v>
      </c>
      <c r="AA212" s="227" t="str">
        <f t="shared" si="82"/>
        <v>7.95277623698555-9.90261719775894i</v>
      </c>
      <c r="AB212" s="227">
        <f t="shared" si="92"/>
        <v>22.076571914572114</v>
      </c>
      <c r="AC212" s="227">
        <f t="shared" si="93"/>
        <v>-51.232107396503253</v>
      </c>
      <c r="AD212" s="229">
        <f t="shared" si="94"/>
        <v>-9.59687350576176</v>
      </c>
      <c r="AE212" s="229">
        <f t="shared" si="95"/>
        <v>146.4806007294373</v>
      </c>
      <c r="AF212" s="227">
        <f t="shared" si="83"/>
        <v>12.479698408810354</v>
      </c>
      <c r="AG212" s="227">
        <f t="shared" si="84"/>
        <v>95.248493332934046</v>
      </c>
      <c r="AH212" s="229" t="str">
        <f t="shared" si="85"/>
        <v>0.276163038604454-0.182922824756298i</v>
      </c>
    </row>
    <row r="213" spans="9:34" x14ac:dyDescent="0.2">
      <c r="I213" s="227">
        <v>209</v>
      </c>
      <c r="J213" s="227">
        <f t="shared" si="73"/>
        <v>3.0377756080977307</v>
      </c>
      <c r="K213" s="227">
        <f t="shared" si="96"/>
        <v>1090.876555134271</v>
      </c>
      <c r="L213" s="227">
        <f t="shared" si="86"/>
        <v>6854.1795431663331</v>
      </c>
      <c r="M213" s="227">
        <f t="shared" si="74"/>
        <v>4704.5165699406953</v>
      </c>
      <c r="N213" s="227">
        <f>SQRT((ABS(AC213)-171.5+'Small Signal'!C$59)^2)</f>
        <v>49.561251206828786</v>
      </c>
      <c r="O213" s="227">
        <f t="shared" si="87"/>
        <v>95.096856650337088</v>
      </c>
      <c r="P213" s="227">
        <f t="shared" si="88"/>
        <v>12.315388552638113</v>
      </c>
      <c r="Q213" s="227">
        <f t="shared" si="89"/>
        <v>1090.876555134271</v>
      </c>
      <c r="R213" s="227" t="str">
        <f t="shared" si="75"/>
        <v>0.0878666666666667+0.0322146438528818i</v>
      </c>
      <c r="S213" s="227" t="str">
        <f t="shared" si="76"/>
        <v>0.0085-5.58752102993987i</v>
      </c>
      <c r="T213" s="227" t="str">
        <f t="shared" si="77"/>
        <v>2.02234101607909-4.72127074284246i</v>
      </c>
      <c r="U213" s="227" t="str">
        <f t="shared" si="78"/>
        <v>78.9143505049729-31.6627139723872i</v>
      </c>
      <c r="V213" s="227">
        <f t="shared" si="90"/>
        <v>38.591384277461771</v>
      </c>
      <c r="W213" s="227">
        <f t="shared" si="91"/>
        <v>-21.86208015574649</v>
      </c>
      <c r="X213" s="227" t="str">
        <f t="shared" si="79"/>
        <v>0.999991537694873-0.000856645869924467i</v>
      </c>
      <c r="Y213" s="227" t="str">
        <f t="shared" si="80"/>
        <v>86.0349167236566+51.0370381355139i</v>
      </c>
      <c r="Z213" s="227" t="str">
        <f t="shared" si="81"/>
        <v>44.8256212758159+26.5392582921059i</v>
      </c>
      <c r="AA213" s="227" t="str">
        <f t="shared" si="82"/>
        <v>7.73244575833377-9.87530057912267i</v>
      </c>
      <c r="AB213" s="227">
        <f t="shared" si="92"/>
        <v>21.967626225913651</v>
      </c>
      <c r="AC213" s="227">
        <f t="shared" si="93"/>
        <v>-51.938748793171222</v>
      </c>
      <c r="AD213" s="229">
        <f t="shared" si="94"/>
        <v>-9.6522376732755379</v>
      </c>
      <c r="AE213" s="229">
        <f t="shared" si="95"/>
        <v>147.0356054435083</v>
      </c>
      <c r="AF213" s="227">
        <f t="shared" si="83"/>
        <v>12.315388552638113</v>
      </c>
      <c r="AG213" s="227">
        <f t="shared" si="84"/>
        <v>95.096856650337088</v>
      </c>
      <c r="AH213" s="229" t="str">
        <f t="shared" si="85"/>
        <v>0.276156115102285-0.179093990043444i</v>
      </c>
    </row>
    <row r="214" spans="9:34" x14ac:dyDescent="0.2">
      <c r="I214" s="227">
        <v>210</v>
      </c>
      <c r="J214" s="227">
        <f t="shared" si="73"/>
        <v>3.047525730624514</v>
      </c>
      <c r="K214" s="227">
        <f t="shared" si="96"/>
        <v>1115.6442479145194</v>
      </c>
      <c r="L214" s="227">
        <f t="shared" si="86"/>
        <v>7009.7995465359281</v>
      </c>
      <c r="M214" s="227">
        <f t="shared" si="74"/>
        <v>4679.1865416672435</v>
      </c>
      <c r="N214" s="227">
        <f>SQRT((ABS(AC214)-171.5+'Small Signal'!C$59)^2)</f>
        <v>48.854984410684537</v>
      </c>
      <c r="O214" s="227">
        <f t="shared" si="87"/>
        <v>94.939327254868559</v>
      </c>
      <c r="P214" s="227">
        <f t="shared" si="88"/>
        <v>12.150712620590943</v>
      </c>
      <c r="Q214" s="227">
        <f t="shared" si="89"/>
        <v>1115.6442479145194</v>
      </c>
      <c r="R214" s="227" t="str">
        <f t="shared" si="75"/>
        <v>0.0878666666666667+0.0329460578687189i</v>
      </c>
      <c r="S214" s="227" t="str">
        <f t="shared" si="76"/>
        <v>0.0085-5.46347610743754i</v>
      </c>
      <c r="T214" s="227" t="str">
        <f t="shared" si="77"/>
        <v>1.94701979203938-4.6478717097672i</v>
      </c>
      <c r="U214" s="227" t="str">
        <f t="shared" si="78"/>
        <v>78.769376821992-32.491938038169i</v>
      </c>
      <c r="V214" s="227">
        <f t="shared" si="90"/>
        <v>38.609570046887235</v>
      </c>
      <c r="W214" s="227">
        <f t="shared" si="91"/>
        <v>-22.415880246053426</v>
      </c>
      <c r="X214" s="227" t="str">
        <f t="shared" si="79"/>
        <v>0.999991149069597-0.000876095496582862i</v>
      </c>
      <c r="Y214" s="227" t="str">
        <f t="shared" si="80"/>
        <v>87.2144262954477+52.0413231945766i</v>
      </c>
      <c r="Z214" s="227" t="str">
        <f t="shared" si="81"/>
        <v>45.4408106903086+27.0608216591109i</v>
      </c>
      <c r="AA214" s="227" t="str">
        <f t="shared" si="82"/>
        <v>7.51343755007665-9.84318645316559i</v>
      </c>
      <c r="AB214" s="227">
        <f t="shared" si="92"/>
        <v>21.856556384006698</v>
      </c>
      <c r="AC214" s="227">
        <f t="shared" si="93"/>
        <v>-52.645015589315463</v>
      </c>
      <c r="AD214" s="229">
        <f t="shared" si="94"/>
        <v>-9.7058437634157553</v>
      </c>
      <c r="AE214" s="229">
        <f t="shared" si="95"/>
        <v>147.58434284418402</v>
      </c>
      <c r="AF214" s="227">
        <f t="shared" si="83"/>
        <v>12.150712620590943</v>
      </c>
      <c r="AG214" s="227">
        <f t="shared" si="84"/>
        <v>94.939327254868559</v>
      </c>
      <c r="AH214" s="229" t="str">
        <f t="shared" si="85"/>
        <v>0.276149096375691-0.175355418967673i</v>
      </c>
    </row>
    <row r="215" spans="9:34" x14ac:dyDescent="0.2">
      <c r="I215" s="227">
        <v>211</v>
      </c>
      <c r="J215" s="227">
        <f t="shared" si="73"/>
        <v>3.0572758531512974</v>
      </c>
      <c r="K215" s="227">
        <f t="shared" si="96"/>
        <v>1140.9742761879713</v>
      </c>
      <c r="L215" s="227">
        <f t="shared" si="86"/>
        <v>7168.9528080141245</v>
      </c>
      <c r="M215" s="227">
        <f t="shared" si="74"/>
        <v>4653.2814104131285</v>
      </c>
      <c r="N215" s="227">
        <f>SQRT((ABS(AC215)-171.5+'Small Signal'!C$59)^2)</f>
        <v>48.149364938585165</v>
      </c>
      <c r="O215" s="227">
        <f t="shared" si="87"/>
        <v>94.775993510468965</v>
      </c>
      <c r="P215" s="227">
        <f t="shared" si="88"/>
        <v>11.985650275153143</v>
      </c>
      <c r="Q215" s="227">
        <f t="shared" si="89"/>
        <v>1140.9742761879713</v>
      </c>
      <c r="R215" s="227" t="str">
        <f t="shared" si="75"/>
        <v>0.0878666666666667+0.0336940781976664i</v>
      </c>
      <c r="S215" s="227" t="str">
        <f t="shared" si="76"/>
        <v>0.0085-5.3421850256306i</v>
      </c>
      <c r="T215" s="227" t="str">
        <f t="shared" si="77"/>
        <v>1.87404089417035-4.57444949609794i</v>
      </c>
      <c r="U215" s="227" t="str">
        <f t="shared" si="78"/>
        <v>78.6127458407786-33.3470797966289i</v>
      </c>
      <c r="V215" s="227">
        <f t="shared" si="90"/>
        <v>38.628461561003704</v>
      </c>
      <c r="W215" s="227">
        <f t="shared" si="91"/>
        <v>-22.986380698515404</v>
      </c>
      <c r="X215" s="227" t="str">
        <f t="shared" si="79"/>
        <v>0.999990742596985-0.000895986715257785i</v>
      </c>
      <c r="Y215" s="227" t="str">
        <f t="shared" si="80"/>
        <v>88.4542065253848+53.0537500206596i</v>
      </c>
      <c r="Z215" s="227" t="str">
        <f t="shared" si="81"/>
        <v>46.087421186788+27.5865516222226i</v>
      </c>
      <c r="AA215" s="227" t="str">
        <f t="shared" si="82"/>
        <v>7.29595835393313-9.80635365489083i</v>
      </c>
      <c r="AB215" s="227">
        <f t="shared" si="92"/>
        <v>21.743377495769526</v>
      </c>
      <c r="AC215" s="227">
        <f t="shared" si="93"/>
        <v>-53.350635061414842</v>
      </c>
      <c r="AD215" s="229">
        <f t="shared" si="94"/>
        <v>-9.757727220616383</v>
      </c>
      <c r="AE215" s="229">
        <f t="shared" si="95"/>
        <v>148.1266285718838</v>
      </c>
      <c r="AF215" s="227">
        <f t="shared" si="83"/>
        <v>11.985650275153143</v>
      </c>
      <c r="AG215" s="227">
        <f t="shared" si="84"/>
        <v>94.775993510468965</v>
      </c>
      <c r="AH215" s="229" t="str">
        <f t="shared" si="85"/>
        <v>0.276141968292966-0.171705226578949i</v>
      </c>
    </row>
    <row r="216" spans="9:34" x14ac:dyDescent="0.2">
      <c r="I216" s="227">
        <v>212</v>
      </c>
      <c r="J216" s="227">
        <f t="shared" si="73"/>
        <v>3.0670259756780807</v>
      </c>
      <c r="K216" s="227">
        <f t="shared" si="96"/>
        <v>1166.8794074420862</v>
      </c>
      <c r="L216" s="227">
        <f t="shared" si="86"/>
        <v>7331.7195480905375</v>
      </c>
      <c r="M216" s="227">
        <f t="shared" si="74"/>
        <v>4626.7881188128104</v>
      </c>
      <c r="N216" s="227">
        <f>SQRT((ABS(AC216)-171.5+'Small Signal'!C$59)^2)</f>
        <v>47.44465933581462</v>
      </c>
      <c r="O216" s="227">
        <f t="shared" si="87"/>
        <v>94.606948406581196</v>
      </c>
      <c r="P216" s="227">
        <f t="shared" si="88"/>
        <v>11.820182582353679</v>
      </c>
      <c r="Q216" s="227">
        <f t="shared" si="89"/>
        <v>1166.8794074420862</v>
      </c>
      <c r="R216" s="227" t="str">
        <f t="shared" si="75"/>
        <v>0.0878666666666667+0.0344590818760255i</v>
      </c>
      <c r="S216" s="227" t="str">
        <f t="shared" si="76"/>
        <v>0.0085-5.22358664829178i</v>
      </c>
      <c r="T216" s="227" t="str">
        <f t="shared" si="77"/>
        <v>1.80336689732355-4.50107743679541i</v>
      </c>
      <c r="U216" s="227" t="str">
        <f t="shared" si="78"/>
        <v>78.4434074202564-34.2291235012736i</v>
      </c>
      <c r="V216" s="227">
        <f t="shared" si="90"/>
        <v>38.648076920724073</v>
      </c>
      <c r="W216" s="227">
        <f t="shared" si="91"/>
        <v>-23.574260124809566</v>
      </c>
      <c r="X216" s="227" t="str">
        <f t="shared" si="79"/>
        <v>0.999990317457412-0.000916329552029043i</v>
      </c>
      <c r="Y216" s="227" t="str">
        <f t="shared" si="80"/>
        <v>89.7574895509646+54.0729907543856i</v>
      </c>
      <c r="Z216" s="227" t="str">
        <f t="shared" si="81"/>
        <v>46.7671363942231+28.1157519012126i</v>
      </c>
      <c r="AA216" s="227" t="str">
        <f t="shared" si="82"/>
        <v>7.08020897761777-9.76489184296346i</v>
      </c>
      <c r="AB216" s="227">
        <f t="shared" si="92"/>
        <v>21.628106714797202</v>
      </c>
      <c r="AC216" s="227">
        <f t="shared" si="93"/>
        <v>-54.05534066418538</v>
      </c>
      <c r="AD216" s="229">
        <f t="shared" si="94"/>
        <v>-9.8079241324435227</v>
      </c>
      <c r="AE216" s="229">
        <f t="shared" si="95"/>
        <v>148.66228907076658</v>
      </c>
      <c r="AF216" s="227">
        <f t="shared" si="83"/>
        <v>11.820182582353679</v>
      </c>
      <c r="AG216" s="227">
        <f t="shared" si="84"/>
        <v>94.606948406581196</v>
      </c>
      <c r="AH216" s="229" t="str">
        <f t="shared" si="85"/>
        <v>0.276134716503886-0.168141572435952i</v>
      </c>
    </row>
    <row r="217" spans="9:34" x14ac:dyDescent="0.2">
      <c r="I217" s="227">
        <v>213</v>
      </c>
      <c r="J217" s="227">
        <f t="shared" si="73"/>
        <v>3.0767760982048644</v>
      </c>
      <c r="K217" s="227">
        <f t="shared" si="96"/>
        <v>1193.3726990424052</v>
      </c>
      <c r="L217" s="227">
        <f t="shared" si="86"/>
        <v>7498.1818086124867</v>
      </c>
      <c r="M217" s="227">
        <f t="shared" si="74"/>
        <v>4599.6933130411535</v>
      </c>
      <c r="N217" s="227">
        <f>SQRT((ABS(AC217)-171.5+'Small Signal'!C$59)^2)</f>
        <v>46.741127273674039</v>
      </c>
      <c r="O217" s="227">
        <f t="shared" si="87"/>
        <v>94.432288857577873</v>
      </c>
      <c r="P217" s="227">
        <f t="shared" si="88"/>
        <v>11.654292049353097</v>
      </c>
      <c r="Q217" s="227">
        <f t="shared" si="89"/>
        <v>1193.3726990424052</v>
      </c>
      <c r="R217" s="227" t="str">
        <f t="shared" si="75"/>
        <v>0.0878666666666667+0.0352414545004787i</v>
      </c>
      <c r="S217" s="227" t="str">
        <f t="shared" si="76"/>
        <v>0.0085-5.1076211964394i</v>
      </c>
      <c r="T217" s="227" t="str">
        <f t="shared" si="77"/>
        <v>1.73495820375535-4.42782533581643i</v>
      </c>
      <c r="U217" s="227" t="str">
        <f t="shared" si="78"/>
        <v>78.2602093341621-35.1390867095935i</v>
      </c>
      <c r="V217" s="227">
        <f t="shared" si="90"/>
        <v>38.668433396534297</v>
      </c>
      <c r="W217" s="227">
        <f t="shared" si="91"/>
        <v>-24.180234251568706</v>
      </c>
      <c r="X217" s="227" t="str">
        <f t="shared" si="79"/>
        <v>0.999989872793608-0.000937134260612522i</v>
      </c>
      <c r="Y217" s="227" t="str">
        <f t="shared" si="80"/>
        <v>91.1276794030471+55.0975197670544i</v>
      </c>
      <c r="Z217" s="227" t="str">
        <f t="shared" si="81"/>
        <v>47.4817293299699+28.6476228788685i</v>
      </c>
      <c r="AA217" s="227" t="str">
        <f t="shared" si="82"/>
        <v>6.86638359157811-9.71890097615014i</v>
      </c>
      <c r="AB217" s="227">
        <f t="shared" si="92"/>
        <v>21.510763182163441</v>
      </c>
      <c r="AC217" s="227">
        <f t="shared" si="93"/>
        <v>-54.758872726325968</v>
      </c>
      <c r="AD217" s="229">
        <f t="shared" si="94"/>
        <v>-9.8564711328103431</v>
      </c>
      <c r="AE217" s="229">
        <f t="shared" si="95"/>
        <v>149.19116158390383</v>
      </c>
      <c r="AF217" s="227">
        <f t="shared" si="83"/>
        <v>11.654292049353097</v>
      </c>
      <c r="AG217" s="227">
        <f t="shared" si="84"/>
        <v>94.432288857577873</v>
      </c>
      <c r="AH217" s="229" t="str">
        <f t="shared" si="85"/>
        <v>0.276127326410939-0.164662659675794i</v>
      </c>
    </row>
    <row r="218" spans="9:34" x14ac:dyDescent="0.2">
      <c r="I218" s="227">
        <v>214</v>
      </c>
      <c r="J218" s="227">
        <f t="shared" si="73"/>
        <v>3.0865262207316477</v>
      </c>
      <c r="K218" s="227">
        <f t="shared" si="96"/>
        <v>1220.4675048140618</v>
      </c>
      <c r="L218" s="227">
        <f t="shared" si="86"/>
        <v>7668.4234941378445</v>
      </c>
      <c r="M218" s="227">
        <f t="shared" si="74"/>
        <v>4571.983336082495</v>
      </c>
      <c r="N218" s="227">
        <f>SQRT((ABS(AC218)-171.5+'Small Signal'!C$59)^2)</f>
        <v>46.039020889126547</v>
      </c>
      <c r="O218" s="227">
        <f t="shared" si="87"/>
        <v>94.252114997164497</v>
      </c>
      <c r="P218" s="227">
        <f t="shared" si="88"/>
        <v>11.487962653310143</v>
      </c>
      <c r="Q218" s="227">
        <f t="shared" si="89"/>
        <v>1220.4675048140618</v>
      </c>
      <c r="R218" s="227" t="str">
        <f t="shared" si="75"/>
        <v>0.0878666666666667+0.0360415904224479i</v>
      </c>
      <c r="S218" s="227" t="str">
        <f t="shared" si="76"/>
        <v>0.0085-4.9942302182062i</v>
      </c>
      <c r="T218" s="227" t="str">
        <f t="shared" si="77"/>
        <v>1.66877329355335-4.35475946737151i</v>
      </c>
      <c r="U218" s="227" t="str">
        <f t="shared" si="78"/>
        <v>78.0618869872714-36.0780189288873i</v>
      </c>
      <c r="V218" s="227">
        <f t="shared" si="90"/>
        <v>38.689547187852369</v>
      </c>
      <c r="W218" s="227">
        <f t="shared" si="91"/>
        <v>-24.805058261936434</v>
      </c>
      <c r="X218" s="227" t="str">
        <f t="shared" si="79"/>
        <v>0.99998940770894-0.00095841132752853i</v>
      </c>
      <c r="Y218" s="227" t="str">
        <f t="shared" si="80"/>
        <v>92.5683582912356+56.125589707043i</v>
      </c>
      <c r="Z218" s="227" t="str">
        <f t="shared" si="81"/>
        <v>48.2330656468701+29.1812491024813i</v>
      </c>
      <c r="AA218" s="227" t="str">
        <f t="shared" si="82"/>
        <v>6.65466907882104-9.66849073794585i</v>
      </c>
      <c r="AB218" s="227">
        <f t="shared" si="92"/>
        <v>21.391367960701007</v>
      </c>
      <c r="AC218" s="227">
        <f t="shared" si="93"/>
        <v>-55.460979110873453</v>
      </c>
      <c r="AD218" s="229">
        <f t="shared" si="94"/>
        <v>-9.9034053073908641</v>
      </c>
      <c r="AE218" s="229">
        <f t="shared" si="95"/>
        <v>149.71309410803795</v>
      </c>
      <c r="AF218" s="227">
        <f t="shared" si="83"/>
        <v>11.487962653310143</v>
      </c>
      <c r="AG218" s="227">
        <f t="shared" si="84"/>
        <v>94.252114997164497</v>
      </c>
      <c r="AH218" s="229" t="str">
        <f t="shared" si="85"/>
        <v>0.276119783140106-0.16126673410553i</v>
      </c>
    </row>
    <row r="219" spans="9:34" x14ac:dyDescent="0.2">
      <c r="I219" s="227">
        <v>215</v>
      </c>
      <c r="J219" s="227">
        <f t="shared" si="73"/>
        <v>3.096276343258431</v>
      </c>
      <c r="K219" s="227">
        <f t="shared" si="96"/>
        <v>1248.1774817727201</v>
      </c>
      <c r="L219" s="227">
        <f t="shared" si="86"/>
        <v>7842.5304142267705</v>
      </c>
      <c r="M219" s="227">
        <f t="shared" si="74"/>
        <v>4543.6442208468907</v>
      </c>
      <c r="N219" s="227">
        <f>SQRT((ABS(AC219)-171.5+'Small Signal'!C$59)^2)</f>
        <v>45.338584162983238</v>
      </c>
      <c r="O219" s="227">
        <f t="shared" si="87"/>
        <v>94.066529473143675</v>
      </c>
      <c r="P219" s="227">
        <f t="shared" si="88"/>
        <v>11.321179861672293</v>
      </c>
      <c r="Q219" s="227">
        <f t="shared" si="89"/>
        <v>1248.1774817727201</v>
      </c>
      <c r="R219" s="227" t="str">
        <f t="shared" si="75"/>
        <v>0.0878666666666667+0.0368598929468658i</v>
      </c>
      <c r="S219" s="227" t="str">
        <f t="shared" si="76"/>
        <v>0.0085-4.88335655937671i</v>
      </c>
      <c r="T219" s="227" t="str">
        <f t="shared" si="77"/>
        <v>1.60476896535915-4.28194259258238i</v>
      </c>
      <c r="U219" s="227" t="str">
        <f t="shared" si="78"/>
        <v>77.8470521222964-37.0469995815283i</v>
      </c>
      <c r="V219" s="227">
        <f t="shared" si="90"/>
        <v>38.711433145721308</v>
      </c>
      <c r="W219" s="227">
        <f t="shared" si="91"/>
        <v>-25.449529270035811</v>
      </c>
      <c r="X219" s="227" t="str">
        <f t="shared" si="79"/>
        <v>0.999988921265593-0.000980171477387479i</v>
      </c>
      <c r="Y219" s="227" t="str">
        <f t="shared" si="80"/>
        <v>94.0832922941812+57.1552047274052i</v>
      </c>
      <c r="Z219" s="227" t="str">
        <f t="shared" si="81"/>
        <v>49.0231065664363+29.7155853162424i</v>
      </c>
      <c r="AA219" s="227" t="str">
        <f t="shared" si="82"/>
        <v>6.44524444197831-9.61377991540907i</v>
      </c>
      <c r="AB219" s="227">
        <f t="shared" si="92"/>
        <v>21.269943963302627</v>
      </c>
      <c r="AC219" s="227">
        <f t="shared" si="93"/>
        <v>-56.161415837016762</v>
      </c>
      <c r="AD219" s="229">
        <f t="shared" si="94"/>
        <v>-9.9487641016303332</v>
      </c>
      <c r="AE219" s="229">
        <f t="shared" si="95"/>
        <v>150.22794531016044</v>
      </c>
      <c r="AF219" s="227">
        <f t="shared" si="83"/>
        <v>11.321179861672293</v>
      </c>
      <c r="AG219" s="227">
        <f t="shared" si="84"/>
        <v>94.066529473143675</v>
      </c>
      <c r="AH219" s="229" t="str">
        <f t="shared" si="85"/>
        <v>0.276112071511091-0.157952083314956i</v>
      </c>
    </row>
    <row r="220" spans="9:34" x14ac:dyDescent="0.2">
      <c r="I220" s="227">
        <v>216</v>
      </c>
      <c r="J220" s="227">
        <f t="shared" si="73"/>
        <v>3.1060264657852144</v>
      </c>
      <c r="K220" s="227">
        <f t="shared" si="96"/>
        <v>1276.5165970083247</v>
      </c>
      <c r="L220" s="227">
        <f t="shared" si="86"/>
        <v>8020.5903266935902</v>
      </c>
      <c r="M220" s="227">
        <f t="shared" si="74"/>
        <v>4514.6616831300553</v>
      </c>
      <c r="N220" s="227">
        <f>SQRT((ABS(AC220)-171.5+'Small Signal'!C$59)^2)</f>
        <v>44.64005233940577</v>
      </c>
      <c r="O220" s="227">
        <f t="shared" si="87"/>
        <v>93.875636747692624</v>
      </c>
      <c r="P220" s="227">
        <f t="shared" si="88"/>
        <v>11.15393064412148</v>
      </c>
      <c r="Q220" s="227">
        <f t="shared" si="89"/>
        <v>1276.5165970083247</v>
      </c>
      <c r="R220" s="227" t="str">
        <f t="shared" si="75"/>
        <v>0.0878666666666667+0.0376967745354599i</v>
      </c>
      <c r="S220" s="227" t="str">
        <f t="shared" si="76"/>
        <v>0.0085-4.77494433457911i</v>
      </c>
      <c r="T220" s="227" t="str">
        <f t="shared" si="77"/>
        <v>1.54290056674009-4.20943399014995i</v>
      </c>
      <c r="U220" s="227" t="str">
        <f t="shared" si="78"/>
        <v>77.6141804359493-38.0471351413648i</v>
      </c>
      <c r="V220" s="227">
        <f t="shared" si="90"/>
        <v>38.734104453877848</v>
      </c>
      <c r="W220" s="227">
        <f t="shared" si="91"/>
        <v>-26.114488929259792</v>
      </c>
      <c r="X220" s="227" t="str">
        <f t="shared" si="79"/>
        <v>0.999988412482685-0.00100242567829558i</v>
      </c>
      <c r="Y220" s="227" t="str">
        <f t="shared" si="80"/>
        <v>95.676436203257+58.1840905840543i</v>
      </c>
      <c r="Z220" s="227" t="str">
        <f t="shared" si="81"/>
        <v>49.8539113665555+30.2494408629042i</v>
      </c>
      <c r="AA220" s="227" t="str">
        <f t="shared" si="82"/>
        <v>6.23828027101842-9.55489573856422i</v>
      </c>
      <c r="AB220" s="227">
        <f t="shared" si="92"/>
        <v>21.1465158758261</v>
      </c>
      <c r="AC220" s="227">
        <f t="shared" si="93"/>
        <v>-56.859947660594237</v>
      </c>
      <c r="AD220" s="229">
        <f t="shared" si="94"/>
        <v>-9.99258523170462</v>
      </c>
      <c r="AE220" s="229">
        <f t="shared" si="95"/>
        <v>150.73558440828685</v>
      </c>
      <c r="AF220" s="227">
        <f t="shared" si="83"/>
        <v>11.15393064412148</v>
      </c>
      <c r="AG220" s="227">
        <f t="shared" si="84"/>
        <v>93.875636747692624</v>
      </c>
      <c r="AH220" s="229" t="str">
        <f t="shared" si="85"/>
        <v>0.276104176006952-0.154717035810282i</v>
      </c>
    </row>
    <row r="221" spans="9:34" x14ac:dyDescent="0.2">
      <c r="I221" s="227">
        <v>217</v>
      </c>
      <c r="J221" s="227">
        <f t="shared" si="73"/>
        <v>3.1157765883119977</v>
      </c>
      <c r="K221" s="227">
        <f t="shared" si="96"/>
        <v>1305.4991347251598</v>
      </c>
      <c r="L221" s="227">
        <f t="shared" si="86"/>
        <v>8202.692981840788</v>
      </c>
      <c r="M221" s="227">
        <f t="shared" si="74"/>
        <v>4485.0211144134864</v>
      </c>
      <c r="N221" s="227">
        <f>SQRT((ABS(AC221)-171.5+'Small Signal'!C$59)^2)</f>
        <v>43.943651389061785</v>
      </c>
      <c r="O221" s="227">
        <f t="shared" si="87"/>
        <v>93.679542407994546</v>
      </c>
      <c r="P221" s="227">
        <f t="shared" si="88"/>
        <v>10.986203476474591</v>
      </c>
      <c r="Q221" s="227">
        <f t="shared" si="89"/>
        <v>1305.4991347251598</v>
      </c>
      <c r="R221" s="227" t="str">
        <f t="shared" si="75"/>
        <v>0.0878666666666667+0.0385526570146517i</v>
      </c>
      <c r="S221" s="227" t="str">
        <f t="shared" si="76"/>
        <v>0.0085-4.6689388991164i</v>
      </c>
      <c r="T221" s="227" t="str">
        <f t="shared" si="77"/>
        <v>1.48312221370681-4.1372894996641i</v>
      </c>
      <c r="U221" s="227" t="str">
        <f t="shared" si="78"/>
        <v>77.361598022188-39.0795552656318i</v>
      </c>
      <c r="V221" s="227">
        <f t="shared" si="90"/>
        <v>38.757572262616101</v>
      </c>
      <c r="W221" s="227">
        <f t="shared" si="91"/>
        <v>-26.80082617329106</v>
      </c>
      <c r="X221" s="227" t="str">
        <f t="shared" si="79"/>
        <v>0.999987880334288-0.00102518514738326i</v>
      </c>
      <c r="Y221" s="227" t="str">
        <f t="shared" si="80"/>
        <v>97.3519372088336+59.2096612683975i</v>
      </c>
      <c r="Z221" s="227" t="str">
        <f t="shared" si="81"/>
        <v>50.7276392612311+30.7814622798311i</v>
      </c>
      <c r="AA221" s="227" t="str">
        <f t="shared" si="82"/>
        <v>6.03393827423183-9.49197318696358i</v>
      </c>
      <c r="AB221" s="227">
        <f t="shared" si="92"/>
        <v>21.021110075213997</v>
      </c>
      <c r="AC221" s="227">
        <f t="shared" si="93"/>
        <v>-57.556348610938215</v>
      </c>
      <c r="AD221" s="229">
        <f t="shared" si="94"/>
        <v>-10.034906598739406</v>
      </c>
      <c r="AE221" s="229">
        <f t="shared" si="95"/>
        <v>151.23589101893276</v>
      </c>
      <c r="AF221" s="227">
        <f t="shared" si="83"/>
        <v>10.986203476474591</v>
      </c>
      <c r="AG221" s="227">
        <f t="shared" si="84"/>
        <v>93.679542407994546</v>
      </c>
      <c r="AH221" s="229" t="str">
        <f t="shared" si="85"/>
        <v>0.276096080743069-0.151559960168189i</v>
      </c>
    </row>
    <row r="222" spans="9:34" x14ac:dyDescent="0.2">
      <c r="I222" s="227">
        <v>218</v>
      </c>
      <c r="J222" s="227">
        <f t="shared" si="73"/>
        <v>3.125526710838781</v>
      </c>
      <c r="K222" s="227">
        <f t="shared" si="96"/>
        <v>1335.1397034417289</v>
      </c>
      <c r="L222" s="227">
        <f t="shared" si="86"/>
        <v>8388.9301676971809</v>
      </c>
      <c r="M222" s="227">
        <f t="shared" si="74"/>
        <v>4454.7075745010943</v>
      </c>
      <c r="N222" s="227">
        <f>SQRT((ABS(AC222)-171.5+'Small Signal'!C$59)^2)</f>
        <v>43.249597517858689</v>
      </c>
      <c r="O222" s="227">
        <f t="shared" si="87"/>
        <v>93.478352491729964</v>
      </c>
      <c r="P222" s="227">
        <f t="shared" si="88"/>
        <v>10.817988336905835</v>
      </c>
      <c r="Q222" s="227">
        <f t="shared" si="89"/>
        <v>1335.1397034417289</v>
      </c>
      <c r="R222" s="227" t="str">
        <f t="shared" si="75"/>
        <v>0.0878666666666667+0.0394279717881768i</v>
      </c>
      <c r="S222" s="227" t="str">
        <f t="shared" si="76"/>
        <v>0.0085-4.56528682142297i</v>
      </c>
      <c r="T222" s="227" t="str">
        <f t="shared" si="77"/>
        <v>1.42538699900801-4.06556157621905i</v>
      </c>
      <c r="U222" s="227" t="str">
        <f t="shared" si="78"/>
        <v>77.087466562462-40.1454077149276i</v>
      </c>
      <c r="V222" s="227">
        <f t="shared" si="90"/>
        <v>38.78184526917299</v>
      </c>
      <c r="W222" s="227">
        <f t="shared" si="91"/>
        <v>-27.509480086154458</v>
      </c>
      <c r="X222" s="227" t="str">
        <f t="shared" si="79"/>
        <v>0.999987323747359-0.00104846135645912i</v>
      </c>
      <c r="Y222" s="227" t="str">
        <f t="shared" si="80"/>
        <v>99.114137047231+60.228981813693i</v>
      </c>
      <c r="Z222" s="227" t="str">
        <f t="shared" si="81"/>
        <v>51.6465504727499+31.3101139018304i</v>
      </c>
      <c r="AA222" s="227" t="str">
        <f t="shared" si="82"/>
        <v>5.83237087433784-9.42515427013191i</v>
      </c>
      <c r="AB222" s="227">
        <f t="shared" si="92"/>
        <v>20.893754543460787</v>
      </c>
      <c r="AC222" s="227">
        <f t="shared" si="93"/>
        <v>-58.250402482141304</v>
      </c>
      <c r="AD222" s="229">
        <f t="shared" si="94"/>
        <v>-10.075766206554952</v>
      </c>
      <c r="AE222" s="229">
        <f t="shared" si="95"/>
        <v>151.72875497387128</v>
      </c>
      <c r="AF222" s="227">
        <f t="shared" si="83"/>
        <v>10.817988336905835</v>
      </c>
      <c r="AG222" s="227">
        <f t="shared" si="84"/>
        <v>93.478352491729964</v>
      </c>
      <c r="AH222" s="229" t="str">
        <f t="shared" si="85"/>
        <v>0.276087769435423-0.14847926420985i</v>
      </c>
    </row>
    <row r="223" spans="9:34" x14ac:dyDescent="0.2">
      <c r="I223" s="227">
        <v>219</v>
      </c>
      <c r="J223" s="227">
        <f t="shared" si="73"/>
        <v>3.1352768333655643</v>
      </c>
      <c r="K223" s="227">
        <f t="shared" si="96"/>
        <v>1365.4532433541208</v>
      </c>
      <c r="L223" s="227">
        <f t="shared" si="86"/>
        <v>8579.3957562833239</v>
      </c>
      <c r="M223" s="227">
        <f t="shared" si="74"/>
        <v>4423.7057839886666</v>
      </c>
      <c r="N223" s="227">
        <f>SQRT((ABS(AC223)-171.5+'Small Signal'!C$59)^2)</f>
        <v>42.558096722736138</v>
      </c>
      <c r="O223" s="227">
        <f t="shared" si="87"/>
        <v>93.272172831539052</v>
      </c>
      <c r="P223" s="227">
        <f t="shared" si="88"/>
        <v>10.649276694914089</v>
      </c>
      <c r="Q223" s="227">
        <f t="shared" si="89"/>
        <v>1365.4532433541208</v>
      </c>
      <c r="R223" s="227" t="str">
        <f t="shared" si="75"/>
        <v>0.0878666666666667+0.0403231600545316i</v>
      </c>
      <c r="S223" s="227" t="str">
        <f t="shared" si="76"/>
        <v>0.0085-4.46393585613266i</v>
      </c>
      <c r="T223" s="227" t="str">
        <f t="shared" si="77"/>
        <v>1.36964718895765-3.99429935504148i</v>
      </c>
      <c r="U223" s="227" t="str">
        <f t="shared" si="78"/>
        <v>76.7897671877852-41.2458518168869i</v>
      </c>
      <c r="V223" s="227">
        <f t="shared" si="90"/>
        <v>38.806929237601771</v>
      </c>
      <c r="W223" s="227">
        <f t="shared" si="91"/>
        <v>-28.241442894247449</v>
      </c>
      <c r="X223" s="227" t="str">
        <f t="shared" si="79"/>
        <v>0.999986741599575-0.00107226603779224i</v>
      </c>
      <c r="Y223" s="227" t="str">
        <f t="shared" si="80"/>
        <v>100.967572141258+61.2387268922666i</v>
      </c>
      <c r="Z223" s="227" t="str">
        <f t="shared" si="81"/>
        <v>52.6130062522231+31.833656271721i</v>
      </c>
      <c r="AA223" s="227" t="str">
        <f t="shared" si="82"/>
        <v>5.63372087078405-9.35458728865337i</v>
      </c>
      <c r="AB223" s="227">
        <f t="shared" si="92"/>
        <v>20.764478778076306</v>
      </c>
      <c r="AC223" s="227">
        <f t="shared" si="93"/>
        <v>-58.941903277263869</v>
      </c>
      <c r="AD223" s="229">
        <f t="shared" si="94"/>
        <v>-10.115202083162217</v>
      </c>
      <c r="AE223" s="229">
        <f t="shared" si="95"/>
        <v>152.21407610880291</v>
      </c>
      <c r="AF223" s="227">
        <f t="shared" si="83"/>
        <v>10.649276694914089</v>
      </c>
      <c r="AG223" s="227">
        <f t="shared" si="84"/>
        <v>93.272172831539052</v>
      </c>
      <c r="AH223" s="229" t="str">
        <f t="shared" si="85"/>
        <v>0.276079225368065-0.145473394194473i</v>
      </c>
    </row>
    <row r="224" spans="9:34" x14ac:dyDescent="0.2">
      <c r="I224" s="227">
        <v>220</v>
      </c>
      <c r="J224" s="227">
        <f t="shared" si="73"/>
        <v>3.1450269558923485</v>
      </c>
      <c r="K224" s="227">
        <f t="shared" si="96"/>
        <v>1396.4550338665483</v>
      </c>
      <c r="L224" s="227">
        <f t="shared" si="86"/>
        <v>8774.1857509272686</v>
      </c>
      <c r="M224" s="227">
        <f t="shared" si="74"/>
        <v>4392.0001165623653</v>
      </c>
      <c r="N224" s="227">
        <f>SQRT((ABS(AC224)-171.5+'Small Signal'!C$59)^2)</f>
        <v>41.869344395566571</v>
      </c>
      <c r="O224" s="227">
        <f t="shared" si="87"/>
        <v>93.061108422164779</v>
      </c>
      <c r="P224" s="227">
        <f t="shared" si="88"/>
        <v>10.480061493507881</v>
      </c>
      <c r="Q224" s="227">
        <f t="shared" si="89"/>
        <v>1396.4550338665483</v>
      </c>
      <c r="R224" s="227" t="str">
        <f t="shared" si="75"/>
        <v>0.0878666666666667+0.0412386730293582i</v>
      </c>
      <c r="S224" s="227" t="str">
        <f t="shared" si="76"/>
        <v>0.0085-4.36483491774472i</v>
      </c>
      <c r="T224" s="227" t="str">
        <f t="shared" si="77"/>
        <v>1.31585440866185-3.92354872488827i</v>
      </c>
      <c r="U224" s="227" t="str">
        <f t="shared" si="78"/>
        <v>76.4662829467773-42.3820501865857i</v>
      </c>
      <c r="V224" s="227">
        <f t="shared" si="90"/>
        <v>38.832826450268676</v>
      </c>
      <c r="W224" s="227">
        <f t="shared" si="91"/>
        <v>-28.997763069045394</v>
      </c>
      <c r="X224" s="227" t="str">
        <f t="shared" si="79"/>
        <v>0.999986132717073-0.00109661119002577i</v>
      </c>
      <c r="Y224" s="227" t="str">
        <f t="shared" si="80"/>
        <v>102.916971165829+62.2351348028798i</v>
      </c>
      <c r="Z224" s="227" t="str">
        <f t="shared" si="81"/>
        <v>53.6294675515425+32.3501221504252i</v>
      </c>
      <c r="AA224" s="227" t="str">
        <f t="shared" si="82"/>
        <v>5.43812116855084-9.28042608259646i</v>
      </c>
      <c r="AB224" s="227">
        <f t="shared" si="92"/>
        <v>20.633313699699713</v>
      </c>
      <c r="AC224" s="227">
        <f t="shared" si="93"/>
        <v>-59.630655604433429</v>
      </c>
      <c r="AD224" s="229">
        <f t="shared" si="94"/>
        <v>-10.153252206191832</v>
      </c>
      <c r="AE224" s="229">
        <f t="shared" si="95"/>
        <v>152.69176402659821</v>
      </c>
      <c r="AF224" s="227">
        <f t="shared" si="83"/>
        <v>10.480061493507881</v>
      </c>
      <c r="AG224" s="227">
        <f t="shared" si="84"/>
        <v>93.061108422164779</v>
      </c>
      <c r="AH224" s="229" t="str">
        <f t="shared" si="85"/>
        <v>0.276070431359764-0.142540834031946i</v>
      </c>
    </row>
    <row r="225" spans="9:34" x14ac:dyDescent="0.2">
      <c r="I225" s="227">
        <v>221</v>
      </c>
      <c r="J225" s="227">
        <f t="shared" si="73"/>
        <v>3.1547770784191318</v>
      </c>
      <c r="K225" s="227">
        <f t="shared" si="96"/>
        <v>1428.1607012928498</v>
      </c>
      <c r="L225" s="227">
        <f t="shared" si="86"/>
        <v>8973.3983346545283</v>
      </c>
      <c r="M225" s="227">
        <f t="shared" si="74"/>
        <v>4359.5745911223294</v>
      </c>
      <c r="N225" s="227">
        <f>SQRT((ABS(AC225)-171.5+'Small Signal'!C$59)^2)</f>
        <v>41.183524975793318</v>
      </c>
      <c r="O225" s="227">
        <f t="shared" si="87"/>
        <v>92.84526281355781</v>
      </c>
      <c r="P225" s="227">
        <f t="shared" si="88"/>
        <v>10.310337125117982</v>
      </c>
      <c r="Q225" s="227">
        <f t="shared" si="89"/>
        <v>1428.1607012928498</v>
      </c>
      <c r="R225" s="227" t="str">
        <f t="shared" si="75"/>
        <v>0.0878666666666667+0.0421749721728763i</v>
      </c>
      <c r="S225" s="227" t="str">
        <f t="shared" si="76"/>
        <v>0.0085-4.26793405487442i</v>
      </c>
      <c r="T225" s="227" t="str">
        <f t="shared" si="77"/>
        <v>1.263959815614-3.85335240902849i</v>
      </c>
      <c r="U225" s="227" t="str">
        <f t="shared" si="78"/>
        <v>76.1145798288773-43.5551583677993i</v>
      </c>
      <c r="V225" s="227">
        <f t="shared" si="90"/>
        <v>38.859535082207302</v>
      </c>
      <c r="W225" s="227">
        <f t="shared" si="91"/>
        <v>-29.779548523812675</v>
      </c>
      <c r="X225" s="227" t="str">
        <f t="shared" si="79"/>
        <v>0.99998549587208-0.00112150908422481i</v>
      </c>
      <c r="Y225" s="227" t="str">
        <f t="shared" si="80"/>
        <v>104.967249349778+63.2139564366129i</v>
      </c>
      <c r="Z225" s="227" t="str">
        <f t="shared" si="81"/>
        <v>54.6984919870147+32.8572899128198i</v>
      </c>
      <c r="AA225" s="227" t="str">
        <f t="shared" si="82"/>
        <v>5.24569457304734-9.20282927382022i</v>
      </c>
      <c r="AB225" s="227">
        <f t="shared" si="92"/>
        <v>20.500291557517439</v>
      </c>
      <c r="AC225" s="227">
        <f t="shared" si="93"/>
        <v>-60.316475024206689</v>
      </c>
      <c r="AD225" s="229">
        <f t="shared" si="94"/>
        <v>-10.189954432399457</v>
      </c>
      <c r="AE225" s="229">
        <f t="shared" si="95"/>
        <v>153.16173783776449</v>
      </c>
      <c r="AF225" s="227">
        <f t="shared" si="83"/>
        <v>10.310337125117982</v>
      </c>
      <c r="AG225" s="227">
        <f t="shared" si="84"/>
        <v>92.84526281355781</v>
      </c>
      <c r="AH225" s="229" t="str">
        <f t="shared" si="85"/>
        <v>0.276061369729737-0.139680104514167i</v>
      </c>
    </row>
    <row r="226" spans="9:34" x14ac:dyDescent="0.2">
      <c r="I226" s="227">
        <v>222</v>
      </c>
      <c r="J226" s="227">
        <f t="shared" si="73"/>
        <v>3.1645272009459151</v>
      </c>
      <c r="K226" s="227">
        <f t="shared" si="96"/>
        <v>1460.586226732886</v>
      </c>
      <c r="L226" s="227">
        <f t="shared" si="86"/>
        <v>9177.1339196769404</v>
      </c>
      <c r="M226" s="227">
        <f t="shared" si="74"/>
        <v>4326.4128637274935</v>
      </c>
      <c r="N226" s="227">
        <f>SQRT((ABS(AC226)-171.5+'Small Signal'!C$59)^2)</f>
        <v>40.500811652008849</v>
      </c>
      <c r="O226" s="227">
        <f t="shared" si="87"/>
        <v>92.62473753277294</v>
      </c>
      <c r="P226" s="227">
        <f t="shared" si="88"/>
        <v>10.140099401782582</v>
      </c>
      <c r="Q226" s="227">
        <f t="shared" si="89"/>
        <v>1460.586226732886</v>
      </c>
      <c r="R226" s="227" t="str">
        <f t="shared" si="75"/>
        <v>0.0878666666666667+0.0431325294224816i</v>
      </c>
      <c r="S226" s="227" t="str">
        <f t="shared" si="76"/>
        <v>0.0085-4.17318442507525i</v>
      </c>
      <c r="T226" s="227" t="str">
        <f t="shared" si="77"/>
        <v>1.213914261717-3.78375005268608i</v>
      </c>
      <c r="U226" s="227" t="str">
        <f t="shared" si="78"/>
        <v>75.7319863145481-44.7663120034793i</v>
      </c>
      <c r="V226" s="227">
        <f t="shared" si="90"/>
        <v>38.887048488601195</v>
      </c>
      <c r="W226" s="227">
        <f t="shared" si="91"/>
        <v>-30.587969880952603</v>
      </c>
      <c r="X226" s="227" t="str">
        <f t="shared" si="79"/>
        <v>0.999984829780439-0.00114697227006156i</v>
      </c>
      <c r="Y226" s="227" t="str">
        <f t="shared" si="80"/>
        <v>107.123498682843+64.1703988090336i</v>
      </c>
      <c r="Z226" s="227" t="str">
        <f t="shared" si="81"/>
        <v>55.8227286608123+33.3526541154609i</v>
      </c>
      <c r="AA226" s="227" t="str">
        <f t="shared" si="82"/>
        <v>5.05655365000006-9.12195950847566i</v>
      </c>
      <c r="AB226" s="227">
        <f t="shared" si="92"/>
        <v>20.365445833133929</v>
      </c>
      <c r="AC226" s="227">
        <f t="shared" si="93"/>
        <v>-60.999188347991144</v>
      </c>
      <c r="AD226" s="229">
        <f t="shared" si="94"/>
        <v>-10.225346431351348</v>
      </c>
      <c r="AE226" s="229">
        <f t="shared" si="95"/>
        <v>153.62392588076409</v>
      </c>
      <c r="AF226" s="227">
        <f t="shared" si="83"/>
        <v>10.140099401782582</v>
      </c>
      <c r="AG226" s="227">
        <f t="shared" si="84"/>
        <v>92.62473753277294</v>
      </c>
      <c r="AH226" s="229" t="str">
        <f t="shared" si="85"/>
        <v>0.276052022262421-0.136889762564654i</v>
      </c>
    </row>
    <row r="227" spans="9:34" x14ac:dyDescent="0.2">
      <c r="I227" s="227">
        <v>223</v>
      </c>
      <c r="J227" s="227">
        <f t="shared" si="73"/>
        <v>3.1742773234726984</v>
      </c>
      <c r="K227" s="227">
        <f t="shared" si="96"/>
        <v>1493.7479541277221</v>
      </c>
      <c r="L227" s="227">
        <f t="shared" si="86"/>
        <v>9385.49519800487</v>
      </c>
      <c r="M227" s="227">
        <f t="shared" si="74"/>
        <v>4292.4982193574851</v>
      </c>
      <c r="N227" s="227">
        <f>SQRT((ABS(AC227)-171.5+'Small Signal'!C$59)^2)</f>
        <v>39.821366112296218</v>
      </c>
      <c r="O227" s="227">
        <f t="shared" si="87"/>
        <v>92.399631537055868</v>
      </c>
      <c r="P227" s="227">
        <f t="shared" si="88"/>
        <v>9.9693455201672148</v>
      </c>
      <c r="Q227" s="227">
        <f t="shared" si="89"/>
        <v>1493.7479541277221</v>
      </c>
      <c r="R227" s="227" t="str">
        <f t="shared" si="75"/>
        <v>0.0878666666666667+0.0441118274306229i</v>
      </c>
      <c r="S227" s="227" t="str">
        <f t="shared" si="76"/>
        <v>0.0085-4.08053827022007i</v>
      </c>
      <c r="T227" s="227" t="str">
        <f t="shared" si="77"/>
        <v>1.16566844387084-3.71477831588558i</v>
      </c>
      <c r="U227" s="227" t="str">
        <f t="shared" si="78"/>
        <v>75.3155714566982-46.0166110807736i</v>
      </c>
      <c r="V227" s="227">
        <f t="shared" si="90"/>
        <v>38.915354394645213</v>
      </c>
      <c r="W227" s="227">
        <f t="shared" si="91"/>
        <v>-31.424263778321759</v>
      </c>
      <c r="X227" s="227" t="str">
        <f t="shared" si="79"/>
        <v>0.999984133099019-0.00117301358214095i</v>
      </c>
      <c r="Y227" s="227" t="str">
        <f t="shared" si="80"/>
        <v>109.390973030008+65.0990627607322i</v>
      </c>
      <c r="Z227" s="227" t="str">
        <f t="shared" si="81"/>
        <v>57.004910319432+33.8333930299684i</v>
      </c>
      <c r="AA227" s="227" t="str">
        <f t="shared" si="82"/>
        <v>4.87080064860148-9.03798270570357i</v>
      </c>
      <c r="AB227" s="227">
        <f t="shared" si="92"/>
        <v>20.228811143526624</v>
      </c>
      <c r="AC227" s="227">
        <f t="shared" si="93"/>
        <v>-61.678633887703782</v>
      </c>
      <c r="AD227" s="229">
        <f t="shared" si="94"/>
        <v>-10.259465623359409</v>
      </c>
      <c r="AE227" s="229">
        <f t="shared" si="95"/>
        <v>154.07826542475965</v>
      </c>
      <c r="AF227" s="227">
        <f t="shared" si="83"/>
        <v>9.9693455201672148</v>
      </c>
      <c r="AG227" s="227">
        <f t="shared" si="84"/>
        <v>92.399631537055868</v>
      </c>
      <c r="AH227" s="229" t="str">
        <f t="shared" si="85"/>
        <v>0.276042370171194-0.134168400506026i</v>
      </c>
    </row>
    <row r="228" spans="9:34" x14ac:dyDescent="0.2">
      <c r="I228" s="227">
        <v>224</v>
      </c>
      <c r="J228" s="227">
        <f t="shared" si="73"/>
        <v>3.1840274459994817</v>
      </c>
      <c r="K228" s="227">
        <f t="shared" si="96"/>
        <v>1527.6625984977304</v>
      </c>
      <c r="L228" s="227">
        <f t="shared" si="86"/>
        <v>9598.5871932087266</v>
      </c>
      <c r="M228" s="227">
        <f t="shared" si="74"/>
        <v>4257.8135634874989</v>
      </c>
      <c r="N228" s="227">
        <f>SQRT((ABS(AC228)-171.5+'Small Signal'!C$59)^2)</f>
        <v>39.145338342771737</v>
      </c>
      <c r="O228" s="227">
        <f t="shared" si="87"/>
        <v>92.170040700064106</v>
      </c>
      <c r="P228" s="227">
        <f t="shared" si="88"/>
        <v>9.7980740220001117</v>
      </c>
      <c r="Q228" s="227">
        <f t="shared" si="89"/>
        <v>1527.6625984977304</v>
      </c>
      <c r="R228" s="227" t="str">
        <f t="shared" si="75"/>
        <v>0.0878666666666667+0.045113359808081i</v>
      </c>
      <c r="S228" s="227" t="str">
        <f t="shared" si="76"/>
        <v>0.0085-3.98994889242892i</v>
      </c>
      <c r="T228" s="227" t="str">
        <f t="shared" si="77"/>
        <v>1.11917304333311-3.64647097071171i</v>
      </c>
      <c r="U228" s="227" t="str">
        <f t="shared" si="78"/>
        <v>74.8621215425881-47.3071007253537i</v>
      </c>
      <c r="V228" s="227">
        <f t="shared" si="90"/>
        <v>38.944433975981184</v>
      </c>
      <c r="W228" s="227">
        <f t="shared" si="91"/>
        <v>-32.289736172584377</v>
      </c>
      <c r="X228" s="227" t="str">
        <f t="shared" si="79"/>
        <v>0.999983404423005-0.00119964614646987i</v>
      </c>
      <c r="Y228" s="227" t="str">
        <f t="shared" si="80"/>
        <v>111.775066960787+65.9938744634204i</v>
      </c>
      <c r="Z228" s="227" t="str">
        <f t="shared" si="81"/>
        <v>58.2478422269203+34.2963329544205i</v>
      </c>
      <c r="AA228" s="227" t="str">
        <f t="shared" si="82"/>
        <v>4.68852748561123-8.95106731816371i</v>
      </c>
      <c r="AB228" s="227">
        <f t="shared" si="92"/>
        <v>20.090423143700068</v>
      </c>
      <c r="AC228" s="227">
        <f t="shared" si="93"/>
        <v>-62.354661657228263</v>
      </c>
      <c r="AD228" s="229">
        <f t="shared" si="94"/>
        <v>-10.292349121699957</v>
      </c>
      <c r="AE228" s="229">
        <f t="shared" si="95"/>
        <v>154.52470235729237</v>
      </c>
      <c r="AF228" s="227">
        <f t="shared" si="83"/>
        <v>9.7980740220001117</v>
      </c>
      <c r="AG228" s="227">
        <f t="shared" si="84"/>
        <v>92.170040700064106</v>
      </c>
      <c r="AH228" s="229" t="str">
        <f t="shared" si="85"/>
        <v>0.276032394060988-0.131514645344976i</v>
      </c>
    </row>
    <row r="229" spans="9:34" x14ac:dyDescent="0.2">
      <c r="I229" s="227">
        <v>225</v>
      </c>
      <c r="J229" s="227">
        <f t="shared" si="73"/>
        <v>3.193777568526265</v>
      </c>
      <c r="K229" s="227">
        <f t="shared" si="96"/>
        <v>1562.347254367716</v>
      </c>
      <c r="L229" s="227">
        <f t="shared" si="86"/>
        <v>9816.5173133556</v>
      </c>
      <c r="M229" s="227">
        <f t="shared" si="74"/>
        <v>4222.3414134718823</v>
      </c>
      <c r="N229" s="227">
        <f>SQRT((ABS(AC229)-171.5+'Small Signal'!C$59)^2)</f>
        <v>38.47286647341673</v>
      </c>
      <c r="O229" s="227">
        <f t="shared" si="87"/>
        <v>91.936057332733185</v>
      </c>
      <c r="P229" s="227">
        <f t="shared" si="88"/>
        <v>9.6262847505071516</v>
      </c>
      <c r="Q229" s="227">
        <f t="shared" si="89"/>
        <v>1562.347254367716</v>
      </c>
      <c r="R229" s="227" t="str">
        <f t="shared" si="75"/>
        <v>0.0878666666666667+0.0461376313727713i</v>
      </c>
      <c r="S229" s="227" t="str">
        <f t="shared" si="76"/>
        <v>0.0085-3.90137063053109i</v>
      </c>
      <c r="T229" s="227" t="str">
        <f t="shared" si="77"/>
        <v>1.07437885411935-3.57885900206257i</v>
      </c>
      <c r="U229" s="227" t="str">
        <f t="shared" si="78"/>
        <v>74.3681154465481-48.6387479418713i</v>
      </c>
      <c r="V229" s="227">
        <f t="shared" si="90"/>
        <v>38.974260816834615</v>
      </c>
      <c r="W229" s="227">
        <f t="shared" si="91"/>
        <v>-33.185765585148424</v>
      </c>
      <c r="X229" s="227" t="str">
        <f t="shared" si="79"/>
        <v>0.99998264228307-0.00122688338707325i</v>
      </c>
      <c r="Y229" s="227" t="str">
        <f t="shared" si="80"/>
        <v>114.281286875927+66.8480104323755i</v>
      </c>
      <c r="Z229" s="227" t="str">
        <f t="shared" si="81"/>
        <v>59.5543870133299+34.737909148548i</v>
      </c>
      <c r="AA229" s="227" t="str">
        <f t="shared" si="82"/>
        <v>4.50981578758967-8.86138360960302i</v>
      </c>
      <c r="AB229" s="227">
        <f t="shared" si="92"/>
        <v>19.950318429626698</v>
      </c>
      <c r="AC229" s="227">
        <f t="shared" si="93"/>
        <v>-63.027133526583263</v>
      </c>
      <c r="AD229" s="229">
        <f t="shared" si="94"/>
        <v>-10.324033679119546</v>
      </c>
      <c r="AE229" s="229">
        <f t="shared" si="95"/>
        <v>154.96319085931646</v>
      </c>
      <c r="AF229" s="227">
        <f t="shared" si="83"/>
        <v>9.6262847505071516</v>
      </c>
      <c r="AG229" s="227">
        <f t="shared" si="84"/>
        <v>91.936057332733185</v>
      </c>
      <c r="AH229" s="229" t="str">
        <f t="shared" si="85"/>
        <v>0.276022073889735-0.128927158074344i</v>
      </c>
    </row>
    <row r="230" spans="9:34" x14ac:dyDescent="0.2">
      <c r="I230" s="227">
        <v>226</v>
      </c>
      <c r="J230" s="227">
        <f t="shared" si="73"/>
        <v>3.2035276910530484</v>
      </c>
      <c r="K230" s="227">
        <f t="shared" si="96"/>
        <v>1597.8194043833332</v>
      </c>
      <c r="L230" s="227">
        <f t="shared" si="86"/>
        <v>10039.395405147798</v>
      </c>
      <c r="M230" s="227">
        <f t="shared" si="74"/>
        <v>4186.0638897320714</v>
      </c>
      <c r="N230" s="227">
        <f>SQRT((ABS(AC230)-171.5+'Small Signal'!C$59)^2)</f>
        <v>37.804076669982777</v>
      </c>
      <c r="O230" s="227">
        <f t="shared" si="87"/>
        <v>91.697769739891356</v>
      </c>
      <c r="P230" s="227">
        <f t="shared" si="88"/>
        <v>9.4539788034306902</v>
      </c>
      <c r="Q230" s="227">
        <f t="shared" si="89"/>
        <v>1597.8194043833332</v>
      </c>
      <c r="R230" s="227" t="str">
        <f t="shared" si="75"/>
        <v>0.0878666666666667+0.0471851584041946i</v>
      </c>
      <c r="S230" s="227" t="str">
        <f t="shared" si="76"/>
        <v>0.0085-3.81475883704987i</v>
      </c>
      <c r="T230" s="227" t="str">
        <f t="shared" si="77"/>
        <v>1.03123690076023-3.51197071104696i</v>
      </c>
      <c r="U230" s="227" t="str">
        <f t="shared" si="78"/>
        <v>73.8296988651529-50.0124136126472i</v>
      </c>
      <c r="V230" s="227">
        <f t="shared" si="90"/>
        <v>39.004799731939499</v>
      </c>
      <c r="W230" s="227">
        <f t="shared" si="91"/>
        <v>-34.113806220949655</v>
      </c>
      <c r="X230" s="227" t="str">
        <f t="shared" si="79"/>
        <v>0.999981845142407-0.00125473903276038i</v>
      </c>
      <c r="Y230" s="227" t="str">
        <f t="shared" si="80"/>
        <v>116.915212755952+67.65381584767i</v>
      </c>
      <c r="Z230" s="227" t="str">
        <f t="shared" si="81"/>
        <v>60.9274446244373+35.1541232918622i</v>
      </c>
      <c r="AA230" s="227" t="str">
        <f t="shared" si="82"/>
        <v>4.334736988006-8.76910295420406i</v>
      </c>
      <c r="AB230" s="227">
        <f t="shared" si="92"/>
        <v>19.808534442034521</v>
      </c>
      <c r="AC230" s="227">
        <f t="shared" si="93"/>
        <v>-63.695923330017223</v>
      </c>
      <c r="AD230" s="229">
        <f t="shared" si="94"/>
        <v>-10.354555638603831</v>
      </c>
      <c r="AE230" s="229">
        <f t="shared" si="95"/>
        <v>155.39369306990858</v>
      </c>
      <c r="AF230" s="227">
        <f t="shared" si="83"/>
        <v>9.4539788034306902</v>
      </c>
      <c r="AG230" s="227">
        <f t="shared" si="84"/>
        <v>91.697769739891356</v>
      </c>
      <c r="AH230" s="229" t="str">
        <f t="shared" si="85"/>
        <v>0.276011388928537-0.12640463299191i</v>
      </c>
    </row>
    <row r="231" spans="9:34" x14ac:dyDescent="0.2">
      <c r="I231" s="227">
        <v>227</v>
      </c>
      <c r="J231" s="227">
        <f t="shared" si="73"/>
        <v>3.2132778135798317</v>
      </c>
      <c r="K231" s="227">
        <f t="shared" si="96"/>
        <v>1634.0969281231435</v>
      </c>
      <c r="L231" s="227">
        <f t="shared" si="86"/>
        <v>10267.333809290631</v>
      </c>
      <c r="M231" s="227">
        <f t="shared" si="74"/>
        <v>4148.962706744489</v>
      </c>
      <c r="N231" s="227">
        <f>SQRT((ABS(AC231)-171.5+'Small Signal'!C$59)^2)</f>
        <v>37.139083070445025</v>
      </c>
      <c r="O231" s="227">
        <f t="shared" si="87"/>
        <v>91.455261813309789</v>
      </c>
      <c r="P231" s="227">
        <f t="shared" si="88"/>
        <v>9.2811584832083263</v>
      </c>
      <c r="Q231" s="227">
        <f t="shared" si="89"/>
        <v>1634.0969281231435</v>
      </c>
      <c r="R231" s="227" t="str">
        <f t="shared" si="75"/>
        <v>0.0878666666666667+0.048256468903666i</v>
      </c>
      <c r="S231" s="227" t="str">
        <f t="shared" si="76"/>
        <v>0.0085-3.73006985569816i</v>
      </c>
      <c r="T231" s="227" t="str">
        <f t="shared" si="77"/>
        <v>0.989698545774267-3.44583182024522i</v>
      </c>
      <c r="U231" s="227" t="str">
        <f t="shared" si="78"/>
        <v>73.2426577330368-51.4288189766589i</v>
      </c>
      <c r="V231" s="227">
        <f t="shared" si="90"/>
        <v>39.03600543738014</v>
      </c>
      <c r="W231" s="227">
        <f t="shared" si="91"/>
        <v>-35.075390871904311</v>
      </c>
      <c r="X231" s="227" t="str">
        <f t="shared" si="79"/>
        <v>0.999981011393632-0.00128322712404489i</v>
      </c>
      <c r="Y231" s="227" t="str">
        <f t="shared" si="80"/>
        <v>119.68244856361+68.4027161387692i</v>
      </c>
      <c r="Z231" s="227" t="str">
        <f t="shared" si="81"/>
        <v>62.3699263465032+35.5404974435556i</v>
      </c>
      <c r="AA231" s="227" t="str">
        <f t="shared" si="82"/>
        <v>4.16335247558728-8.67439716195416i</v>
      </c>
      <c r="AB231" s="227">
        <f t="shared" si="92"/>
        <v>19.665109371565862</v>
      </c>
      <c r="AC231" s="227">
        <f t="shared" si="93"/>
        <v>-64.360916929554975</v>
      </c>
      <c r="AD231" s="229">
        <f t="shared" si="94"/>
        <v>-10.383950888357536</v>
      </c>
      <c r="AE231" s="229">
        <f t="shared" si="95"/>
        <v>155.81617874286476</v>
      </c>
      <c r="AF231" s="227">
        <f t="shared" si="83"/>
        <v>9.2811584832083263</v>
      </c>
      <c r="AG231" s="227">
        <f t="shared" si="84"/>
        <v>91.455261813309789</v>
      </c>
      <c r="AH231" s="229" t="str">
        <f t="shared" si="85"/>
        <v>0.276000317720526-0.123945797035538i</v>
      </c>
    </row>
    <row r="232" spans="9:34" x14ac:dyDescent="0.2">
      <c r="I232" s="227">
        <v>228</v>
      </c>
      <c r="J232" s="227">
        <f t="shared" si="73"/>
        <v>3.223027936106615</v>
      </c>
      <c r="K232" s="227">
        <f t="shared" si="96"/>
        <v>1671.1981111107257</v>
      </c>
      <c r="L232" s="227">
        <f t="shared" si="86"/>
        <v>10500.44741711719</v>
      </c>
      <c r="M232" s="227">
        <f t="shared" si="74"/>
        <v>4111.0191638237884</v>
      </c>
      <c r="N232" s="227">
        <f>SQRT((ABS(AC232)-171.5+'Small Signal'!C$59)^2)</f>
        <v>36.477987764245057</v>
      </c>
      <c r="O232" s="227">
        <f t="shared" si="87"/>
        <v>91.208612661516042</v>
      </c>
      <c r="P232" s="227">
        <f t="shared" si="88"/>
        <v>9.1078272448742226</v>
      </c>
      <c r="Q232" s="227">
        <f t="shared" si="89"/>
        <v>1671.1981111107257</v>
      </c>
      <c r="R232" s="227" t="str">
        <f t="shared" si="75"/>
        <v>0.0878666666666667+0.0493521028604508i</v>
      </c>
      <c r="S232" s="227" t="str">
        <f t="shared" si="76"/>
        <v>0.0085-3.64726099937367i</v>
      </c>
      <c r="T232" s="227" t="str">
        <f t="shared" si="77"/>
        <v>0.949715587248095-3.38046558012172i</v>
      </c>
      <c r="U232" s="227" t="str">
        <f t="shared" si="78"/>
        <v>72.6023912552387-52.8885057180107i</v>
      </c>
      <c r="V232" s="227">
        <f t="shared" si="90"/>
        <v>39.067821054678845</v>
      </c>
      <c r="W232" s="227">
        <f t="shared" si="91"/>
        <v>-36.072133494684564</v>
      </c>
      <c r="X232" s="227" t="str">
        <f t="shared" si="79"/>
        <v>0.999980139355544-0.00131236202022177i</v>
      </c>
      <c r="Y232" s="227" t="str">
        <f t="shared" si="80"/>
        <v>122.588559005787+69.0851220046594i</v>
      </c>
      <c r="Z232" s="227" t="str">
        <f t="shared" si="81"/>
        <v>63.8847217098832+35.8920245968874i</v>
      </c>
      <c r="AA232" s="227" t="str">
        <f t="shared" si="82"/>
        <v>3.99571378998089-8.57743783375395i</v>
      </c>
      <c r="AB232" s="227">
        <f t="shared" si="92"/>
        <v>19.520082065796281</v>
      </c>
      <c r="AC232" s="227">
        <f t="shared" si="93"/>
        <v>-65.022012235754943</v>
      </c>
      <c r="AD232" s="229">
        <f t="shared" si="94"/>
        <v>-10.412254820922058</v>
      </c>
      <c r="AE232" s="229">
        <f t="shared" si="95"/>
        <v>156.23062489727099</v>
      </c>
      <c r="AF232" s="227">
        <f t="shared" si="83"/>
        <v>9.1078272448742226</v>
      </c>
      <c r="AG232" s="227">
        <f t="shared" si="84"/>
        <v>91.208612661516042</v>
      </c>
      <c r="AH232" s="229" t="str">
        <f t="shared" si="85"/>
        <v>0.275988838038318-0.121549409134313i</v>
      </c>
    </row>
    <row r="233" spans="9:34" x14ac:dyDescent="0.2">
      <c r="I233" s="227">
        <v>229</v>
      </c>
      <c r="J233" s="227">
        <f t="shared" si="73"/>
        <v>3.2327780586333987</v>
      </c>
      <c r="K233" s="227">
        <f t="shared" si="96"/>
        <v>1709.1416540314265</v>
      </c>
      <c r="L233" s="227">
        <f t="shared" si="86"/>
        <v>10738.853728498874</v>
      </c>
      <c r="M233" s="227">
        <f t="shared" si="74"/>
        <v>4072.2141356968768</v>
      </c>
      <c r="N233" s="227">
        <f>SQRT((ABS(AC233)-171.5+'Small Signal'!C$59)^2)</f>
        <v>35.820880812329918</v>
      </c>
      <c r="O233" s="227">
        <f t="shared" si="87"/>
        <v>90.957896276338587</v>
      </c>
      <c r="P233" s="227">
        <f t="shared" si="88"/>
        <v>8.9339896422250291</v>
      </c>
      <c r="Q233" s="227">
        <f t="shared" si="89"/>
        <v>1709.1416540314265</v>
      </c>
      <c r="R233" s="227" t="str">
        <f t="shared" si="75"/>
        <v>0.0878666666666667+0.0504726125239447i</v>
      </c>
      <c r="S233" s="227" t="str">
        <f t="shared" si="76"/>
        <v>0.0085-3.56629052864276i</v>
      </c>
      <c r="T233" s="227" t="str">
        <f t="shared" si="77"/>
        <v>0.911240346942649-3.31589287594341i</v>
      </c>
      <c r="U233" s="227" t="str">
        <f t="shared" si="78"/>
        <v>71.9038851676611-54.3917887014415i</v>
      </c>
      <c r="V233" s="227">
        <f t="shared" si="90"/>
        <v>39.100176431919955</v>
      </c>
      <c r="W233" s="227">
        <f t="shared" si="91"/>
        <v>-37.105731326065218</v>
      </c>
      <c r="X233" s="227" t="str">
        <f t="shared" si="79"/>
        <v>0.999979227269735-0.00134215840660512i</v>
      </c>
      <c r="Y233" s="227" t="str">
        <f t="shared" si="80"/>
        <v>125.638990002562+69.6903283434894i</v>
      </c>
      <c r="Z233" s="227" t="str">
        <f t="shared" si="81"/>
        <v>65.474656889067+36.203116078608i</v>
      </c>
      <c r="AA233" s="227" t="str">
        <f t="shared" si="82"/>
        <v>3.83186286057299-8.47839574945033i</v>
      </c>
      <c r="AB233" s="227">
        <f t="shared" si="92"/>
        <v>19.373491938562296</v>
      </c>
      <c r="AC233" s="227">
        <f t="shared" si="93"/>
        <v>-65.679119187670082</v>
      </c>
      <c r="AD233" s="229">
        <f t="shared" si="94"/>
        <v>-10.439502296337267</v>
      </c>
      <c r="AE233" s="229">
        <f t="shared" si="95"/>
        <v>156.63701546400867</v>
      </c>
      <c r="AF233" s="227">
        <f t="shared" si="83"/>
        <v>8.9339896422250291</v>
      </c>
      <c r="AG233" s="227">
        <f t="shared" si="84"/>
        <v>90.957896276338587</v>
      </c>
      <c r="AH233" s="229" t="str">
        <f t="shared" si="85"/>
        <v>0.275976926839953-0.119214259575293i</v>
      </c>
    </row>
    <row r="234" spans="9:34" x14ac:dyDescent="0.2">
      <c r="I234" s="227">
        <v>230</v>
      </c>
      <c r="J234" s="227">
        <f t="shared" si="73"/>
        <v>3.242528181160182</v>
      </c>
      <c r="K234" s="227">
        <f t="shared" si="96"/>
        <v>1747.9466821583385</v>
      </c>
      <c r="L234" s="227">
        <f t="shared" si="86"/>
        <v>10982.672911070578</v>
      </c>
      <c r="M234" s="227">
        <f t="shared" si="74"/>
        <v>4032.5280628628871</v>
      </c>
      <c r="N234" s="227">
        <f>SQRT((ABS(AC234)-171.5+'Small Signal'!C$59)^2)</f>
        <v>35.167840305812348</v>
      </c>
      <c r="O234" s="227">
        <f t="shared" si="87"/>
        <v>90.703181235836752</v>
      </c>
      <c r="P234" s="227">
        <f t="shared" si="88"/>
        <v>8.7596512727726168</v>
      </c>
      <c r="Q234" s="227">
        <f t="shared" si="89"/>
        <v>1747.9466821583385</v>
      </c>
      <c r="R234" s="227" t="str">
        <f t="shared" si="75"/>
        <v>0.0878666666666667+0.0516185626820317i</v>
      </c>
      <c r="S234" s="227" t="str">
        <f t="shared" si="76"/>
        <v>0.0085-3.48711763070182i</v>
      </c>
      <c r="T234" s="227" t="str">
        <f t="shared" si="77"/>
        <v>0.874225749363096-3.25213233462349i</v>
      </c>
      <c r="U234" s="227" t="str">
        <f t="shared" si="78"/>
        <v>71.1416860586435-55.9387003081788i</v>
      </c>
      <c r="V234" s="227">
        <f t="shared" si="90"/>
        <v>39.132986265560483</v>
      </c>
      <c r="W234" s="227">
        <f t="shared" si="91"/>
        <v>-38.177966367867327</v>
      </c>
      <c r="X234" s="227" t="str">
        <f t="shared" si="79"/>
        <v>0.999978273297041-0.00137263130193023i</v>
      </c>
      <c r="Y234" s="227" t="str">
        <f t="shared" si="80"/>
        <v>128.838969828328+70.2064079740402i</v>
      </c>
      <c r="Z234" s="227" t="str">
        <f t="shared" si="81"/>
        <v>67.1424430176651+36.4675462573854i</v>
      </c>
      <c r="AA234" s="227" t="str">
        <f t="shared" si="82"/>
        <v>3.67183228414946-8.37744029144359i</v>
      </c>
      <c r="AB234" s="227">
        <f t="shared" si="92"/>
        <v>19.225378882006247</v>
      </c>
      <c r="AC234" s="227">
        <f t="shared" si="93"/>
        <v>-66.332159694187652</v>
      </c>
      <c r="AD234" s="229">
        <f t="shared" si="94"/>
        <v>-10.46572760923363</v>
      </c>
      <c r="AE234" s="229">
        <f t="shared" si="95"/>
        <v>157.0353409300244</v>
      </c>
      <c r="AF234" s="227">
        <f t="shared" si="83"/>
        <v>8.7596512727726168</v>
      </c>
      <c r="AG234" s="227">
        <f t="shared" si="84"/>
        <v>90.703181235836752</v>
      </c>
      <c r="AH234" s="229" t="str">
        <f t="shared" si="85"/>
        <v>0.275964560223305-0.116939169385548i</v>
      </c>
    </row>
    <row r="235" spans="9:34" x14ac:dyDescent="0.2">
      <c r="I235" s="227">
        <v>231</v>
      </c>
      <c r="J235" s="227">
        <f t="shared" si="73"/>
        <v>3.2522783036869654</v>
      </c>
      <c r="K235" s="227">
        <f t="shared" si="96"/>
        <v>1787.632754992328</v>
      </c>
      <c r="L235" s="227">
        <f t="shared" si="86"/>
        <v>11232.027860800761</v>
      </c>
      <c r="M235" s="227">
        <f t="shared" si="74"/>
        <v>3991.9409417343104</v>
      </c>
      <c r="N235" s="227">
        <f>SQRT((ABS(AC235)-171.5+'Small Signal'!C$59)^2)</f>
        <v>34.518932460934934</v>
      </c>
      <c r="O235" s="227">
        <f t="shared" si="87"/>
        <v>90.444530442987883</v>
      </c>
      <c r="P235" s="227">
        <f t="shared" si="88"/>
        <v>8.5848187219721339</v>
      </c>
      <c r="Q235" s="227">
        <f t="shared" si="89"/>
        <v>1787.632754992328</v>
      </c>
      <c r="R235" s="227" t="str">
        <f t="shared" si="75"/>
        <v>0.0878666666666667+0.0527905309457636i</v>
      </c>
      <c r="S235" s="227" t="str">
        <f t="shared" si="76"/>
        <v>0.0085-3.40970239880577i</v>
      </c>
      <c r="T235" s="227" t="str">
        <f t="shared" si="77"/>
        <v>0.838625392243803-3.18920043097063i</v>
      </c>
      <c r="U235" s="227" t="str">
        <f t="shared" si="78"/>
        <v>70.3098778601715-57.5289252575619i</v>
      </c>
      <c r="V235" s="227">
        <f t="shared" si="90"/>
        <v>39.166148007014826</v>
      </c>
      <c r="W235" s="227">
        <f t="shared" si="91"/>
        <v>-39.290706036975607</v>
      </c>
      <c r="X235" s="227" t="str">
        <f t="shared" si="79"/>
        <v>0.999977275513837-0.00140379606592369i</v>
      </c>
      <c r="Y235" s="227" t="str">
        <f t="shared" si="80"/>
        <v>132.193387494363+70.6201015725891i</v>
      </c>
      <c r="Z235" s="227" t="str">
        <f t="shared" si="81"/>
        <v>68.8906126313091+36.6783953079351i</v>
      </c>
      <c r="AA235" s="227" t="str">
        <f t="shared" si="82"/>
        <v>3.51564563699489-8.27473890598576i</v>
      </c>
      <c r="AB235" s="227">
        <f t="shared" si="92"/>
        <v>19.075783181701681</v>
      </c>
      <c r="AC235" s="227">
        <f t="shared" si="93"/>
        <v>-66.981067539065066</v>
      </c>
      <c r="AD235" s="229">
        <f t="shared" si="94"/>
        <v>-10.490964459729547</v>
      </c>
      <c r="AE235" s="229">
        <f t="shared" si="95"/>
        <v>157.42559798205295</v>
      </c>
      <c r="AF235" s="227">
        <f t="shared" si="83"/>
        <v>8.5848187219721339</v>
      </c>
      <c r="AG235" s="227">
        <f t="shared" si="84"/>
        <v>90.444530442987883</v>
      </c>
      <c r="AH235" s="229" t="str">
        <f t="shared" si="85"/>
        <v>0.275951713378803-0.114722989729117i</v>
      </c>
    </row>
    <row r="236" spans="9:34" x14ac:dyDescent="0.2">
      <c r="I236" s="227">
        <v>232</v>
      </c>
      <c r="J236" s="227">
        <f t="shared" si="73"/>
        <v>3.2620284262137487</v>
      </c>
      <c r="K236" s="227">
        <f t="shared" si="96"/>
        <v>1828.2198761209047</v>
      </c>
      <c r="L236" s="227">
        <f t="shared" si="86"/>
        <v>11487.044263936552</v>
      </c>
      <c r="M236" s="227">
        <f t="shared" si="74"/>
        <v>3950.4323145542803</v>
      </c>
      <c r="N236" s="227">
        <f>SQRT((ABS(AC236)-171.5+'Small Signal'!C$59)^2)</f>
        <v>33.874211747886164</v>
      </c>
      <c r="O236" s="227">
        <f t="shared" si="87"/>
        <v>90.182000899238574</v>
      </c>
      <c r="P236" s="227">
        <f t="shared" si="88"/>
        <v>8.4094995071907537</v>
      </c>
      <c r="Q236" s="227">
        <f t="shared" si="89"/>
        <v>1828.2198761209047</v>
      </c>
      <c r="R236" s="227" t="str">
        <f t="shared" si="75"/>
        <v>0.0878666666666667+0.0539891080405018i</v>
      </c>
      <c r="S236" s="227" t="str">
        <f t="shared" si="76"/>
        <v>0.0085-3.3340058121532i</v>
      </c>
      <c r="T236" s="227" t="str">
        <f t="shared" si="77"/>
        <v>0.80439360890789-3.12711159288327i</v>
      </c>
      <c r="U236" s="227" t="str">
        <f t="shared" si="78"/>
        <v>69.4020619555737-59.1617247609054i</v>
      </c>
      <c r="V236" s="227">
        <f t="shared" si="90"/>
        <v>39.199539539345089</v>
      </c>
      <c r="W236" s="227">
        <f t="shared" si="91"/>
        <v>-40.445902733566868</v>
      </c>
      <c r="X236" s="227" t="str">
        <f t="shared" si="79"/>
        <v>0.999976231908157-0.0014356684070454i</v>
      </c>
      <c r="Y236" s="227" t="str">
        <f t="shared" si="80"/>
        <v>135.706644553512+70.9167059532693i</v>
      </c>
      <c r="Z236" s="227" t="str">
        <f t="shared" si="81"/>
        <v>70.7214422496318+36.8279911454244i</v>
      </c>
      <c r="AA236" s="227" t="str">
        <f t="shared" si="82"/>
        <v>3.36331781699568-8.17045660377678i</v>
      </c>
      <c r="AB236" s="227">
        <f t="shared" si="92"/>
        <v>18.924745435183372</v>
      </c>
      <c r="AC236" s="227">
        <f t="shared" si="93"/>
        <v>-67.625788252113836</v>
      </c>
      <c r="AD236" s="229">
        <f t="shared" si="94"/>
        <v>-10.515245927992618</v>
      </c>
      <c r="AE236" s="229">
        <f t="shared" si="95"/>
        <v>157.80778915135241</v>
      </c>
      <c r="AF236" s="227">
        <f t="shared" si="83"/>
        <v>8.4094995071907537</v>
      </c>
      <c r="AG236" s="227">
        <f t="shared" si="84"/>
        <v>90.182000899238574</v>
      </c>
      <c r="AH236" s="229" t="str">
        <f t="shared" si="85"/>
        <v>0.275938360540434-0.112564601318545i</v>
      </c>
    </row>
    <row r="237" spans="9:34" x14ac:dyDescent="0.2">
      <c r="I237" s="227">
        <v>233</v>
      </c>
      <c r="J237" s="227">
        <f t="shared" si="73"/>
        <v>3.271778548740532</v>
      </c>
      <c r="K237" s="227">
        <f t="shared" si="96"/>
        <v>1869.728503300935</v>
      </c>
      <c r="L237" s="227">
        <f t="shared" si="86"/>
        <v>11747.850660355314</v>
      </c>
      <c r="M237" s="227">
        <f t="shared" si="74"/>
        <v>3907.9812590849169</v>
      </c>
      <c r="N237" s="227">
        <f>SQRT((ABS(AC237)-171.5+'Small Signal'!C$59)^2)</f>
        <v>33.233721050952241</v>
      </c>
      <c r="O237" s="227">
        <f t="shared" si="87"/>
        <v>89.915643511814537</v>
      </c>
      <c r="P237" s="227">
        <f t="shared" si="88"/>
        <v>8.2337020218426993</v>
      </c>
      <c r="Q237" s="227">
        <f t="shared" si="89"/>
        <v>1869.728503300935</v>
      </c>
      <c r="R237" s="227" t="str">
        <f t="shared" si="75"/>
        <v>0.0878666666666667+0.05521489810367i</v>
      </c>
      <c r="S237" s="227" t="str">
        <f t="shared" si="76"/>
        <v>0.0085-3.2599897162182i</v>
      </c>
      <c r="T237" s="227" t="str">
        <f t="shared" si="77"/>
        <v>0.771485522964242-3.06587830508385i</v>
      </c>
      <c r="U237" s="227" t="str">
        <f t="shared" si="78"/>
        <v>68.4113427599829-60.8358488613144i</v>
      </c>
      <c r="V237" s="227">
        <f t="shared" si="90"/>
        <v>39.233016611730555</v>
      </c>
      <c r="W237" s="227">
        <f t="shared" si="91"/>
        <v>-41.645592032292299</v>
      </c>
      <c r="X237" s="227" t="str">
        <f t="shared" si="79"/>
        <v>0.999975140375637-0.00146826439040635i</v>
      </c>
      <c r="Y237" s="227" t="str">
        <f t="shared" si="80"/>
        <v>139.382476156195+71.0799637213537i</v>
      </c>
      <c r="Z237" s="227" t="str">
        <f t="shared" si="81"/>
        <v>72.6368589263982+36.9078521151627i</v>
      </c>
      <c r="AA237" s="227" t="str">
        <f t="shared" si="82"/>
        <v>3.21485541134292-8.06475550096452i</v>
      </c>
      <c r="AB237" s="227">
        <f t="shared" si="92"/>
        <v>18.772306474158519</v>
      </c>
      <c r="AC237" s="227">
        <f t="shared" si="93"/>
        <v>-68.266278949047759</v>
      </c>
      <c r="AD237" s="229">
        <f t="shared" si="94"/>
        <v>-10.53860445231582</v>
      </c>
      <c r="AE237" s="229">
        <f t="shared" si="95"/>
        <v>158.1819224608623</v>
      </c>
      <c r="AF237" s="227">
        <f t="shared" si="83"/>
        <v>8.2337020218426993</v>
      </c>
      <c r="AG237" s="227">
        <f t="shared" si="84"/>
        <v>89.915643511814537</v>
      </c>
      <c r="AH237" s="229" t="str">
        <f t="shared" si="85"/>
        <v>0.27592447493489-0.110462913840679i</v>
      </c>
    </row>
    <row r="238" spans="9:34" x14ac:dyDescent="0.2">
      <c r="I238" s="227">
        <v>234</v>
      </c>
      <c r="J238" s="227">
        <f t="shared" si="73"/>
        <v>3.2815286712673157</v>
      </c>
      <c r="K238" s="227">
        <f t="shared" si="96"/>
        <v>1912.1795587702984</v>
      </c>
      <c r="L238" s="227">
        <f t="shared" si="86"/>
        <v>12014.578508354683</v>
      </c>
      <c r="M238" s="227">
        <f t="shared" si="74"/>
        <v>3864.5663780615891</v>
      </c>
      <c r="N238" s="227">
        <f>SQRT((ABS(AC238)-171.5+'Small Signal'!C$59)^2)</f>
        <v>32.597491857423151</v>
      </c>
      <c r="O238" s="227">
        <f t="shared" si="87"/>
        <v>89.645502933500879</v>
      </c>
      <c r="P238" s="227">
        <f t="shared" si="88"/>
        <v>8.0574354800872108</v>
      </c>
      <c r="Q238" s="227">
        <f t="shared" si="89"/>
        <v>1912.1795587702984</v>
      </c>
      <c r="R238" s="227" t="str">
        <f t="shared" si="75"/>
        <v>0.0878666666666667+0.056468518989267i</v>
      </c>
      <c r="S238" s="227" t="str">
        <f t="shared" si="76"/>
        <v>0.0085-3.18761680351866i</v>
      </c>
      <c r="T238" s="227" t="str">
        <f t="shared" si="77"/>
        <v>0.739857095803983-3.00551121104024i</v>
      </c>
      <c r="U238" s="227" t="str">
        <f t="shared" si="78"/>
        <v>67.3303211171148-62.5494358895851i</v>
      </c>
      <c r="V238" s="227">
        <f t="shared" si="90"/>
        <v>39.26641002319046</v>
      </c>
      <c r="W238" s="227">
        <f t="shared" si="91"/>
        <v>-42.891889146716473</v>
      </c>
      <c r="X238" s="227" t="str">
        <f t="shared" si="79"/>
        <v>0.999973998715271-0.00150160044586616i</v>
      </c>
      <c r="Y238" s="227" t="str">
        <f t="shared" si="80"/>
        <v>143.22373691672+71.0919584624542i</v>
      </c>
      <c r="Z238" s="227" t="str">
        <f t="shared" si="81"/>
        <v>74.638328457392+36.908632614017i</v>
      </c>
      <c r="AA238" s="227" t="str">
        <f t="shared" si="82"/>
        <v>3.07025708551093-7.95779440119123i</v>
      </c>
      <c r="AB238" s="227">
        <f t="shared" si="92"/>
        <v>18.618507290636476</v>
      </c>
      <c r="AC238" s="227">
        <f t="shared" si="93"/>
        <v>-68.902508142576849</v>
      </c>
      <c r="AD238" s="229">
        <f t="shared" si="94"/>
        <v>-10.561071810549265</v>
      </c>
      <c r="AE238" s="229">
        <f t="shared" si="95"/>
        <v>158.54801107607773</v>
      </c>
      <c r="AF238" s="227">
        <f t="shared" si="83"/>
        <v>8.0574354800872108</v>
      </c>
      <c r="AG238" s="227">
        <f t="shared" si="84"/>
        <v>89.645502933500879</v>
      </c>
      <c r="AH238" s="229" t="str">
        <f t="shared" si="85"/>
        <v>0.27591002872882-0.108416865396354i</v>
      </c>
    </row>
    <row r="239" spans="9:34" x14ac:dyDescent="0.2">
      <c r="I239" s="227">
        <v>235</v>
      </c>
      <c r="J239" s="227">
        <f t="shared" si="73"/>
        <v>3.291278793794099</v>
      </c>
      <c r="K239" s="227">
        <f t="shared" si="96"/>
        <v>1955.594439793626</v>
      </c>
      <c r="L239" s="227">
        <f t="shared" si="86"/>
        <v>12287.362250913404</v>
      </c>
      <c r="M239" s="227">
        <f t="shared" si="74"/>
        <v>3820.1657884076949</v>
      </c>
      <c r="N239" s="227">
        <f>SQRT((ABS(AC239)-171.5+'Small Signal'!C$59)^2)</f>
        <v>31.965544472647238</v>
      </c>
      <c r="O239" s="227">
        <f t="shared" si="87"/>
        <v>89.371617433424447</v>
      </c>
      <c r="P239" s="227">
        <f t="shared" si="88"/>
        <v>7.880709862445924</v>
      </c>
      <c r="Q239" s="227">
        <f t="shared" si="89"/>
        <v>1955.594439793626</v>
      </c>
      <c r="R239" s="227" t="str">
        <f t="shared" si="75"/>
        <v>0.0878666666666667+0.057750602579293i</v>
      </c>
      <c r="S239" s="227" t="str">
        <f t="shared" si="76"/>
        <v>0.0085-3.11685059481164i</v>
      </c>
      <c r="T239" s="227" t="str">
        <f t="shared" si="77"/>
        <v>0.709465167354207-2.94601921277052i</v>
      </c>
      <c r="U239" s="227" t="str">
        <f t="shared" si="78"/>
        <v>66.151098424551-64.2998981417576i</v>
      </c>
      <c r="V239" s="227">
        <f t="shared" si="90"/>
        <v>39.299522552728767</v>
      </c>
      <c r="W239" s="227">
        <f t="shared" si="91"/>
        <v>-44.186983257272203</v>
      </c>
      <c r="X239" s="227" t="str">
        <f t="shared" si="79"/>
        <v>0.999972804624975-0.00153569337631448i</v>
      </c>
      <c r="Y239" s="227" t="str">
        <f t="shared" si="80"/>
        <v>147.23214702213+70.9330210308996i</v>
      </c>
      <c r="Z239" s="227" t="str">
        <f t="shared" si="81"/>
        <v>76.7267228713701+36.820074550317i</v>
      </c>
      <c r="AA239" s="227" t="str">
        <f t="shared" si="82"/>
        <v>2.92951398931269-7.84972841889029i</v>
      </c>
      <c r="AB239" s="227">
        <f t="shared" si="92"/>
        <v>18.463388967170996</v>
      </c>
      <c r="AC239" s="227">
        <f t="shared" si="93"/>
        <v>-69.534455527352762</v>
      </c>
      <c r="AD239" s="229">
        <f t="shared" si="94"/>
        <v>-10.582679104725072</v>
      </c>
      <c r="AE239" s="229">
        <f t="shared" si="95"/>
        <v>158.90607296077721</v>
      </c>
      <c r="AF239" s="227">
        <f t="shared" si="83"/>
        <v>7.880709862445924</v>
      </c>
      <c r="AG239" s="227">
        <f t="shared" si="84"/>
        <v>89.371617433424447</v>
      </c>
      <c r="AH239" s="229" t="str">
        <f t="shared" si="85"/>
        <v>0.275894992974014-0.106425421953679i</v>
      </c>
    </row>
    <row r="240" spans="9:34" x14ac:dyDescent="0.2">
      <c r="I240" s="227">
        <v>236</v>
      </c>
      <c r="J240" s="227">
        <f t="shared" si="73"/>
        <v>3.3010289163208828</v>
      </c>
      <c r="K240" s="227">
        <f t="shared" si="96"/>
        <v>1999.99502944752</v>
      </c>
      <c r="L240" s="227">
        <f t="shared" si="86"/>
        <v>12566.339383456861</v>
      </c>
      <c r="M240" s="227">
        <f t="shared" si="74"/>
        <v>3774.7571102046122</v>
      </c>
      <c r="N240" s="227">
        <f>SQRT((ABS(AC240)-171.5+'Small Signal'!C$59)^2)</f>
        <v>31.337888258647226</v>
      </c>
      <c r="O240" s="227">
        <f t="shared" si="87"/>
        <v>89.094018797285472</v>
      </c>
      <c r="P240" s="227">
        <f t="shared" si="88"/>
        <v>7.7035358626641415</v>
      </c>
      <c r="Q240" s="227">
        <f t="shared" si="89"/>
        <v>1999.99502944752</v>
      </c>
      <c r="R240" s="227" t="str">
        <f t="shared" si="75"/>
        <v>0.0878666666666667+0.0590617951022472i</v>
      </c>
      <c r="S240" s="227" t="str">
        <f t="shared" si="76"/>
        <v>0.0085-3.04765542070615i</v>
      </c>
      <c r="T240" s="227" t="str">
        <f t="shared" si="77"/>
        <v>0.680267490539093-2.88740956827266i</v>
      </c>
      <c r="U240" s="227" t="str">
        <f t="shared" si="78"/>
        <v>64.8652950474642-66.0837931961128i</v>
      </c>
      <c r="V240" s="227">
        <f t="shared" si="90"/>
        <v>39.332125641178479</v>
      </c>
      <c r="W240" s="227">
        <f t="shared" si="91"/>
        <v>-45.533129228479154</v>
      </c>
      <c r="X240" s="227" t="str">
        <f t="shared" si="79"/>
        <v>0.99997155569694-0.00157056036614042i</v>
      </c>
      <c r="Y240" s="227" t="str">
        <f t="shared" si="80"/>
        <v>151.407994117035+70.581654196432i</v>
      </c>
      <c r="Z240" s="227" t="str">
        <f t="shared" si="81"/>
        <v>78.9021648843475+36.6309684331761i</v>
      </c>
      <c r="AA240" s="227" t="str">
        <f t="shared" si="82"/>
        <v>2.7926101760018-7.74070864363502i</v>
      </c>
      <c r="AB240" s="227">
        <f t="shared" si="92"/>
        <v>18.30699261136898</v>
      </c>
      <c r="AC240" s="227">
        <f t="shared" si="93"/>
        <v>-70.162111741352774</v>
      </c>
      <c r="AD240" s="229">
        <f t="shared" si="94"/>
        <v>-10.603456748704838</v>
      </c>
      <c r="AE240" s="229">
        <f t="shared" si="95"/>
        <v>159.25613053863825</v>
      </c>
      <c r="AF240" s="227">
        <f t="shared" si="83"/>
        <v>7.7035358626641415</v>
      </c>
      <c r="AG240" s="227">
        <f t="shared" si="84"/>
        <v>89.094018797285472</v>
      </c>
      <c r="AH240" s="229" t="str">
        <f t="shared" si="85"/>
        <v>0.275879337550509-0.104487576814564i</v>
      </c>
    </row>
    <row r="241" spans="9:34" x14ac:dyDescent="0.2">
      <c r="I241" s="227">
        <v>237</v>
      </c>
      <c r="J241" s="227">
        <f t="shared" si="73"/>
        <v>3.3107790388476661</v>
      </c>
      <c r="K241" s="227">
        <f t="shared" si="96"/>
        <v>2045.4037076506031</v>
      </c>
      <c r="L241" s="227">
        <f t="shared" si="86"/>
        <v>12851.650523160919</v>
      </c>
      <c r="M241" s="227">
        <f t="shared" si="74"/>
        <v>3728.3174554111934</v>
      </c>
      <c r="N241" s="227">
        <f>SQRT((ABS(AC241)-171.5+'Small Signal'!C$59)^2)</f>
        <v>30.714521893716594</v>
      </c>
      <c r="O241" s="227">
        <f t="shared" si="87"/>
        <v>88.812732255346575</v>
      </c>
      <c r="P241" s="227">
        <f t="shared" si="88"/>
        <v>7.5259248361006748</v>
      </c>
      <c r="Q241" s="227">
        <f t="shared" si="89"/>
        <v>2045.4037076506031</v>
      </c>
      <c r="R241" s="227" t="str">
        <f t="shared" si="75"/>
        <v>0.0878666666666667+0.0604027574588563i</v>
      </c>
      <c r="S241" s="227" t="str">
        <f t="shared" si="76"/>
        <v>0.0085-2.97999640368419i</v>
      </c>
      <c r="T241" s="227" t="str">
        <f t="shared" si="77"/>
        <v>0.652222759888571-2.82968798636278i</v>
      </c>
      <c r="U241" s="227" t="str">
        <f t="shared" si="78"/>
        <v>63.4640872961154-67.8966807826577i</v>
      </c>
      <c r="V241" s="227">
        <f t="shared" si="90"/>
        <v>39.363955841141852</v>
      </c>
      <c r="W241" s="227">
        <f t="shared" si="91"/>
        <v>-46.932636174262981</v>
      </c>
      <c r="X241" s="227" t="str">
        <f t="shared" si="79"/>
        <v>0.999970249412784-0.00160621898989424i</v>
      </c>
      <c r="Y241" s="227" t="str">
        <f t="shared" si="80"/>
        <v>155.749786938365+70.0144849163778i</v>
      </c>
      <c r="Z241" s="227" t="str">
        <f t="shared" si="81"/>
        <v>81.1638472297382+36.3291289286559i</v>
      </c>
      <c r="AA241" s="227" t="str">
        <f t="shared" si="82"/>
        <v>2.65952303058668-7.63088184497867i</v>
      </c>
      <c r="AB241" s="227">
        <f t="shared" si="92"/>
        <v>18.149359294781419</v>
      </c>
      <c r="AC241" s="227">
        <f t="shared" si="93"/>
        <v>-70.785478106283406</v>
      </c>
      <c r="AD241" s="229">
        <f t="shared" si="94"/>
        <v>-10.623434458680745</v>
      </c>
      <c r="AE241" s="229">
        <f t="shared" si="95"/>
        <v>159.59821036162998</v>
      </c>
      <c r="AF241" s="227">
        <f t="shared" si="83"/>
        <v>7.5259248361006748</v>
      </c>
      <c r="AG241" s="227">
        <f t="shared" si="84"/>
        <v>88.812732255346575</v>
      </c>
      <c r="AH241" s="229" t="str">
        <f t="shared" si="85"/>
        <v>0.275863031107439-0.102602350094188i</v>
      </c>
    </row>
    <row r="242" spans="9:34" x14ac:dyDescent="0.2">
      <c r="I242" s="227">
        <v>238</v>
      </c>
      <c r="J242" s="227">
        <f t="shared" si="73"/>
        <v>3.3205291613744494</v>
      </c>
      <c r="K242" s="227">
        <f t="shared" si="96"/>
        <v>2091.8433624440217</v>
      </c>
      <c r="L242" s="227">
        <f t="shared" si="86"/>
        <v>13143.43947982942</v>
      </c>
      <c r="M242" s="227">
        <f t="shared" si="74"/>
        <v>3680.8234163271486</v>
      </c>
      <c r="N242" s="227">
        <f>SQRT((ABS(AC242)-171.5+'Small Signal'!C$59)^2)</f>
        <v>30.095433650489397</v>
      </c>
      <c r="O242" s="227">
        <f t="shared" si="87"/>
        <v>88.527776436457842</v>
      </c>
      <c r="P242" s="227">
        <f t="shared" si="88"/>
        <v>7.3478887498984111</v>
      </c>
      <c r="Q242" s="227">
        <f t="shared" si="89"/>
        <v>2091.8433624440217</v>
      </c>
      <c r="R242" s="227" t="str">
        <f t="shared" si="75"/>
        <v>0.0878666666666667+0.0617741655551983i</v>
      </c>
      <c r="S242" s="227" t="str">
        <f t="shared" si="76"/>
        <v>0.0085-2.91383944052083i</v>
      </c>
      <c r="T242" s="227" t="str">
        <f t="shared" si="77"/>
        <v>0.625290634722254-2.77285871874399i</v>
      </c>
      <c r="U242" s="227" t="str">
        <f t="shared" si="78"/>
        <v>61.9382680001425-69.7329658509118i</v>
      </c>
      <c r="V242" s="227">
        <f t="shared" si="90"/>
        <v>39.394711066206561</v>
      </c>
      <c r="W242" s="227">
        <f t="shared" si="91"/>
        <v>-48.387852264244366</v>
      </c>
      <c r="X242" s="227" t="str">
        <f t="shared" si="79"/>
        <v>0.999968883138468-0.00164268722114577i</v>
      </c>
      <c r="Y242" s="227" t="str">
        <f t="shared" si="80"/>
        <v>160.253857595716+69.2062558140025i</v>
      </c>
      <c r="Z242" s="227" t="str">
        <f t="shared" si="81"/>
        <v>83.5098252604677+35.9013909253956i</v>
      </c>
      <c r="AA242" s="227" t="str">
        <f t="shared" si="82"/>
        <v>2.53022370375273-7.52039021689869i</v>
      </c>
      <c r="AB242" s="227">
        <f t="shared" si="92"/>
        <v>17.9905299962562</v>
      </c>
      <c r="AC242" s="227">
        <f t="shared" si="93"/>
        <v>-71.404566349510603</v>
      </c>
      <c r="AD242" s="229">
        <f t="shared" si="94"/>
        <v>-10.642641246357789</v>
      </c>
      <c r="AE242" s="229">
        <f t="shared" si="95"/>
        <v>159.93234278596844</v>
      </c>
      <c r="AF242" s="227">
        <f t="shared" si="83"/>
        <v>7.3478887498984111</v>
      </c>
      <c r="AG242" s="227">
        <f t="shared" si="84"/>
        <v>88.527776436457842</v>
      </c>
      <c r="AH242" s="229" t="str">
        <f t="shared" si="85"/>
        <v>0.275846041001563-0.100768788213071i</v>
      </c>
    </row>
    <row r="243" spans="9:34" x14ac:dyDescent="0.2">
      <c r="I243" s="227">
        <v>239</v>
      </c>
      <c r="J243" s="227">
        <f t="shared" si="73"/>
        <v>3.3302792839012327</v>
      </c>
      <c r="K243" s="227">
        <f t="shared" si="96"/>
        <v>2139.3374015280665</v>
      </c>
      <c r="L243" s="227">
        <f t="shared" si="86"/>
        <v>13441.853328380903</v>
      </c>
      <c r="M243" s="227">
        <f t="shared" si="74"/>
        <v>3632.2510537945082</v>
      </c>
      <c r="N243" s="227">
        <f>SQRT((ABS(AC243)-171.5+'Small Signal'!C$59)^2)</f>
        <v>29.480601690032344</v>
      </c>
      <c r="O243" s="227">
        <f t="shared" si="87"/>
        <v>88.239163346332802</v>
      </c>
      <c r="P243" s="227">
        <f t="shared" si="88"/>
        <v>7.1694401351511949</v>
      </c>
      <c r="Q243" s="227">
        <f t="shared" si="89"/>
        <v>2139.3374015280665</v>
      </c>
      <c r="R243" s="227" t="str">
        <f t="shared" si="75"/>
        <v>0.0878666666666667+0.0631767106433902i</v>
      </c>
      <c r="S243" s="227" t="str">
        <f t="shared" si="76"/>
        <v>0.0085-2.84915118509469i</v>
      </c>
      <c r="T243" s="227" t="str">
        <f t="shared" si="77"/>
        <v>0.599431757322562-2.71692464916382i</v>
      </c>
      <c r="U243" s="227" t="str">
        <f t="shared" si="78"/>
        <v>60.2783364676172-71.585729513277i</v>
      </c>
      <c r="V243" s="227">
        <f t="shared" si="90"/>
        <v>39.424046689757411</v>
      </c>
      <c r="W243" s="227">
        <f t="shared" si="91"/>
        <v>-49.901145103896397</v>
      </c>
      <c r="X243" s="227" t="str">
        <f t="shared" si="79"/>
        <v>0.999967454118986-0.00167998344154384i</v>
      </c>
      <c r="Y243" s="227" t="str">
        <f t="shared" si="80"/>
        <v>164.913910969958+68.1298700194284i</v>
      </c>
      <c r="Z243" s="227" t="str">
        <f t="shared" si="81"/>
        <v>85.9367820447877+35.3336334933655i</v>
      </c>
      <c r="AA243" s="227" t="str">
        <f t="shared" si="82"/>
        <v>2.40467754803347-7.40937116067391i</v>
      </c>
      <c r="AB243" s="227">
        <f t="shared" si="92"/>
        <v>17.830545549797527</v>
      </c>
      <c r="AC243" s="227">
        <f t="shared" si="93"/>
        <v>-72.019398309967656</v>
      </c>
      <c r="AD243" s="229">
        <f t="shared" si="94"/>
        <v>-10.661105414646332</v>
      </c>
      <c r="AE243" s="229">
        <f t="shared" si="95"/>
        <v>160.25856165630046</v>
      </c>
      <c r="AF243" s="227">
        <f t="shared" si="83"/>
        <v>7.1694401351511949</v>
      </c>
      <c r="AG243" s="227">
        <f t="shared" si="84"/>
        <v>88.239163346332802</v>
      </c>
      <c r="AH243" s="229" t="str">
        <f t="shared" si="85"/>
        <v>0.275828333233346-0.0989859634014405i</v>
      </c>
    </row>
    <row r="244" spans="9:34" x14ac:dyDescent="0.2">
      <c r="I244" s="227">
        <v>240</v>
      </c>
      <c r="J244" s="227">
        <f t="shared" si="73"/>
        <v>3.340029406428016</v>
      </c>
      <c r="K244" s="227">
        <f t="shared" si="96"/>
        <v>2187.9097640607069</v>
      </c>
      <c r="L244" s="227">
        <f t="shared" si="86"/>
        <v>13747.042482980989</v>
      </c>
      <c r="M244" s="227">
        <f t="shared" si="74"/>
        <v>3582.5758851311857</v>
      </c>
      <c r="N244" s="227">
        <f>SQRT((ABS(AC244)-171.5+'Small Signal'!C$59)^2)</f>
        <v>28.869994369602381</v>
      </c>
      <c r="O244" s="227">
        <f t="shared" si="87"/>
        <v>87.946898368279335</v>
      </c>
      <c r="P244" s="227">
        <f t="shared" si="88"/>
        <v>6.9905920412503804</v>
      </c>
      <c r="Q244" s="227">
        <f t="shared" si="89"/>
        <v>2187.9097640607069</v>
      </c>
      <c r="R244" s="227" t="str">
        <f t="shared" si="75"/>
        <v>0.0878666666666667+0.0646110996700106i</v>
      </c>
      <c r="S244" s="227" t="str">
        <f t="shared" si="76"/>
        <v>0.0085-2.78589903157998i</v>
      </c>
      <c r="T244" s="227" t="str">
        <f t="shared" si="77"/>
        <v>0.574607766495248-2.66188737954956i</v>
      </c>
      <c r="U244" s="227" t="str">
        <f t="shared" si="78"/>
        <v>58.4746242971821-73.4465509353101i</v>
      </c>
      <c r="V244" s="227">
        <f t="shared" si="90"/>
        <v>39.451571567850088</v>
      </c>
      <c r="W244" s="227">
        <f t="shared" si="91"/>
        <v>-51.474876974725539</v>
      </c>
      <c r="X244" s="227" t="str">
        <f t="shared" si="79"/>
        <v>0.999965959472813-0.00171812645008154i</v>
      </c>
      <c r="Y244" s="227" t="str">
        <f t="shared" si="80"/>
        <v>169.720522139158+66.7565062674029i</v>
      </c>
      <c r="Z244" s="227" t="str">
        <f t="shared" si="81"/>
        <v>88.4397664514562+34.610840543937i</v>
      </c>
      <c r="AA244" s="227" t="str">
        <f t="shared" si="82"/>
        <v>2.28284455313597-7.29795710477873i</v>
      </c>
      <c r="AB244" s="227">
        <f t="shared" si="92"/>
        <v>17.669446596945765</v>
      </c>
      <c r="AC244" s="227">
        <f t="shared" si="93"/>
        <v>-72.630005630397619</v>
      </c>
      <c r="AD244" s="229">
        <f t="shared" si="94"/>
        <v>-10.678854555695384</v>
      </c>
      <c r="AE244" s="229">
        <f t="shared" si="95"/>
        <v>160.57690399867695</v>
      </c>
      <c r="AF244" s="227">
        <f t="shared" si="83"/>
        <v>6.9905920412503804</v>
      </c>
      <c r="AG244" s="227">
        <f t="shared" si="84"/>
        <v>87.946898368279335</v>
      </c>
      <c r="AH244" s="229" t="str">
        <f t="shared" si="85"/>
        <v>0.275809872380489-0.0972529732155843i</v>
      </c>
    </row>
    <row r="245" spans="9:34" x14ac:dyDescent="0.2">
      <c r="I245" s="227">
        <v>241</v>
      </c>
      <c r="J245" s="227">
        <f t="shared" si="73"/>
        <v>3.3497795289547994</v>
      </c>
      <c r="K245" s="227">
        <f t="shared" si="96"/>
        <v>2237.5849327240294</v>
      </c>
      <c r="L245" s="227">
        <f t="shared" si="86"/>
        <v>14059.160772858044</v>
      </c>
      <c r="M245" s="227">
        <f t="shared" si="74"/>
        <v>3531.7728717905975</v>
      </c>
      <c r="N245" s="227">
        <f>SQRT((ABS(AC245)-171.5+'Small Signal'!C$59)^2)</f>
        <v>28.263570561819478</v>
      </c>
      <c r="O245" s="227">
        <f t="shared" si="87"/>
        <v>87.650980284601985</v>
      </c>
      <c r="P245" s="227">
        <f t="shared" si="88"/>
        <v>6.8113579925614633</v>
      </c>
      <c r="Q245" s="227">
        <f t="shared" si="89"/>
        <v>2237.5849327240294</v>
      </c>
      <c r="R245" s="227" t="str">
        <f t="shared" si="75"/>
        <v>0.0878666666666667+0.0660780556324328i</v>
      </c>
      <c r="S245" s="227" t="str">
        <f t="shared" si="76"/>
        <v>0.0085-2.7240510980116i</v>
      </c>
      <c r="T245" s="227" t="str">
        <f t="shared" si="77"/>
        <v>0.550781306899173-2.60774731304062i</v>
      </c>
      <c r="U245" s="227" t="str">
        <f t="shared" si="78"/>
        <v>56.5174640111047-75.3053250600991i</v>
      </c>
      <c r="V245" s="227">
        <f t="shared" si="90"/>
        <v>39.476844090303743</v>
      </c>
      <c r="W245" s="227">
        <f t="shared" si="91"/>
        <v>-53.111374196884903</v>
      </c>
      <c r="X245" s="227" t="str">
        <f t="shared" si="79"/>
        <v>0.99996439618609-0.00175713547257171i</v>
      </c>
      <c r="Y245" s="227" t="str">
        <f t="shared" si="80"/>
        <v>174.660586261567+65.0558238674612i</v>
      </c>
      <c r="Z245" s="227" t="str">
        <f t="shared" si="81"/>
        <v>91.0119065592641+33.7172084139201i</v>
      </c>
      <c r="AA245" s="227" t="str">
        <f t="shared" si="82"/>
        <v>2.16467977759949-7.1862753601726i</v>
      </c>
      <c r="AB245" s="227">
        <f t="shared" si="92"/>
        <v>17.507273543662333</v>
      </c>
      <c r="AC245" s="227">
        <f t="shared" si="93"/>
        <v>-73.236429438180522</v>
      </c>
      <c r="AD245" s="229">
        <f t="shared" si="94"/>
        <v>-10.695915551100869</v>
      </c>
      <c r="AE245" s="229">
        <f t="shared" si="95"/>
        <v>160.88740972278251</v>
      </c>
      <c r="AF245" s="227">
        <f t="shared" si="83"/>
        <v>6.8113579925614633</v>
      </c>
      <c r="AG245" s="227">
        <f t="shared" si="84"/>
        <v>87.650980284601985</v>
      </c>
      <c r="AH245" s="229" t="str">
        <f t="shared" si="85"/>
        <v>0.275790621528773-0.0955689400658543i</v>
      </c>
    </row>
    <row r="246" spans="9:34" x14ac:dyDescent="0.2">
      <c r="I246" s="227">
        <v>242</v>
      </c>
      <c r="J246" s="227">
        <f t="shared" si="73"/>
        <v>3.3595296514815827</v>
      </c>
      <c r="K246" s="227">
        <f t="shared" si="96"/>
        <v>2288.3879460646176</v>
      </c>
      <c r="L246" s="227">
        <f t="shared" si="86"/>
        <v>14378.365519840077</v>
      </c>
      <c r="M246" s="227">
        <f t="shared" si="74"/>
        <v>3479.8164067411003</v>
      </c>
      <c r="N246" s="227">
        <f>SQRT((ABS(AC246)-171.5+'Small Signal'!C$59)^2)</f>
        <v>27.661279983111839</v>
      </c>
      <c r="O246" s="227">
        <f t="shared" si="87"/>
        <v>87.351401316900294</v>
      </c>
      <c r="P246" s="227">
        <f t="shared" si="88"/>
        <v>6.6317519475523525</v>
      </c>
      <c r="Q246" s="227">
        <f t="shared" si="89"/>
        <v>2288.3879460646176</v>
      </c>
      <c r="R246" s="227" t="str">
        <f t="shared" si="75"/>
        <v>0.0878666666666667+0.0675783179432484i</v>
      </c>
      <c r="S246" s="227" t="str">
        <f t="shared" si="76"/>
        <v>0.0085-2.66357621021527i</v>
      </c>
      <c r="T246" s="227" t="str">
        <f t="shared" si="77"/>
        <v>0.527916034509921-2.55450373386287i</v>
      </c>
      <c r="U246" s="227" t="str">
        <f t="shared" si="78"/>
        <v>54.3974076476244-77.1500833344667i</v>
      </c>
      <c r="V246" s="227">
        <f t="shared" si="90"/>
        <v>39.499368399664334</v>
      </c>
      <c r="W246" s="227">
        <f t="shared" si="91"/>
        <v>-54.812889888710387</v>
      </c>
      <c r="X246" s="227" t="str">
        <f t="shared" si="79"/>
        <v>0.999962761106548-0.00179703017133767i</v>
      </c>
      <c r="Y246" s="227" t="str">
        <f t="shared" si="80"/>
        <v>179.716730176814+62.996279581247i</v>
      </c>
      <c r="Z246" s="227" t="str">
        <f t="shared" si="81"/>
        <v>93.6441032482749+32.6363118515089i</v>
      </c>
      <c r="AA246" s="227" t="str">
        <f t="shared" si="82"/>
        <v>2.05013377424369-7.07444800919603i</v>
      </c>
      <c r="AB246" s="227">
        <f t="shared" si="92"/>
        <v>17.344066521677583</v>
      </c>
      <c r="AC246" s="227">
        <f t="shared" si="93"/>
        <v>-73.838720016888161</v>
      </c>
      <c r="AD246" s="229">
        <f t="shared" si="94"/>
        <v>-10.71231457412523</v>
      </c>
      <c r="AE246" s="229">
        <f t="shared" si="95"/>
        <v>161.19012133378845</v>
      </c>
      <c r="AF246" s="227">
        <f t="shared" si="83"/>
        <v>6.6317519475523525</v>
      </c>
      <c r="AG246" s="227">
        <f t="shared" si="84"/>
        <v>87.351401316900294</v>
      </c>
      <c r="AH246" s="229" t="str">
        <f t="shared" si="85"/>
        <v>0.275770542200123-0.0939330107560303i</v>
      </c>
    </row>
    <row r="247" spans="9:34" x14ac:dyDescent="0.2">
      <c r="I247" s="227">
        <v>243</v>
      </c>
      <c r="J247" s="227">
        <f t="shared" si="73"/>
        <v>3.369279774008366</v>
      </c>
      <c r="K247" s="227">
        <f t="shared" si="96"/>
        <v>2340.3444111141148</v>
      </c>
      <c r="L247" s="227">
        <f t="shared" si="86"/>
        <v>14704.817617652066</v>
      </c>
      <c r="M247" s="227">
        <f t="shared" si="74"/>
        <v>3426.6803015588703</v>
      </c>
      <c r="N247" s="227">
        <f>SQRT((ABS(AC247)-171.5+'Small Signal'!C$59)^2)</f>
        <v>27.063063529423729</v>
      </c>
      <c r="O247" s="227">
        <f t="shared" si="87"/>
        <v>87.048147183540053</v>
      </c>
      <c r="P247" s="227">
        <f t="shared" si="88"/>
        <v>6.4517882604655696</v>
      </c>
      <c r="Q247" s="227">
        <f t="shared" si="89"/>
        <v>2340.3444111141148</v>
      </c>
      <c r="R247" s="227" t="str">
        <f t="shared" si="75"/>
        <v>0.0878666666666667+0.0691126428029647i</v>
      </c>
      <c r="S247" s="227" t="str">
        <f t="shared" si="76"/>
        <v>0.0085-2.60444388609429i</v>
      </c>
      <c r="T247" s="227" t="str">
        <f t="shared" si="77"/>
        <v>0.505976618563844-2.50215488401351i</v>
      </c>
      <c r="U247" s="227" t="str">
        <f t="shared" si="78"/>
        <v>52.1055020974677-78.9668273584278i</v>
      </c>
      <c r="V247" s="227">
        <f t="shared" si="90"/>
        <v>39.518590958800829</v>
      </c>
      <c r="W247" s="227">
        <f t="shared" si="91"/>
        <v>-56.581559461524584</v>
      </c>
      <c r="X247" s="227" t="str">
        <f t="shared" si="79"/>
        <v>0.999961050937155-0.0018378306551239i</v>
      </c>
      <c r="Y247" s="227" t="str">
        <f t="shared" si="80"/>
        <v>184.866701322359+60.5455801401954i</v>
      </c>
      <c r="Z247" s="227" t="str">
        <f t="shared" si="81"/>
        <v>96.3247121361115+31.3513407595881i</v>
      </c>
      <c r="AA247" s="227" t="str">
        <f t="shared" si="82"/>
        <v>1.93915300714321-6.96259182615359i</v>
      </c>
      <c r="AB247" s="227">
        <f t="shared" si="92"/>
        <v>17.179865354236874</v>
      </c>
      <c r="AC247" s="227">
        <f t="shared" si="93"/>
        <v>-74.436936470576271</v>
      </c>
      <c r="AD247" s="229">
        <f t="shared" si="94"/>
        <v>-10.728077093771304</v>
      </c>
      <c r="AE247" s="229">
        <f t="shared" si="95"/>
        <v>161.48508365411632</v>
      </c>
      <c r="AF247" s="227">
        <f t="shared" si="83"/>
        <v>6.4517882604655696</v>
      </c>
      <c r="AG247" s="227">
        <f t="shared" si="84"/>
        <v>87.048147183540053</v>
      </c>
      <c r="AH247" s="229" t="str">
        <f t="shared" si="85"/>
        <v>0.275749594277739-0.0923443560337193i</v>
      </c>
    </row>
    <row r="248" spans="9:34" x14ac:dyDescent="0.2">
      <c r="I248" s="227">
        <v>244</v>
      </c>
      <c r="J248" s="227">
        <f t="shared" si="73"/>
        <v>3.3790298965351493</v>
      </c>
      <c r="K248" s="227">
        <f t="shared" si="96"/>
        <v>2393.4805162963448</v>
      </c>
      <c r="L248" s="227">
        <f t="shared" si="86"/>
        <v>15038.681613013803</v>
      </c>
      <c r="M248" s="227">
        <f t="shared" si="74"/>
        <v>3372.3377732277486</v>
      </c>
      <c r="N248" s="227">
        <f>SQRT((ABS(AC248)-171.5+'Small Signal'!C$59)^2)</f>
        <v>26.468853617308241</v>
      </c>
      <c r="O248" s="227">
        <f t="shared" si="87"/>
        <v>86.741197172626727</v>
      </c>
      <c r="P248" s="227">
        <f t="shared" si="88"/>
        <v>6.2714816456005273</v>
      </c>
      <c r="Q248" s="227">
        <f t="shared" si="89"/>
        <v>2393.4805162963448</v>
      </c>
      <c r="R248" s="227" t="str">
        <f t="shared" si="75"/>
        <v>0.0878666666666667+0.0706818035811649i</v>
      </c>
      <c r="S248" s="227" t="str">
        <f t="shared" si="76"/>
        <v>0.0085-2.54662432026517i</v>
      </c>
      <c r="T248" s="227" t="str">
        <f t="shared" si="77"/>
        <v>0.484928740311153-2.45069803674554i</v>
      </c>
      <c r="U248" s="227" t="str">
        <f t="shared" si="78"/>
        <v>49.6336268496184-80.7393885560468i</v>
      </c>
      <c r="V248" s="227">
        <f t="shared" si="90"/>
        <v>39.533897693717456</v>
      </c>
      <c r="W248" s="227">
        <f t="shared" si="91"/>
        <v>-58.41934832265737</v>
      </c>
      <c r="X248" s="227" t="str">
        <f t="shared" si="79"/>
        <v>0.999959262229462-0.00187955748923174i</v>
      </c>
      <c r="Y248" s="227" t="str">
        <f t="shared" si="80"/>
        <v>190.082757510355+57.6712945399954i</v>
      </c>
      <c r="Z248" s="227" t="str">
        <f t="shared" si="81"/>
        <v>99.0392261675984+29.8454202519231i</v>
      </c>
      <c r="AA248" s="227" t="str">
        <f t="shared" si="82"/>
        <v>1.83168025814118-6.85081822756644i</v>
      </c>
      <c r="AB248" s="227">
        <f t="shared" si="92"/>
        <v>17.014709526157723</v>
      </c>
      <c r="AC248" s="227">
        <f t="shared" si="93"/>
        <v>-75.031146382691759</v>
      </c>
      <c r="AD248" s="229">
        <f t="shared" si="94"/>
        <v>-10.743227880557196</v>
      </c>
      <c r="AE248" s="229">
        <f t="shared" si="95"/>
        <v>161.77234355531849</v>
      </c>
      <c r="AF248" s="227">
        <f t="shared" si="83"/>
        <v>6.2714816456005273</v>
      </c>
      <c r="AG248" s="227">
        <f t="shared" si="84"/>
        <v>86.741197172626727</v>
      </c>
      <c r="AH248" s="229" t="str">
        <f t="shared" si="85"/>
        <v>0.275727735928177-0.0908021701514797i</v>
      </c>
    </row>
    <row r="249" spans="9:34" x14ac:dyDescent="0.2">
      <c r="I249" s="227">
        <v>245</v>
      </c>
      <c r="J249" s="227">
        <f t="shared" si="73"/>
        <v>3.388780019061933</v>
      </c>
      <c r="K249" s="227">
        <f t="shared" si="96"/>
        <v>2447.8230446274665</v>
      </c>
      <c r="L249" s="227">
        <f t="shared" si="86"/>
        <v>15380.125788578898</v>
      </c>
      <c r="M249" s="227">
        <f t="shared" si="74"/>
        <v>3316.7614306393971</v>
      </c>
      <c r="N249" s="227">
        <f>SQRT((ABS(AC249)-171.5+'Small Signal'!C$59)^2)</f>
        <v>25.878574528660451</v>
      </c>
      <c r="O249" s="227">
        <f t="shared" si="87"/>
        <v>86.43052422887142</v>
      </c>
      <c r="P249" s="227">
        <f t="shared" si="88"/>
        <v>6.0908471442487713</v>
      </c>
      <c r="Q249" s="227">
        <f t="shared" si="89"/>
        <v>2447.8230446274665</v>
      </c>
      <c r="R249" s="227" t="str">
        <f t="shared" si="75"/>
        <v>0.0878666666666667+0.0722865912063208i</v>
      </c>
      <c r="S249" s="227" t="str">
        <f t="shared" si="76"/>
        <v>0.0085-2.49008836903435i</v>
      </c>
      <c r="T249" s="227" t="str">
        <f t="shared" si="77"/>
        <v>0.464739088888407-2.40012956685974i</v>
      </c>
      <c r="U249" s="227" t="str">
        <f t="shared" si="78"/>
        <v>46.9748976454627-82.4493304257226i</v>
      </c>
      <c r="V249" s="227">
        <f t="shared" si="90"/>
        <v>39.544611986778577</v>
      </c>
      <c r="W249" s="227">
        <f t="shared" si="91"/>
        <v>-60.327991486033149</v>
      </c>
      <c r="X249" s="227" t="str">
        <f t="shared" si="79"/>
        <v>0.999957391376656-0.00192223170588532i</v>
      </c>
      <c r="Y249" s="227" t="str">
        <f t="shared" si="80"/>
        <v>195.331090615892+54.3416486190326i</v>
      </c>
      <c r="Z249" s="227" t="str">
        <f t="shared" si="81"/>
        <v>101.769976120697+28.1020257160369i</v>
      </c>
      <c r="AA249" s="227" t="str">
        <f t="shared" si="82"/>
        <v>1.72765502118341-6.73923325001259i</v>
      </c>
      <c r="AB249" s="227">
        <f t="shared" si="92"/>
        <v>16.848638158093607</v>
      </c>
      <c r="AC249" s="227">
        <f t="shared" si="93"/>
        <v>-75.621425471339549</v>
      </c>
      <c r="AD249" s="229">
        <f t="shared" si="94"/>
        <v>-10.757791013844836</v>
      </c>
      <c r="AE249" s="229">
        <f t="shared" si="95"/>
        <v>162.05194970021097</v>
      </c>
      <c r="AF249" s="227">
        <f t="shared" si="83"/>
        <v>6.0908471442487713</v>
      </c>
      <c r="AG249" s="227">
        <f t="shared" si="84"/>
        <v>86.43052422887142</v>
      </c>
      <c r="AH249" s="229" t="str">
        <f t="shared" si="85"/>
        <v>0.27570492352026-0.0893056704383642i</v>
      </c>
    </row>
    <row r="250" spans="9:34" x14ac:dyDescent="0.2">
      <c r="I250" s="227">
        <v>246</v>
      </c>
      <c r="J250" s="227">
        <f t="shared" si="73"/>
        <v>3.3985301415887164</v>
      </c>
      <c r="K250" s="227">
        <f t="shared" si="96"/>
        <v>2503.399387215818</v>
      </c>
      <c r="L250" s="227">
        <f t="shared" si="86"/>
        <v>15729.322247756807</v>
      </c>
      <c r="M250" s="227">
        <f t="shared" si="74"/>
        <v>3259.9232607869026</v>
      </c>
      <c r="N250" s="227">
        <f>SQRT((ABS(AC250)-171.5+'Small Signal'!C$59)^2)</f>
        <v>25.292142757494958</v>
      </c>
      <c r="O250" s="227">
        <f t="shared" si="87"/>
        <v>86.11609505282243</v>
      </c>
      <c r="P250" s="227">
        <f t="shared" si="88"/>
        <v>5.9099000943021132</v>
      </c>
      <c r="Q250" s="227">
        <f t="shared" si="89"/>
        <v>2503.399387215818</v>
      </c>
      <c r="R250" s="227" t="str">
        <f t="shared" si="75"/>
        <v>0.0878666666666667+0.073927814564457i</v>
      </c>
      <c r="S250" s="227" t="str">
        <f t="shared" si="76"/>
        <v>0.0085-2.43480753570849i</v>
      </c>
      <c r="T250" s="227" t="str">
        <f t="shared" si="77"/>
        <v>0.445375354602606-2.35044501782777i</v>
      </c>
      <c r="U250" s="227" t="str">
        <f t="shared" si="78"/>
        <v>44.1241360344214-84.0759134064121i</v>
      </c>
      <c r="V250" s="227">
        <f t="shared" si="90"/>
        <v>39.549993843687318</v>
      </c>
      <c r="W250" s="227">
        <f t="shared" si="91"/>
        <v>-62.308925129464292</v>
      </c>
      <c r="X250" s="227" t="str">
        <f t="shared" si="79"/>
        <v>0.99995543460628-0.00196587481483266i</v>
      </c>
      <c r="Y250" s="227" t="str">
        <f t="shared" si="80"/>
        <v>200.571327976585+50.5265198866038i</v>
      </c>
      <c r="Z250" s="227" t="str">
        <f t="shared" si="81"/>
        <v>104.495871890799+26.105502194729i</v>
      </c>
      <c r="AA250" s="227" t="str">
        <f t="shared" si="82"/>
        <v>1.62701388301617-6.62793755343689i</v>
      </c>
      <c r="AB250" s="227">
        <f t="shared" si="92"/>
        <v>16.68168998488461</v>
      </c>
      <c r="AC250" s="227">
        <f t="shared" si="93"/>
        <v>-76.207857242505042</v>
      </c>
      <c r="AD250" s="229">
        <f t="shared" si="94"/>
        <v>-10.771789890582497</v>
      </c>
      <c r="AE250" s="229">
        <f t="shared" si="95"/>
        <v>162.32395229532747</v>
      </c>
      <c r="AF250" s="227">
        <f t="shared" si="83"/>
        <v>5.9099000943021132</v>
      </c>
      <c r="AG250" s="227">
        <f t="shared" si="84"/>
        <v>86.11609505282243</v>
      </c>
      <c r="AH250" s="229" t="str">
        <f t="shared" si="85"/>
        <v>0.275681111540642-0.0878540968815588i</v>
      </c>
    </row>
    <row r="251" spans="9:34" x14ac:dyDescent="0.2">
      <c r="I251" s="227">
        <v>247</v>
      </c>
      <c r="J251" s="227">
        <f t="shared" si="73"/>
        <v>3.4082802641155001</v>
      </c>
      <c r="K251" s="227">
        <f t="shared" si="96"/>
        <v>2560.2375570683125</v>
      </c>
      <c r="L251" s="227">
        <f t="shared" si="86"/>
        <v>16086.447001460978</v>
      </c>
      <c r="M251" s="227">
        <f t="shared" si="74"/>
        <v>3201.7946146449808</v>
      </c>
      <c r="N251" s="227">
        <f>SQRT((ABS(AC251)-171.5+'Small Signal'!C$59)^2)</f>
        <v>24.709467357316456</v>
      </c>
      <c r="O251" s="227">
        <f t="shared" si="87"/>
        <v>85.797870211024318</v>
      </c>
      <c r="P251" s="227">
        <f t="shared" si="88"/>
        <v>5.7286561025338365</v>
      </c>
      <c r="Q251" s="227">
        <f t="shared" si="89"/>
        <v>2560.2375570683125</v>
      </c>
      <c r="R251" s="227" t="str">
        <f t="shared" si="75"/>
        <v>0.0878666666666667+0.0756063009068666i</v>
      </c>
      <c r="S251" s="227" t="str">
        <f t="shared" si="76"/>
        <v>0.0085-2.38075395623081i</v>
      </c>
      <c r="T251" s="227" t="str">
        <f t="shared" si="77"/>
        <v>0.42680621990112-2.30163916578422i</v>
      </c>
      <c r="U251" s="227" t="str">
        <f t="shared" si="78"/>
        <v>41.0783997152322-85.5961454698904i</v>
      </c>
      <c r="V251" s="227">
        <f t="shared" si="90"/>
        <v>39.549240600317127</v>
      </c>
      <c r="W251" s="227">
        <f t="shared" si="91"/>
        <v>-64.363210609880866</v>
      </c>
      <c r="X251" s="227" t="str">
        <f t="shared" si="79"/>
        <v>0.999953387972632-0.00201050881418762i</v>
      </c>
      <c r="Y251" s="227" t="str">
        <f t="shared" si="80"/>
        <v>205.756166606017+46.1986421584815i</v>
      </c>
      <c r="Z251" s="227" t="str">
        <f t="shared" si="81"/>
        <v>107.192213298274+23.841692999335i</v>
      </c>
      <c r="AA251" s="227" t="str">
        <f t="shared" si="82"/>
        <v>1.52969088903861-6.51702644780041i</v>
      </c>
      <c r="AB251" s="227">
        <f t="shared" si="92"/>
        <v>16.513903337859375</v>
      </c>
      <c r="AC251" s="227">
        <f t="shared" si="93"/>
        <v>-76.790532642683544</v>
      </c>
      <c r="AD251" s="229">
        <f t="shared" si="94"/>
        <v>-10.785247235325539</v>
      </c>
      <c r="AE251" s="229">
        <f t="shared" si="95"/>
        <v>162.58840285370786</v>
      </c>
      <c r="AF251" s="227">
        <f t="shared" si="83"/>
        <v>5.7286561025338365</v>
      </c>
      <c r="AG251" s="227">
        <f t="shared" si="84"/>
        <v>85.797870211024318</v>
      </c>
      <c r="AH251" s="229" t="str">
        <f t="shared" si="85"/>
        <v>0.275656252505936-0.0864467117178122i</v>
      </c>
    </row>
    <row r="252" spans="9:34" x14ac:dyDescent="0.2">
      <c r="I252" s="227">
        <v>248</v>
      </c>
      <c r="J252" s="227">
        <f t="shared" si="73"/>
        <v>3.4180303866422834</v>
      </c>
      <c r="K252" s="227">
        <f t="shared" si="96"/>
        <v>2618.3662032102343</v>
      </c>
      <c r="L252" s="227">
        <f t="shared" si="86"/>
        <v>16451.680056826142</v>
      </c>
      <c r="M252" s="227">
        <f t="shared" si="74"/>
        <v>3142.3461927295293</v>
      </c>
      <c r="N252" s="227">
        <f>SQRT((ABS(AC252)-171.5+'Small Signal'!C$59)^2)</f>
        <v>24.130450287766564</v>
      </c>
      <c r="O252" s="227">
        <f t="shared" si="87"/>
        <v>85.475804255744322</v>
      </c>
      <c r="P252" s="227">
        <f t="shared" si="88"/>
        <v>5.5471310195360672</v>
      </c>
      <c r="Q252" s="227">
        <f t="shared" si="89"/>
        <v>2618.3662032102343</v>
      </c>
      <c r="R252" s="227" t="str">
        <f t="shared" si="75"/>
        <v>0.0878666666666667+0.0773228962670829i</v>
      </c>
      <c r="S252" s="227" t="str">
        <f t="shared" si="76"/>
        <v>0.0085-2.32790038513635i</v>
      </c>
      <c r="T252" s="227" t="str">
        <f t="shared" si="77"/>
        <v>0.40900134828414-2.25370608043751i</v>
      </c>
      <c r="U252" s="227" t="str">
        <f t="shared" si="78"/>
        <v>37.8375616727116-86.9849436126053i</v>
      </c>
      <c r="V252" s="227">
        <f t="shared" si="90"/>
        <v>39.54148956608946</v>
      </c>
      <c r="W252" s="227">
        <f t="shared" si="91"/>
        <v>-66.491452064187399</v>
      </c>
      <c r="X252" s="227" t="str">
        <f t="shared" si="79"/>
        <v>0.999951247348806-0.00205615620151794i</v>
      </c>
      <c r="Y252" s="227" t="str">
        <f t="shared" si="80"/>
        <v>210.831206002451+41.3350163842623i</v>
      </c>
      <c r="Z252" s="227" t="str">
        <f t="shared" si="81"/>
        <v>109.830604715689+21.2986755851354i</v>
      </c>
      <c r="AA252" s="227" t="str">
        <f t="shared" si="82"/>
        <v>1.43561789333534-6.40658994095499i</v>
      </c>
      <c r="AB252" s="227">
        <f t="shared" si="92"/>
        <v>16.345316130945214</v>
      </c>
      <c r="AC252" s="227">
        <f t="shared" si="93"/>
        <v>-77.369549712233436</v>
      </c>
      <c r="AD252" s="229">
        <f t="shared" si="94"/>
        <v>-10.798185111409147</v>
      </c>
      <c r="AE252" s="229">
        <f t="shared" si="95"/>
        <v>162.84535396797776</v>
      </c>
      <c r="AF252" s="227">
        <f t="shared" si="83"/>
        <v>5.5471310195360672</v>
      </c>
      <c r="AG252" s="227">
        <f t="shared" si="84"/>
        <v>85.475804255744322</v>
      </c>
      <c r="AH252" s="229" t="str">
        <f t="shared" si="85"/>
        <v>0.275630296871214-0.0850827990343334i</v>
      </c>
    </row>
    <row r="253" spans="9:34" x14ac:dyDescent="0.2">
      <c r="I253" s="227">
        <v>249</v>
      </c>
      <c r="J253" s="227">
        <f t="shared" si="73"/>
        <v>3.4277805091690667</v>
      </c>
      <c r="K253" s="227">
        <f t="shared" si="96"/>
        <v>2677.8146251256858</v>
      </c>
      <c r="L253" s="227">
        <f t="shared" si="86"/>
        <v>16825.205507940322</v>
      </c>
      <c r="M253" s="227">
        <f t="shared" si="74"/>
        <v>3081.5480303293821</v>
      </c>
      <c r="N253" s="227">
        <f>SQRT((ABS(AC253)-171.5+'Small Signal'!C$59)^2)</f>
        <v>23.554986759386011</v>
      </c>
      <c r="O253" s="227">
        <f t="shared" si="87"/>
        <v>85.149845853018533</v>
      </c>
      <c r="P253" s="227">
        <f t="shared" si="88"/>
        <v>5.3653409172795641</v>
      </c>
      <c r="Q253" s="227">
        <f t="shared" si="89"/>
        <v>2677.8146251256858</v>
      </c>
      <c r="R253" s="227" t="str">
        <f t="shared" si="75"/>
        <v>0.0878666666666667+0.0790784658873195i</v>
      </c>
      <c r="S253" s="227" t="str">
        <f t="shared" si="76"/>
        <v>0.0085-2.27622018181898i</v>
      </c>
      <c r="T253" s="227" t="str">
        <f t="shared" si="77"/>
        <v>0.391931371399118-2.20663918295967i</v>
      </c>
      <c r="U253" s="227" t="str">
        <f t="shared" si="78"/>
        <v>34.4049175146798-88.2154316897551i</v>
      </c>
      <c r="V253" s="227">
        <f t="shared" si="90"/>
        <v>39.525823010408175</v>
      </c>
      <c r="W253" s="227">
        <f t="shared" si="91"/>
        <v>-68.693709483347547</v>
      </c>
      <c r="X253" s="227" t="str">
        <f t="shared" si="79"/>
        <v>0.999949008418371-0.00210283998518504i</v>
      </c>
      <c r="Y253" s="227" t="str">
        <f t="shared" si="80"/>
        <v>215.735053644541+35.9185054845213i</v>
      </c>
      <c r="Z253" s="227" t="str">
        <f t="shared" si="81"/>
        <v>112.379012120661+18.4675930274084i</v>
      </c>
      <c r="AA253" s="227" t="str">
        <f t="shared" si="82"/>
        <v>1.34472489213561-6.29671280565933i</v>
      </c>
      <c r="AB253" s="227">
        <f t="shared" si="92"/>
        <v>16.175965850431549</v>
      </c>
      <c r="AC253" s="227">
        <f t="shared" si="93"/>
        <v>-77.945013240613989</v>
      </c>
      <c r="AD253" s="229">
        <f t="shared" si="94"/>
        <v>-10.810624933151985</v>
      </c>
      <c r="AE253" s="229">
        <f t="shared" si="95"/>
        <v>163.09485909363252</v>
      </c>
      <c r="AF253" s="227">
        <f t="shared" si="83"/>
        <v>5.3653409172795641</v>
      </c>
      <c r="AG253" s="227">
        <f t="shared" si="84"/>
        <v>85.149845853018533</v>
      </c>
      <c r="AH253" s="229" t="str">
        <f t="shared" si="85"/>
        <v>0.275603192934748-0.0837616643788408i</v>
      </c>
    </row>
    <row r="254" spans="9:34" x14ac:dyDescent="0.2">
      <c r="I254" s="227">
        <v>250</v>
      </c>
      <c r="J254" s="227">
        <f t="shared" si="73"/>
        <v>3.43753063169585</v>
      </c>
      <c r="K254" s="227">
        <f>10^(J254)</f>
        <v>2738.612787525833</v>
      </c>
      <c r="L254" s="227">
        <f t="shared" si="86"/>
        <v>17207.211628636443</v>
      </c>
      <c r="M254" s="227">
        <f t="shared" si="74"/>
        <v>3019.3694824027125</v>
      </c>
      <c r="N254" s="227">
        <f>SQRT((ABS(AC254)-171.5+'Small Signal'!C$59)^2)</f>
        <v>22.98296557546432</v>
      </c>
      <c r="O254" s="227">
        <f t="shared" si="87"/>
        <v>84.819937917861168</v>
      </c>
      <c r="P254" s="227">
        <f t="shared" si="88"/>
        <v>5.1833020692488105</v>
      </c>
      <c r="Q254" s="227">
        <f t="shared" si="89"/>
        <v>2738.612787525833</v>
      </c>
      <c r="R254" s="227" t="str">
        <f t="shared" si="75"/>
        <v>0.0878666666666667+0.0808738946545913i</v>
      </c>
      <c r="S254" s="227" t="str">
        <f t="shared" si="76"/>
        <v>0.0085-2.22568729710337i</v>
      </c>
      <c r="T254" s="227" t="str">
        <f t="shared" si="77"/>
        <v>0.375567874540071-2.16043130092393i</v>
      </c>
      <c r="U254" s="227" t="str">
        <f t="shared" si="78"/>
        <v>30.7877904249547-89.2593975935941i</v>
      </c>
      <c r="V254" s="227">
        <f t="shared" si="90"/>
        <v>39.50127587765386</v>
      </c>
      <c r="W254" s="227">
        <f t="shared" si="91"/>
        <v>-70.969410029797842</v>
      </c>
      <c r="X254" s="227" t="str">
        <f t="shared" si="79"/>
        <v>0.999946666666667-0.00215058369594127i</v>
      </c>
      <c r="Y254" s="227" t="str">
        <f t="shared" si="80"/>
        <v>220.399780895285+29.9395669936831i</v>
      </c>
      <c r="Z254" s="227" t="str">
        <f t="shared" si="81"/>
        <v>114.802003042093+15.343556905882i</v>
      </c>
      <c r="AA254" s="227" t="str">
        <f t="shared" si="82"/>
        <v>1.25694034014865-6.18747466370468i</v>
      </c>
      <c r="AB254" s="227">
        <f t="shared" si="92"/>
        <v>16.005889548225753</v>
      </c>
      <c r="AC254" s="227">
        <f t="shared" si="93"/>
        <v>-78.51703442453568</v>
      </c>
      <c r="AD254" s="229">
        <f t="shared" si="94"/>
        <v>-10.822587478976942</v>
      </c>
      <c r="AE254" s="229">
        <f t="shared" si="95"/>
        <v>163.33697234239685</v>
      </c>
      <c r="AF254" s="227">
        <f t="shared" si="83"/>
        <v>5.1833020692488105</v>
      </c>
      <c r="AG254" s="227">
        <f t="shared" si="84"/>
        <v>84.819937917861168</v>
      </c>
      <c r="AH254" s="229" t="str">
        <f t="shared" si="85"/>
        <v>0.275574886738844-0.0824826343784409i</v>
      </c>
    </row>
    <row r="255" spans="9:34" x14ac:dyDescent="0.2">
      <c r="I255" s="227">
        <v>251</v>
      </c>
      <c r="J255" s="227">
        <f t="shared" si="73"/>
        <v>3.4472807542226334</v>
      </c>
      <c r="K255" s="227">
        <f t="shared" ref="K255:K318" si="97">10^(J255)</f>
        <v>2800.7913354525026</v>
      </c>
      <c r="L255" s="227">
        <f t="shared" si="86"/>
        <v>17597.890967391057</v>
      </c>
      <c r="M255" s="227">
        <f t="shared" si="74"/>
        <v>2955.7792081305392</v>
      </c>
      <c r="N255" s="227">
        <f>SQRT((ABS(AC255)-171.5+'Small Signal'!C$59)^2)</f>
        <v>22.414269470084164</v>
      </c>
      <c r="O255" s="227">
        <f t="shared" si="87"/>
        <v>84.486017755578686</v>
      </c>
      <c r="P255" s="227">
        <f t="shared" si="88"/>
        <v>5.0010309330934621</v>
      </c>
      <c r="Q255" s="227">
        <f t="shared" si="89"/>
        <v>2800.7913354525026</v>
      </c>
      <c r="R255" s="227" t="str">
        <f t="shared" si="75"/>
        <v>0.0878666666666667+0.082710087546738i</v>
      </c>
      <c r="S255" s="227" t="str">
        <f t="shared" si="76"/>
        <v>0.0085-2.17627626011501i</v>
      </c>
      <c r="T255" s="227" t="str">
        <f t="shared" si="77"/>
        <v>0.359883380758476-2.11507472036601i</v>
      </c>
      <c r="U255" s="227" t="str">
        <f t="shared" si="78"/>
        <v>26.9980925524994-90.0879266942537i</v>
      </c>
      <c r="V255" s="227">
        <f t="shared" si="90"/>
        <v>39.466846553878227</v>
      </c>
      <c r="W255" s="227">
        <f t="shared" si="91"/>
        <v>-73.317261325217046</v>
      </c>
      <c r="X255" s="227" t="str">
        <f t="shared" si="79"/>
        <v>0.9999442173717-0.00219941139879049i</v>
      </c>
      <c r="Y255" s="227" t="str">
        <f t="shared" si="80"/>
        <v>224.751803247191+23.3980486863122i</v>
      </c>
      <c r="Z255" s="227" t="str">
        <f t="shared" si="81"/>
        <v>117.061207855515+11.9265824875223i</v>
      </c>
      <c r="AA255" s="227" t="str">
        <f t="shared" si="82"/>
        <v>1.17219144941187-6.07895008518456i</v>
      </c>
      <c r="AB255" s="227">
        <f t="shared" si="92"/>
        <v>15.835123838436466</v>
      </c>
      <c r="AC255" s="227">
        <f t="shared" si="93"/>
        <v>-79.085730529915836</v>
      </c>
      <c r="AD255" s="229">
        <f t="shared" si="94"/>
        <v>-10.834092905343004</v>
      </c>
      <c r="AE255" s="229">
        <f t="shared" si="95"/>
        <v>163.57174828549452</v>
      </c>
      <c r="AF255" s="227">
        <f t="shared" si="83"/>
        <v>5.0010309330934621</v>
      </c>
      <c r="AG255" s="227">
        <f t="shared" si="84"/>
        <v>84.486017755578686</v>
      </c>
      <c r="AH255" s="229" t="str">
        <f t="shared" si="85"/>
        <v>0.275545321966588-0.0812450563670099i</v>
      </c>
    </row>
    <row r="256" spans="9:34" x14ac:dyDescent="0.2">
      <c r="I256" s="227">
        <v>252</v>
      </c>
      <c r="J256" s="227">
        <f t="shared" si="73"/>
        <v>3.4570308767494171</v>
      </c>
      <c r="K256" s="227">
        <f t="shared" si="97"/>
        <v>2864.3816097246759</v>
      </c>
      <c r="L256" s="227">
        <f t="shared" si="86"/>
        <v>17997.440444377495</v>
      </c>
      <c r="M256" s="227">
        <f t="shared" si="74"/>
        <v>2890.7451551195468</v>
      </c>
      <c r="N256" s="227">
        <f>SQRT((ABS(AC256)-171.5+'Small Signal'!C$59)^2)</f>
        <v>21.848775441608666</v>
      </c>
      <c r="O256" s="227">
        <f t="shared" si="87"/>
        <v>84.14801720824255</v>
      </c>
      <c r="P256" s="227">
        <f t="shared" si="88"/>
        <v>4.8185441357261993</v>
      </c>
      <c r="Q256" s="227">
        <f t="shared" si="89"/>
        <v>2864.3816097246759</v>
      </c>
      <c r="R256" s="227" t="str">
        <f t="shared" si="75"/>
        <v>0.0878666666666667+0.0845879700885742i</v>
      </c>
      <c r="S256" s="227" t="str">
        <f t="shared" si="76"/>
        <v>0.0085-2.1279621654417i</v>
      </c>
      <c r="T256" s="227" t="str">
        <f t="shared" si="77"/>
        <v>0.344851333777079-2.07056123505105i</v>
      </c>
      <c r="U256" s="227" t="str">
        <f t="shared" si="78"/>
        <v>23.0527917431663-90.672217974646i</v>
      </c>
      <c r="V256" s="227">
        <f t="shared" si="90"/>
        <v>39.421510895215448</v>
      </c>
      <c r="W256" s="227">
        <f t="shared" si="91"/>
        <v>-75.735171385677717</v>
      </c>
      <c r="X256" s="227" t="str">
        <f t="shared" si="79"/>
        <v>0.999941655594623-0.00224934770511794i</v>
      </c>
      <c r="Y256" s="227" t="str">
        <f t="shared" si="80"/>
        <v>228.71324481788+16.3049412861246i</v>
      </c>
      <c r="Z256" s="227" t="str">
        <f t="shared" si="81"/>
        <v>119.116033530891+8.2225009100457i</v>
      </c>
      <c r="AA256" s="227" t="str">
        <f t="shared" si="82"/>
        <v>1.09040447045953-5.97120870101935i</v>
      </c>
      <c r="AB256" s="227">
        <f t="shared" si="92"/>
        <v>15.663704897114437</v>
      </c>
      <c r="AC256" s="227">
        <f t="shared" si="93"/>
        <v>-79.651224558391334</v>
      </c>
      <c r="AD256" s="229">
        <f t="shared" si="94"/>
        <v>-10.845160761388238</v>
      </c>
      <c r="AE256" s="229">
        <f t="shared" si="95"/>
        <v>163.79924176663388</v>
      </c>
      <c r="AF256" s="227">
        <f t="shared" si="83"/>
        <v>4.8185441357261993</v>
      </c>
      <c r="AG256" s="227">
        <f t="shared" si="84"/>
        <v>84.14801720824255</v>
      </c>
      <c r="AH256" s="229" t="str">
        <f t="shared" si="85"/>
        <v>0.275514439834355-0.0800482980207468i</v>
      </c>
    </row>
    <row r="257" spans="9:34" x14ac:dyDescent="0.2">
      <c r="I257" s="227">
        <v>253</v>
      </c>
      <c r="J257" s="227">
        <f t="shared" si="73"/>
        <v>3.4667809992762004</v>
      </c>
      <c r="K257" s="227">
        <f t="shared" si="97"/>
        <v>2929.4156627356683</v>
      </c>
      <c r="L257" s="227">
        <f t="shared" si="86"/>
        <v>18406.0614507225</v>
      </c>
      <c r="M257" s="227">
        <f t="shared" si="74"/>
        <v>2824.2345432461884</v>
      </c>
      <c r="N257" s="227">
        <f>SQRT((ABS(AC257)-171.5+'Small Signal'!C$59)^2)</f>
        <v>21.286355080978538</v>
      </c>
      <c r="O257" s="227">
        <f t="shared" si="87"/>
        <v>83.805862805465594</v>
      </c>
      <c r="P257" s="227">
        <f t="shared" si="88"/>
        <v>4.6358584607887803</v>
      </c>
      <c r="Q257" s="227">
        <f t="shared" si="89"/>
        <v>2929.4156627356683</v>
      </c>
      <c r="R257" s="227" t="str">
        <f t="shared" si="75"/>
        <v>0.0878666666666667+0.0865084888183957i</v>
      </c>
      <c r="S257" s="227" t="str">
        <f t="shared" si="76"/>
        <v>0.0085-2.08072066058012i</v>
      </c>
      <c r="T257" s="227" t="str">
        <f t="shared" si="77"/>
        <v>0.33044607988319-2.02688219303237i</v>
      </c>
      <c r="U257" s="227" t="str">
        <f t="shared" si="78"/>
        <v>18.9742250914886-90.9845740818074i</v>
      </c>
      <c r="V257" s="227">
        <f t="shared" si="90"/>
        <v>39.364239558163007</v>
      </c>
      <c r="W257" s="227">
        <f t="shared" si="91"/>
        <v>-78.220180707927369</v>
      </c>
      <c r="X257" s="227" t="str">
        <f t="shared" si="79"/>
        <v>0.999938976169777-0.00230041778509547i</v>
      </c>
      <c r="Y257" s="227" t="str">
        <f t="shared" si="80"/>
        <v>232.203820430149+8.68395247128792i</v>
      </c>
      <c r="Z257" s="227" t="str">
        <f t="shared" si="81"/>
        <v>120.924647040591+4.24377751898229i</v>
      </c>
      <c r="AA257" s="227" t="str">
        <f t="shared" si="82"/>
        <v>1.01150495577187-5.86431532693479i</v>
      </c>
      <c r="AB257" s="227">
        <f t="shared" si="92"/>
        <v>15.491668464979654</v>
      </c>
      <c r="AC257" s="227">
        <f t="shared" si="93"/>
        <v>-80.213644919021462</v>
      </c>
      <c r="AD257" s="229">
        <f t="shared" si="94"/>
        <v>-10.855810004190873</v>
      </c>
      <c r="AE257" s="229">
        <f t="shared" si="95"/>
        <v>164.01950772448706</v>
      </c>
      <c r="AF257" s="227">
        <f t="shared" si="83"/>
        <v>4.6358584607887803</v>
      </c>
      <c r="AG257" s="227">
        <f t="shared" si="84"/>
        <v>83.805862805465594</v>
      </c>
      <c r="AH257" s="229" t="str">
        <f t="shared" si="85"/>
        <v>0.275482178979918-0.0788917470015663i</v>
      </c>
    </row>
    <row r="258" spans="9:34" x14ac:dyDescent="0.2">
      <c r="I258" s="227">
        <v>254</v>
      </c>
      <c r="J258" s="227">
        <f t="shared" si="73"/>
        <v>3.4765311218029837</v>
      </c>
      <c r="K258" s="227">
        <f t="shared" si="97"/>
        <v>2995.9262746090267</v>
      </c>
      <c r="L258" s="227">
        <f t="shared" si="86"/>
        <v>18823.95995001671</v>
      </c>
      <c r="M258" s="227">
        <f t="shared" si="74"/>
        <v>2756.2138481340321</v>
      </c>
      <c r="N258" s="227">
        <f>SQRT((ABS(AC258)-171.5+'Small Signal'!C$59)^2)</f>
        <v>20.726874894313028</v>
      </c>
      <c r="O258" s="227">
        <f t="shared" si="87"/>
        <v>83.459475918732124</v>
      </c>
      <c r="P258" s="227">
        <f t="shared" si="88"/>
        <v>4.4529908384002326</v>
      </c>
      <c r="Q258" s="227">
        <f t="shared" si="89"/>
        <v>2995.9262746090267</v>
      </c>
      <c r="R258" s="227" t="str">
        <f t="shared" si="75"/>
        <v>0.0878666666666667+0.0884726117650785i</v>
      </c>
      <c r="S258" s="227" t="str">
        <f t="shared" si="76"/>
        <v>0.0085-2.03452793366103i</v>
      </c>
      <c r="T258" s="227" t="str">
        <f t="shared" si="77"/>
        <v>0.316642848963889-1.98402854059251i</v>
      </c>
      <c r="U258" s="227" t="str">
        <f t="shared" si="78"/>
        <v>14.7901980240609-90.9995370146471i</v>
      </c>
      <c r="V258" s="227">
        <f t="shared" si="90"/>
        <v>39.294018445493904</v>
      </c>
      <c r="W258" s="227">
        <f t="shared" si="91"/>
        <v>-80.76841256742992</v>
      </c>
      <c r="X258" s="227" t="str">
        <f t="shared" si="79"/>
        <v>0.999936173694273-0.00235264738036846i</v>
      </c>
      <c r="Y258" s="227" t="str">
        <f t="shared" si="80"/>
        <v>235.143228467449+0.572742842968303i</v>
      </c>
      <c r="Z258" s="227" t="str">
        <f t="shared" si="81"/>
        <v>122.445224672843+0.0101532844160444i</v>
      </c>
      <c r="AA258" s="227" t="str">
        <f t="shared" si="82"/>
        <v>0.935418005601815-5.75833009718891i</v>
      </c>
      <c r="AB258" s="227">
        <f t="shared" si="92"/>
        <v>15.319049852963783</v>
      </c>
      <c r="AC258" s="227">
        <f t="shared" si="93"/>
        <v>-80.773125105686972</v>
      </c>
      <c r="AD258" s="229">
        <f t="shared" si="94"/>
        <v>-10.86605901456355</v>
      </c>
      <c r="AE258" s="229">
        <f t="shared" si="95"/>
        <v>164.2326010244191</v>
      </c>
      <c r="AF258" s="227">
        <f t="shared" si="83"/>
        <v>4.4529908384002326</v>
      </c>
      <c r="AG258" s="227">
        <f t="shared" si="84"/>
        <v>83.459475918732124</v>
      </c>
      <c r="AH258" s="229" t="str">
        <f t="shared" si="85"/>
        <v>0.275448475345951-0.0777748106079834i</v>
      </c>
    </row>
    <row r="259" spans="9:34" x14ac:dyDescent="0.2">
      <c r="I259" s="227">
        <v>255</v>
      </c>
      <c r="J259" s="227">
        <f t="shared" si="73"/>
        <v>3.486281244329767</v>
      </c>
      <c r="K259" s="227">
        <f t="shared" si="97"/>
        <v>3063.946969721183</v>
      </c>
      <c r="L259" s="227">
        <f t="shared" si="86"/>
        <v>19251.346582129554</v>
      </c>
      <c r="M259" s="227">
        <f t="shared" si="74"/>
        <v>2686.6487842559386</v>
      </c>
      <c r="N259" s="227">
        <f>SQRT((ABS(AC259)-171.5+'Small Signal'!C$59)^2)</f>
        <v>20.170196619424658</v>
      </c>
      <c r="O259" s="227">
        <f t="shared" si="87"/>
        <v>83.108772918631715</v>
      </c>
      <c r="P259" s="227">
        <f t="shared" si="88"/>
        <v>4.2699583370964938</v>
      </c>
      <c r="Q259" s="227">
        <f t="shared" si="89"/>
        <v>3063.946969721183</v>
      </c>
      <c r="R259" s="227" t="str">
        <f t="shared" si="75"/>
        <v>0.0878666666666667+0.0904813289360089i</v>
      </c>
      <c r="S259" s="227" t="str">
        <f t="shared" si="76"/>
        <v>0.0085-1.98936070144705i</v>
      </c>
      <c r="T259" s="227" t="str">
        <f t="shared" si="77"/>
        <v>0.303417734832245-1.9419908636587i</v>
      </c>
      <c r="U259" s="227" t="str">
        <f t="shared" si="78"/>
        <v>10.5338117578408-90.6951188277573i</v>
      </c>
      <c r="V259" s="227">
        <f t="shared" si="90"/>
        <v>39.209871807827582</v>
      </c>
      <c r="W259" s="227">
        <f t="shared" si="91"/>
        <v>-83.375047713667229</v>
      </c>
      <c r="X259" s="227" t="str">
        <f t="shared" si="79"/>
        <v>0.999933242517097-0.00240606281703082i</v>
      </c>
      <c r="Y259" s="227" t="str">
        <f t="shared" si="80"/>
        <v>237.453995159995-7.97634649332284i</v>
      </c>
      <c r="Z259" s="227" t="str">
        <f t="shared" si="81"/>
        <v>123.637436087659-4.45097945406835i</v>
      </c>
      <c r="AA259" s="227" t="str">
        <f t="shared" si="82"/>
        <v>0.862068496396474-5.65330860644154i</v>
      </c>
      <c r="AB259" s="227">
        <f t="shared" si="92"/>
        <v>15.145883950396101</v>
      </c>
      <c r="AC259" s="227">
        <f t="shared" si="93"/>
        <v>-81.329803380575342</v>
      </c>
      <c r="AD259" s="229">
        <f t="shared" si="94"/>
        <v>-10.875925613299607</v>
      </c>
      <c r="AE259" s="229">
        <f t="shared" si="95"/>
        <v>164.43857629920706</v>
      </c>
      <c r="AF259" s="227">
        <f t="shared" si="83"/>
        <v>4.2699583370964938</v>
      </c>
      <c r="AG259" s="227">
        <f t="shared" si="84"/>
        <v>83.108772918631715</v>
      </c>
      <c r="AH259" s="229" t="str">
        <f t="shared" si="85"/>
        <v>0.275413262058799-0.0766969154331484i</v>
      </c>
    </row>
    <row r="260" spans="9:34" x14ac:dyDescent="0.2">
      <c r="I260" s="227">
        <v>256</v>
      </c>
      <c r="J260" s="227">
        <f t="shared" ref="J260:J323" si="98">1+I260*(LOG(fsw)-1)/500</f>
        <v>3.4960313668565504</v>
      </c>
      <c r="K260" s="227">
        <f t="shared" si="97"/>
        <v>3133.5120335992765</v>
      </c>
      <c r="L260" s="227">
        <f t="shared" si="86"/>
        <v>19688.436769381398</v>
      </c>
      <c r="M260" s="227">
        <f t="shared" ref="M260:M323" si="99">SQRT((Fco_target-K261)^2)</f>
        <v>2615.5042876526154</v>
      </c>
      <c r="N260" s="227">
        <f>SQRT((ABS(AC260)-171.5+'Small Signal'!C$59)^2)</f>
        <v>19.616177535961597</v>
      </c>
      <c r="O260" s="227">
        <f t="shared" si="87"/>
        <v>82.753665334433279</v>
      </c>
      <c r="P260" s="227">
        <f t="shared" si="88"/>
        <v>4.0867781578628968</v>
      </c>
      <c r="Q260" s="227">
        <f t="shared" si="89"/>
        <v>3133.5120335992765</v>
      </c>
      <c r="R260" s="227" t="str">
        <f t="shared" ref="R260:R323" si="100">IMSUM(COMPLEX(DCRss,Lss*L260),COMPLEX(Rdsonss,0),COMPLEX(40/3*Risense,0))</f>
        <v>0.0878666666666667+0.0925356528160926i</v>
      </c>
      <c r="S260" s="227" t="str">
        <f t="shared" ref="S260:S323" si="101">IMSUM(COMPLEX(ESRss,0),IMDIV(COMPLEX(1,0),COMPLEX(0,L260*Cbulkss)))</f>
        <v>0.0085-1.94519619759679i</v>
      </c>
      <c r="T260" s="227" t="str">
        <f t="shared" ref="T260:T323" si="102">IMDIV(IMPRODUCT(S260,COMPLEX(Ross,0)),IMSUM(S260,COMPLEX(Ross,0)))</f>
        <v>0.29074767498091-1.90075942678729i</v>
      </c>
      <c r="U260" s="227" t="str">
        <f t="shared" ref="U260:U323" si="103">IMPRODUCT(COMPLEX(Vinss,0),COMPLEX(M^2,0),IMDIV(IMSUB(COMPLEX(1,0),IMDIV(IMPRODUCT(R260,COMPLEX(M^2,0)),COMPLEX(Ross,0))),IMSUM(COMPLEX(1,0),IMDIV(IMPRODUCT(R260,COMPLEX(M^2,0)),T260))))</f>
        <v>6.24297479153023-90.0540541703162i</v>
      </c>
      <c r="V260" s="227">
        <f t="shared" si="90"/>
        <v>39.110887239996664</v>
      </c>
      <c r="W260" s="227">
        <f t="shared" si="91"/>
        <v>-86.034329188250126</v>
      </c>
      <c r="X260" s="227" t="str">
        <f t="shared" ref="X260:X323" si="104">IMSUM(COMPLEX(1,L260/(wn*q0)),IMPOWER(COMPLEX(0,L260/wn),2))</f>
        <v>0.999930176727718-0.00246069101889447i</v>
      </c>
      <c r="Y260" s="227" t="str">
        <f t="shared" ref="Y260:Y323" si="105">IMPRODUCT(COMPLEX(2*Ioutss*M^2,0),IMDIV(IMSUM(COMPLEX(1,0),IMDIV(COMPLEX(Ross,0),IMPRODUCT(COMPLEX(2,0),S260))),IMSUM(COMPLEX(1,0),IMDIV(IMPRODUCT(R260,COMPLEX(M^2,0)),T260))))</f>
        <v>239.064650147491-16.8962373211473i</v>
      </c>
      <c r="Z260" s="227" t="str">
        <f t="shared" ref="Z260:Z323" si="106">IMPRODUCT(COMPLEX(Fm*40/3*Risense,0),Y260,X260)</f>
        <v>124.464100253797-9.10455153990661i</v>
      </c>
      <c r="AA260" s="227" t="str">
        <f t="shared" ref="AA260:AA323" si="107">IMDIV(IMPRODUCT(COMPLEX(Fm,0),U260),IMSUM(COMPLEX(1,0),Z260))</f>
        <v>0.791381292134674-5.54930205826485i</v>
      </c>
      <c r="AB260" s="227">
        <f t="shared" si="92"/>
        <v>14.972205235662827</v>
      </c>
      <c r="AC260" s="227">
        <f t="shared" si="93"/>
        <v>-81.883822464038403</v>
      </c>
      <c r="AD260" s="229">
        <f t="shared" si="94"/>
        <v>-10.88542707779993</v>
      </c>
      <c r="AE260" s="229">
        <f t="shared" si="95"/>
        <v>164.63748779847168</v>
      </c>
      <c r="AF260" s="227">
        <f t="shared" ref="AF260:AF323" si="108">AD260+AB260</f>
        <v>4.0867781578628968</v>
      </c>
      <c r="AG260" s="227">
        <f t="shared" ref="AG260:AG323" si="109">AE260+AC260</f>
        <v>82.753665334433279</v>
      </c>
      <c r="AH260" s="229" t="str">
        <f t="shared" ref="AH260:AH323" si="110">IMDIV(IMPRODUCT(COMPLEX(gea*Rea*Rslss/(Rslss+Rshss),0),COMPLEX(1,L260*Ccompss*Rcompss),COMPLEX(1,k_3*L260*Cffss*Rshss)),IMPRODUCT(COMPLEX(1,L260*Rea*Ccompss),COMPLEX(1,L260*Rcompss*Chfss),COMPLEX(1,k_3*L260*Rffss*Cffss)))</f>
        <v>0.275376469302282-0.0756575070296708i</v>
      </c>
    </row>
    <row r="261" spans="9:34" x14ac:dyDescent="0.2">
      <c r="I261" s="227">
        <v>257</v>
      </c>
      <c r="J261" s="227">
        <f t="shared" si="98"/>
        <v>3.5057814893833337</v>
      </c>
      <c r="K261" s="227">
        <f t="shared" si="97"/>
        <v>3204.6565302025997</v>
      </c>
      <c r="L261" s="227">
        <f t="shared" ref="L261:L324" si="111">2*PI()*K261</f>
        <v>20135.450825126089</v>
      </c>
      <c r="M261" s="227">
        <f t="shared" si="99"/>
        <v>2542.7444982587535</v>
      </c>
      <c r="N261" s="227">
        <f>SQRT((ABS(AC261)-171.5+'Small Signal'!C$59)^2)</f>
        <v>19.064670769002518</v>
      </c>
      <c r="O261" s="227">
        <f t="shared" ref="O261:O324" si="112">ABS(AG261)</f>
        <v>82.394060015538415</v>
      </c>
      <c r="P261" s="227">
        <f t="shared" ref="P261:P324" si="113">ABS(AF261)</f>
        <v>3.9034676301611384</v>
      </c>
      <c r="Q261" s="227">
        <f t="shared" ref="Q261:Q304" si="114">K261</f>
        <v>3204.6565302025997</v>
      </c>
      <c r="R261" s="227" t="str">
        <f t="shared" si="100"/>
        <v>0.0878666666666667+0.0946366188780926i</v>
      </c>
      <c r="S261" s="227" t="str">
        <f t="shared" si="101"/>
        <v>0.0085-1.90201216118963i</v>
      </c>
      <c r="T261" s="227" t="str">
        <f t="shared" si="102"/>
        <v>0.278610429887594-1.86032420981253i</v>
      </c>
      <c r="U261" s="227" t="str">
        <f t="shared" si="103"/>
        <v>1.95957629468235-89.0649823490822i</v>
      </c>
      <c r="V261" s="227">
        <f t="shared" ref="V261:V324" si="115">20*LOG(IMABS(U261))</f>
        <v>38.996241514769842</v>
      </c>
      <c r="W261" s="227">
        <f t="shared" ref="W261:W324" si="116">IF(DEGREES(IMARGUMENT(U261))&gt;0,DEGREES(IMARGUMENT(U261))-360, DEGREES(IMARGUMENT(U261)))</f>
        <v>-88.73960183751808</v>
      </c>
      <c r="X261" s="227" t="str">
        <f t="shared" si="104"/>
        <v>0.999926970144167-0.00251655952106023i</v>
      </c>
      <c r="Y261" s="227" t="str">
        <f t="shared" si="105"/>
        <v>239.913051425198-26.1058599007056i</v>
      </c>
      <c r="Z261" s="227" t="str">
        <f t="shared" si="106"/>
        <v>124.892918252211-13.9082100394848i</v>
      </c>
      <c r="AA261" s="227" t="str">
        <f t="shared" si="107"/>
        <v>0.723281438992466-5.44635741890043i</v>
      </c>
      <c r="AB261" s="227">
        <f t="shared" ref="AB261:AB324" si="117">20*LOG(IMABS(AA261))</f>
        <v>14.798047789173701</v>
      </c>
      <c r="AC261" s="227">
        <f t="shared" ref="AC261:AC324" si="118">IF(DEGREES(IMARGUMENT(AA261))&gt;0,DEGREES(IMARGUMENT(AA261))-360, DEGREES(IMARGUMENT(AA261)))</f>
        <v>-82.435329230997482</v>
      </c>
      <c r="AD261" s="229">
        <f t="shared" ref="AD261:AD324" si="119">20*LOG(IMABS(AH261))</f>
        <v>-10.894580159012563</v>
      </c>
      <c r="AE261" s="229">
        <f t="shared" ref="AE261:AE324" si="120">180+DEGREES(IMARGUMENT(AH261))</f>
        <v>164.8293892465359</v>
      </c>
      <c r="AF261" s="227">
        <f t="shared" si="108"/>
        <v>3.9034676301611384</v>
      </c>
      <c r="AG261" s="227">
        <f t="shared" si="109"/>
        <v>82.394060015538415</v>
      </c>
      <c r="AH261" s="229" t="str">
        <f t="shared" si="110"/>
        <v>0.275338024186372-0.0746560495808713i</v>
      </c>
    </row>
    <row r="262" spans="9:34" x14ac:dyDescent="0.2">
      <c r="I262" s="227">
        <v>258</v>
      </c>
      <c r="J262" s="227">
        <f t="shared" si="98"/>
        <v>3.515531611910117</v>
      </c>
      <c r="K262" s="227">
        <f t="shared" si="97"/>
        <v>3277.4163195964616</v>
      </c>
      <c r="L262" s="227">
        <f t="shared" si="111"/>
        <v>20592.614064799083</v>
      </c>
      <c r="M262" s="227">
        <f t="shared" si="99"/>
        <v>2468.3327418279418</v>
      </c>
      <c r="N262" s="227">
        <f>SQRT((ABS(AC262)-171.5+'Small Signal'!C$59)^2)</f>
        <v>18.515525586015883</v>
      </c>
      <c r="O262" s="227">
        <f t="shared" si="112"/>
        <v>82.029859294432185</v>
      </c>
      <c r="P262" s="227">
        <f t="shared" si="113"/>
        <v>3.7200442098465771</v>
      </c>
      <c r="Q262" s="227">
        <f t="shared" si="114"/>
        <v>3277.4163195964616</v>
      </c>
      <c r="R262" s="227" t="str">
        <f t="shared" si="100"/>
        <v>0.0878666666666667+0.0967852861045557i</v>
      </c>
      <c r="S262" s="227" t="str">
        <f t="shared" si="101"/>
        <v>0.0085-1.85978682550516i</v>
      </c>
      <c r="T262" s="227" t="str">
        <f t="shared" si="102"/>
        <v>0.266984561985542-1.82067494225492i</v>
      </c>
      <c r="U262" s="227" t="str">
        <f t="shared" si="103"/>
        <v>-2.27167010962687-87.7234551029511i</v>
      </c>
      <c r="V262" s="227">
        <f t="shared" si="115"/>
        <v>38.86522594466043</v>
      </c>
      <c r="W262" s="227">
        <f t="shared" si="116"/>
        <v>-91.483389215837221</v>
      </c>
      <c r="X262" s="227" t="str">
        <f t="shared" si="104"/>
        <v>0.999923616300573-0.00257369648379672i</v>
      </c>
      <c r="Y262" s="227" t="str">
        <f t="shared" si="105"/>
        <v>239.949625153798-35.5117753425455i</v>
      </c>
      <c r="Z262" s="227" t="str">
        <f t="shared" si="106"/>
        <v>124.898160562569-18.8131683642077i</v>
      </c>
      <c r="AA262" s="227" t="str">
        <f t="shared" si="107"/>
        <v>0.65769434382302-5.34451757497353i</v>
      </c>
      <c r="AB262" s="227">
        <f t="shared" si="117"/>
        <v>14.623445308470334</v>
      </c>
      <c r="AC262" s="227">
        <f t="shared" si="118"/>
        <v>-82.984474413984117</v>
      </c>
      <c r="AD262" s="229">
        <f t="shared" si="119"/>
        <v>-10.903401098623757</v>
      </c>
      <c r="AE262" s="229">
        <f t="shared" si="120"/>
        <v>165.0143337084163</v>
      </c>
      <c r="AF262" s="227">
        <f t="shared" si="108"/>
        <v>3.7200442098465771</v>
      </c>
      <c r="AG262" s="227">
        <f t="shared" si="109"/>
        <v>82.029859294432185</v>
      </c>
      <c r="AH262" s="229" t="str">
        <f t="shared" si="110"/>
        <v>0.275297850610562-0.0736920255780853i</v>
      </c>
    </row>
    <row r="263" spans="9:34" x14ac:dyDescent="0.2">
      <c r="I263" s="227">
        <v>259</v>
      </c>
      <c r="J263" s="227">
        <f t="shared" si="98"/>
        <v>3.5252817344369003</v>
      </c>
      <c r="K263" s="227">
        <f t="shared" si="97"/>
        <v>3351.8280760272733</v>
      </c>
      <c r="L263" s="227">
        <f t="shared" si="111"/>
        <v>21060.156919486584</v>
      </c>
      <c r="M263" s="227">
        <f t="shared" si="99"/>
        <v>2392.2315114471744</v>
      </c>
      <c r="N263" s="227">
        <f>SQRT((ABS(AC263)-171.5+'Small Signal'!C$59)^2)</f>
        <v>17.968587687193263</v>
      </c>
      <c r="O263" s="227">
        <f t="shared" si="112"/>
        <v>81.66096115083937</v>
      </c>
      <c r="P263" s="227">
        <f t="shared" si="113"/>
        <v>3.5365254788696241</v>
      </c>
      <c r="Q263" s="227">
        <f t="shared" si="114"/>
        <v>3351.8280760272733</v>
      </c>
      <c r="R263" s="227" t="str">
        <f t="shared" si="100"/>
        <v>0.0878666666666667+0.0989827375215869i</v>
      </c>
      <c r="S263" s="227" t="str">
        <f t="shared" si="101"/>
        <v>0.0085-1.81849890705179i</v>
      </c>
      <c r="T263" s="227" t="str">
        <f t="shared" si="102"/>
        <v>0.25584941440171-1.78180113558491i</v>
      </c>
      <c r="U263" s="227" t="str">
        <f t="shared" si="103"/>
        <v>-6.40466761256955-86.0326663042805i</v>
      </c>
      <c r="V263" s="227">
        <f t="shared" si="115"/>
        <v>38.717269799488591</v>
      </c>
      <c r="W263" s="227">
        <f t="shared" si="116"/>
        <v>-94.257508064165108</v>
      </c>
      <c r="X263" s="227" t="str">
        <f t="shared" si="104"/>
        <v>0.999920108434124-0.00263213070673447i</v>
      </c>
      <c r="Y263" s="227" t="str">
        <f t="shared" si="105"/>
        <v>239.140253514157-45.0106705201823i</v>
      </c>
      <c r="Z263" s="227" t="str">
        <f t="shared" si="106"/>
        <v>124.462169708278-23.7655109181309i</v>
      </c>
      <c r="AA263" s="227" t="str">
        <f t="shared" si="107"/>
        <v>0.594545937000831-5.2438214939815i</v>
      </c>
      <c r="AB263" s="227">
        <f t="shared" si="117"/>
        <v>14.448431125315437</v>
      </c>
      <c r="AC263" s="227">
        <f t="shared" si="118"/>
        <v>-83.531412312806737</v>
      </c>
      <c r="AD263" s="229">
        <f t="shared" si="119"/>
        <v>-10.911905646445813</v>
      </c>
      <c r="AE263" s="229">
        <f t="shared" si="120"/>
        <v>165.19237346364611</v>
      </c>
      <c r="AF263" s="227">
        <f t="shared" si="108"/>
        <v>3.5365254788696241</v>
      </c>
      <c r="AG263" s="227">
        <f t="shared" si="109"/>
        <v>81.66096115083937</v>
      </c>
      <c r="AH263" s="229" t="str">
        <f t="shared" si="110"/>
        <v>0.275255869121704-0.0727649355036382i</v>
      </c>
    </row>
    <row r="264" spans="9:34" x14ac:dyDescent="0.2">
      <c r="I264" s="227">
        <v>260</v>
      </c>
      <c r="J264" s="227">
        <f t="shared" si="98"/>
        <v>3.5350318569636836</v>
      </c>
      <c r="K264" s="227">
        <f t="shared" si="97"/>
        <v>3427.9293064080407</v>
      </c>
      <c r="L264" s="227">
        <f t="shared" si="111"/>
        <v>21538.315052073311</v>
      </c>
      <c r="M264" s="227">
        <f t="shared" si="99"/>
        <v>2314.4024486316443</v>
      </c>
      <c r="N264" s="227">
        <f>SQRT((ABS(AC264)-171.5+'Small Signal'!C$59)^2)</f>
        <v>17.423699489241002</v>
      </c>
      <c r="O264" s="227">
        <f t="shared" si="112"/>
        <v>81.287259376869471</v>
      </c>
      <c r="P264" s="227">
        <f t="shared" si="113"/>
        <v>3.3529291466561855</v>
      </c>
      <c r="Q264" s="227">
        <f t="shared" si="114"/>
        <v>3427.9293064080407</v>
      </c>
      <c r="R264" s="227" t="str">
        <f t="shared" si="100"/>
        <v>0.0878666666666667+0.101230080744745i</v>
      </c>
      <c r="S264" s="227" t="str">
        <f t="shared" si="101"/>
        <v>0.0085-1.7781275948389i</v>
      </c>
      <c r="T264" s="227" t="str">
        <f t="shared" si="102"/>
        <v>0.245185089555329-1.74369211343611i</v>
      </c>
      <c r="U264" s="227" t="str">
        <f t="shared" si="103"/>
        <v>-10.3935814028177-84.0038139009225i</v>
      </c>
      <c r="V264" s="227">
        <f t="shared" si="115"/>
        <v>38.551960272585227</v>
      </c>
      <c r="W264" s="227">
        <f t="shared" si="116"/>
        <v>-97.053217613845703</v>
      </c>
      <c r="X264" s="227" t="str">
        <f t="shared" si="104"/>
        <v>0.999916439471433-0.00269189164338219i</v>
      </c>
      <c r="Y264" s="227" t="str">
        <f t="shared" si="105"/>
        <v>237.468541777208-54.4926286739259i</v>
      </c>
      <c r="Z264" s="227" t="str">
        <f t="shared" si="106"/>
        <v>123.576538205535-28.7079014264251i</v>
      </c>
      <c r="AA264" s="227" t="str">
        <f t="shared" si="107"/>
        <v>0.533762820229938-5.1443043864785i</v>
      </c>
      <c r="AB264" s="227">
        <f t="shared" si="117"/>
        <v>14.273038224607417</v>
      </c>
      <c r="AC264" s="227">
        <f t="shared" si="118"/>
        <v>-84.076300510758998</v>
      </c>
      <c r="AD264" s="229">
        <f t="shared" si="119"/>
        <v>-10.920109077951231</v>
      </c>
      <c r="AE264" s="229">
        <f t="shared" si="120"/>
        <v>165.36355988762847</v>
      </c>
      <c r="AF264" s="227">
        <f t="shared" si="108"/>
        <v>3.3529291466561855</v>
      </c>
      <c r="AG264" s="227">
        <f t="shared" si="109"/>
        <v>81.287259376869471</v>
      </c>
      <c r="AH264" s="229" t="str">
        <f t="shared" si="110"/>
        <v>0.275211996766136-0.071874297519091i</v>
      </c>
    </row>
    <row r="265" spans="9:34" x14ac:dyDescent="0.2">
      <c r="I265" s="227">
        <v>261</v>
      </c>
      <c r="J265" s="227">
        <f t="shared" si="98"/>
        <v>3.5447819794904678</v>
      </c>
      <c r="K265" s="227">
        <f t="shared" si="97"/>
        <v>3505.7583692235708</v>
      </c>
      <c r="L265" s="227">
        <f t="shared" si="111"/>
        <v>22027.329476027408</v>
      </c>
      <c r="M265" s="227">
        <f t="shared" si="99"/>
        <v>2234.8063239903709</v>
      </c>
      <c r="N265" s="227">
        <f>SQRT((ABS(AC265)-171.5+'Small Signal'!C$59)^2)</f>
        <v>16.880700402795881</v>
      </c>
      <c r="O265" s="227">
        <f t="shared" si="112"/>
        <v>80.908643743011893</v>
      </c>
      <c r="P265" s="227">
        <f t="shared" si="113"/>
        <v>3.1692730530577897</v>
      </c>
      <c r="Q265" s="227">
        <f t="shared" si="114"/>
        <v>3505.7583692235708</v>
      </c>
      <c r="R265" s="227" t="str">
        <f t="shared" si="100"/>
        <v>0.0878666666666667+0.103528448537329i</v>
      </c>
      <c r="S265" s="227" t="str">
        <f t="shared" si="101"/>
        <v>0.0085-1.73865253988712i</v>
      </c>
      <c r="T265" s="227" t="str">
        <f t="shared" si="102"/>
        <v>0.234972427700375-1.70633703986143i</v>
      </c>
      <c r="U265" s="227" t="str">
        <f t="shared" si="103"/>
        <v>-14.1945756427008-81.6560327728778i</v>
      </c>
      <c r="V265" s="227">
        <f t="shared" si="115"/>
        <v>38.369057607843644</v>
      </c>
      <c r="W265" s="227">
        <f t="shared" si="116"/>
        <v>-99.861397935452771</v>
      </c>
      <c r="X265" s="227" t="str">
        <f t="shared" si="104"/>
        <v>0.999912602014269-0.0027530094159727i</v>
      </c>
      <c r="Y265" s="227" t="str">
        <f t="shared" si="105"/>
        <v>234.937229935972-63.8449856807056i</v>
      </c>
      <c r="Z265" s="227" t="str">
        <f t="shared" si="106"/>
        <v>122.242839702493-33.5815955572705i</v>
      </c>
      <c r="AA265" s="227" t="str">
        <f t="shared" si="107"/>
        <v>0.475272399955415-5.04599786897768i</v>
      </c>
      <c r="AB265" s="227">
        <f t="shared" si="117"/>
        <v>14.097299264965766</v>
      </c>
      <c r="AC265" s="227">
        <f t="shared" si="118"/>
        <v>-84.619299597204119</v>
      </c>
      <c r="AD265" s="229">
        <f t="shared" si="119"/>
        <v>-10.928026211907977</v>
      </c>
      <c r="AE265" s="229">
        <f t="shared" si="120"/>
        <v>165.52794334021601</v>
      </c>
      <c r="AF265" s="227">
        <f t="shared" si="108"/>
        <v>3.1692730530577897</v>
      </c>
      <c r="AG265" s="227">
        <f t="shared" si="109"/>
        <v>80.908643743011893</v>
      </c>
      <c r="AH265" s="229" t="str">
        <f t="shared" si="110"/>
        <v>0.275166146935901-0.0710196471583578i</v>
      </c>
    </row>
    <row r="266" spans="9:34" x14ac:dyDescent="0.2">
      <c r="I266" s="227">
        <v>262</v>
      </c>
      <c r="J266" s="227">
        <f t="shared" si="98"/>
        <v>3.5545321020172511</v>
      </c>
      <c r="K266" s="227">
        <f t="shared" si="97"/>
        <v>3585.3544938648442</v>
      </c>
      <c r="L266" s="227">
        <f t="shared" si="111"/>
        <v>22527.446676881893</v>
      </c>
      <c r="M266" s="227">
        <f t="shared" si="99"/>
        <v>2153.403017452727</v>
      </c>
      <c r="N266" s="227">
        <f>SQRT((ABS(AC266)-171.5+'Small Signal'!C$59)^2)</f>
        <v>16.339427103695357</v>
      </c>
      <c r="O266" s="227">
        <f t="shared" si="112"/>
        <v>80.525000164910637</v>
      </c>
      <c r="P266" s="227">
        <f t="shared" si="113"/>
        <v>2.9855751727630437</v>
      </c>
      <c r="Q266" s="227">
        <f t="shared" si="114"/>
        <v>3585.3544938648442</v>
      </c>
      <c r="R266" s="227" t="str">
        <f t="shared" si="100"/>
        <v>0.0878666666666667+0.105878999381345i</v>
      </c>
      <c r="S266" s="227" t="str">
        <f t="shared" si="101"/>
        <v>0.0085-1.70005384497159i</v>
      </c>
      <c r="T266" s="227" t="str">
        <f t="shared" si="102"/>
        <v>0.225192985486893-1.6697249457241i</v>
      </c>
      <c r="U266" s="227" t="str">
        <f t="shared" si="103"/>
        <v>-17.7675107762884-79.0158770729169i</v>
      </c>
      <c r="V266" s="227">
        <f t="shared" si="115"/>
        <v>38.168504277203724</v>
      </c>
      <c r="W266" s="227">
        <f t="shared" si="116"/>
        <v>-102.67274882419576</v>
      </c>
      <c r="X266" s="227" t="str">
        <f t="shared" si="104"/>
        <v>0.999908588324646-0.0028155148306459i</v>
      </c>
      <c r="Y266" s="227" t="str">
        <f t="shared" si="105"/>
        <v>231.56858408958-72.9565038962381i</v>
      </c>
      <c r="Z266" s="227" t="str">
        <f t="shared" si="106"/>
        <v>120.472827713502-38.3286178312731i</v>
      </c>
      <c r="AA266" s="227" t="str">
        <f t="shared" si="107"/>
        <v>0.419003007046447-4.9489301266916i</v>
      </c>
      <c r="AB266" s="227">
        <f t="shared" si="117"/>
        <v>13.921246600839767</v>
      </c>
      <c r="AC266" s="227">
        <f t="shared" si="118"/>
        <v>-85.160572896304643</v>
      </c>
      <c r="AD266" s="229">
        <f t="shared" si="119"/>
        <v>-10.935671428076724</v>
      </c>
      <c r="AE266" s="229">
        <f t="shared" si="120"/>
        <v>165.68557306121528</v>
      </c>
      <c r="AF266" s="227">
        <f t="shared" si="108"/>
        <v>2.9855751727630437</v>
      </c>
      <c r="AG266" s="227">
        <f t="shared" si="109"/>
        <v>80.525000164910637</v>
      </c>
      <c r="AH266" s="229" t="str">
        <f t="shared" si="110"/>
        <v>0.275118229208826-0.0702005370252621i</v>
      </c>
    </row>
    <row r="267" spans="9:34" x14ac:dyDescent="0.2">
      <c r="I267" s="227">
        <v>263</v>
      </c>
      <c r="J267" s="227">
        <f t="shared" si="98"/>
        <v>3.5642822245440344</v>
      </c>
      <c r="K267" s="227">
        <f t="shared" si="97"/>
        <v>3666.7578004024881</v>
      </c>
      <c r="L267" s="227">
        <f t="shared" si="111"/>
        <v>23038.918736475051</v>
      </c>
      <c r="M267" s="227">
        <f t="shared" si="99"/>
        <v>2070.1514980461466</v>
      </c>
      <c r="N267" s="227">
        <f>SQRT((ABS(AC267)-171.5+'Small Signal'!C$59)^2)</f>
        <v>15.799713798400475</v>
      </c>
      <c r="O267" s="227">
        <f t="shared" si="112"/>
        <v>80.136210870917537</v>
      </c>
      <c r="P267" s="227">
        <f t="shared" si="113"/>
        <v>2.8018536210632696</v>
      </c>
      <c r="Q267" s="227">
        <f t="shared" si="114"/>
        <v>3666.7578004024881</v>
      </c>
      <c r="R267" s="227" t="str">
        <f t="shared" si="100"/>
        <v>0.0878666666666667+0.108282918061433i</v>
      </c>
      <c r="S267" s="227" t="str">
        <f t="shared" si="101"/>
        <v>0.0085-1.66231205459276i</v>
      </c>
      <c r="T267" s="227" t="str">
        <f t="shared" si="102"/>
        <v>0.215829014608005-1.63384475331299i</v>
      </c>
      <c r="U267" s="227" t="str">
        <f t="shared" si="103"/>
        <v>-21.0774665205958-76.1163765769381i</v>
      </c>
      <c r="V267" s="227">
        <f t="shared" si="115"/>
        <v>37.95042751148889</v>
      </c>
      <c r="W267" s="227">
        <f t="shared" si="116"/>
        <v>-105.47799868337098</v>
      </c>
      <c r="X267" s="227" t="str">
        <f t="shared" si="104"/>
        <v>0.999904390309214-0.00287943939297649i</v>
      </c>
      <c r="Y267" s="227" t="str">
        <f t="shared" si="105"/>
        <v>227.4037003526-81.7215472678181i</v>
      </c>
      <c r="Z267" s="227" t="str">
        <f t="shared" si="106"/>
        <v>118.288067299033-42.8939377999293i</v>
      </c>
      <c r="AA267" s="227" t="str">
        <f t="shared" si="107"/>
        <v>0.364884003439744-4.85312607532498i</v>
      </c>
      <c r="AB267" s="227">
        <f t="shared" si="117"/>
        <v>13.744912305996808</v>
      </c>
      <c r="AC267" s="227">
        <f t="shared" si="118"/>
        <v>-85.700286201599525</v>
      </c>
      <c r="AD267" s="229">
        <f t="shared" si="119"/>
        <v>-10.943058684933538</v>
      </c>
      <c r="AE267" s="229">
        <f t="shared" si="120"/>
        <v>165.83649707251706</v>
      </c>
      <c r="AF267" s="227">
        <f t="shared" si="108"/>
        <v>2.8018536210632696</v>
      </c>
      <c r="AG267" s="227">
        <f t="shared" si="109"/>
        <v>80.136210870917537</v>
      </c>
      <c r="AH267" s="229" t="str">
        <f t="shared" si="110"/>
        <v>0.275068149182284-0.0694165364951093i</v>
      </c>
    </row>
    <row r="268" spans="9:34" x14ac:dyDescent="0.2">
      <c r="I268" s="227">
        <v>264</v>
      </c>
      <c r="J268" s="227">
        <f t="shared" si="98"/>
        <v>3.5740323470708177</v>
      </c>
      <c r="K268" s="227">
        <f t="shared" si="97"/>
        <v>3750.0093198090685</v>
      </c>
      <c r="L268" s="227">
        <f t="shared" si="111"/>
        <v>23562.003460010852</v>
      </c>
      <c r="M268" s="227">
        <f t="shared" si="99"/>
        <v>1985.0098032146261</v>
      </c>
      <c r="N268" s="227">
        <f>SQRT((ABS(AC268)-171.5+'Small Signal'!C$59)^2)</f>
        <v>15.261392483921412</v>
      </c>
      <c r="O268" s="227">
        <f t="shared" si="112"/>
        <v>79.742154570479983</v>
      </c>
      <c r="P268" s="227">
        <f t="shared" si="113"/>
        <v>2.6181266608624725</v>
      </c>
      <c r="Q268" s="227">
        <f t="shared" si="114"/>
        <v>3750.0093198090685</v>
      </c>
      <c r="R268" s="227" t="str">
        <f t="shared" si="100"/>
        <v>0.0878666666666667+0.110741416262051i</v>
      </c>
      <c r="S268" s="227" t="str">
        <f t="shared" si="101"/>
        <v>0.0085-1.62540814517001i</v>
      </c>
      <c r="T268" s="227" t="str">
        <f t="shared" si="102"/>
        <v>0.206863440592232-1.59868529927054i</v>
      </c>
      <c r="U268" s="227" t="str">
        <f t="shared" si="103"/>
        <v>-24.0959705010446-72.9957363510254i</v>
      </c>
      <c r="V268" s="227">
        <f t="shared" si="115"/>
        <v>37.715134990050764</v>
      </c>
      <c r="W268" s="227">
        <f t="shared" si="116"/>
        <v>-108.26811185019774</v>
      </c>
      <c r="X268" s="227" t="str">
        <f t="shared" si="104"/>
        <v>0.999899999502943-0.00294481532385422i</v>
      </c>
      <c r="Y268" s="227" t="str">
        <f t="shared" si="105"/>
        <v>222.500765049238-90.0439331619791i</v>
      </c>
      <c r="Z268" s="227" t="str">
        <f t="shared" si="106"/>
        <v>115.719022925173-47.2274763129019i</v>
      </c>
      <c r="AA268" s="227" t="str">
        <f t="shared" si="107"/>
        <v>0.312845876443531-4.75860752122258i</v>
      </c>
      <c r="AB268" s="227">
        <f t="shared" si="117"/>
        <v>13.568328198249962</v>
      </c>
      <c r="AC268" s="227">
        <f t="shared" si="118"/>
        <v>-86.238607516078588</v>
      </c>
      <c r="AD268" s="229">
        <f t="shared" si="119"/>
        <v>-10.950201537387489</v>
      </c>
      <c r="AE268" s="229">
        <f t="shared" si="120"/>
        <v>165.98076208655857</v>
      </c>
      <c r="AF268" s="227">
        <f t="shared" si="108"/>
        <v>2.6181266608624725</v>
      </c>
      <c r="AG268" s="227">
        <f t="shared" si="109"/>
        <v>79.742154570479983</v>
      </c>
      <c r="AH268" s="229" t="str">
        <f t="shared" si="110"/>
        <v>0.27501580830041-0.0686672314198162i</v>
      </c>
    </row>
    <row r="269" spans="9:34" x14ac:dyDescent="0.2">
      <c r="I269" s="227">
        <v>265</v>
      </c>
      <c r="J269" s="227">
        <f t="shared" si="98"/>
        <v>3.5837824695976011</v>
      </c>
      <c r="K269" s="227">
        <f t="shared" si="97"/>
        <v>3835.151014640589</v>
      </c>
      <c r="L269" s="227">
        <f t="shared" si="111"/>
        <v>24096.964506004631</v>
      </c>
      <c r="M269" s="227">
        <f t="shared" si="99"/>
        <v>1897.9350176677126</v>
      </c>
      <c r="N269" s="227">
        <f>SQRT((ABS(AC269)-171.5+'Small Signal'!C$59)^2)</f>
        <v>14.724293202646848</v>
      </c>
      <c r="O269" s="227">
        <f t="shared" si="112"/>
        <v>79.342706623476332</v>
      </c>
      <c r="P269" s="227">
        <f t="shared" si="113"/>
        <v>2.4344127108237661</v>
      </c>
      <c r="Q269" s="227">
        <f t="shared" si="114"/>
        <v>3835.151014640589</v>
      </c>
      <c r="R269" s="227" t="str">
        <f t="shared" si="100"/>
        <v>0.0878666666666667+0.113255733178222i</v>
      </c>
      <c r="S269" s="227" t="str">
        <f t="shared" si="101"/>
        <v>0.0085-1.58932351545284i</v>
      </c>
      <c r="T269" s="227" t="str">
        <f t="shared" si="102"/>
        <v>0.19827984179367-1.56423535591804i</v>
      </c>
      <c r="U269" s="227" t="str">
        <f t="shared" si="103"/>
        <v>-26.8018430624936-69.695785250562i</v>
      </c>
      <c r="V269" s="227">
        <f t="shared" si="115"/>
        <v>37.463104022603979</v>
      </c>
      <c r="W269" s="227">
        <f t="shared" si="116"/>
        <v>-111.03448296749033</v>
      </c>
      <c r="X269" s="227" t="str">
        <f t="shared" si="104"/>
        <v>0.999895407052053-0.00301167557572462i</v>
      </c>
      <c r="Y269" s="227" t="str">
        <f t="shared" si="105"/>
        <v>216.932421523668-97.8401706737831i</v>
      </c>
      <c r="Z269" s="227" t="str">
        <f t="shared" si="106"/>
        <v>112.803681263293-51.2857907275522i</v>
      </c>
      <c r="AA269" s="227" t="str">
        <f t="shared" si="107"/>
        <v>0.262820321407252-4.6653933192599i</v>
      </c>
      <c r="AB269" s="227">
        <f t="shared" si="117"/>
        <v>13.391525865289498</v>
      </c>
      <c r="AC269" s="227">
        <f t="shared" si="118"/>
        <v>-86.775706797353152</v>
      </c>
      <c r="AD269" s="229">
        <f t="shared" si="119"/>
        <v>-10.957113154465732</v>
      </c>
      <c r="AE269" s="229">
        <f t="shared" si="120"/>
        <v>166.11841342082948</v>
      </c>
      <c r="AF269" s="227">
        <f t="shared" si="108"/>
        <v>2.4344127108237661</v>
      </c>
      <c r="AG269" s="227">
        <f t="shared" si="109"/>
        <v>79.342706623476332</v>
      </c>
      <c r="AH269" s="229" t="str">
        <f t="shared" si="110"/>
        <v>0.274961103674567-0.0679522238361332i</v>
      </c>
    </row>
    <row r="270" spans="9:34" x14ac:dyDescent="0.2">
      <c r="I270" s="227">
        <v>266</v>
      </c>
      <c r="J270" s="227">
        <f t="shared" si="98"/>
        <v>3.5935325921243844</v>
      </c>
      <c r="K270" s="227">
        <f t="shared" si="97"/>
        <v>3922.2258001875025</v>
      </c>
      <c r="L270" s="227">
        <f t="shared" si="111"/>
        <v>24644.071519178811</v>
      </c>
      <c r="M270" s="227">
        <f t="shared" si="99"/>
        <v>1808.883251749206</v>
      </c>
      <c r="N270" s="227">
        <f>SQRT((ABS(AC270)-171.5+'Small Signal'!C$59)^2)</f>
        <v>14.188244292530698</v>
      </c>
      <c r="O270" s="227">
        <f t="shared" si="112"/>
        <v>78.937739210671111</v>
      </c>
      <c r="P270" s="227">
        <f t="shared" si="113"/>
        <v>2.2507303545442863</v>
      </c>
      <c r="Q270" s="227">
        <f t="shared" si="114"/>
        <v>3922.2258001875025</v>
      </c>
      <c r="R270" s="227" t="str">
        <f t="shared" si="100"/>
        <v>0.0878666666666667+0.11582713614014i</v>
      </c>
      <c r="S270" s="227" t="str">
        <f t="shared" si="101"/>
        <v>0.0085-1.55403997714505i</v>
      </c>
      <c r="T270" s="227" t="str">
        <f t="shared" si="102"/>
        <v>0.190062428626447-1.53048365106171i</v>
      </c>
      <c r="U270" s="227" t="str">
        <f t="shared" si="103"/>
        <v>-29.1816103002105-66.2603005910776i</v>
      </c>
      <c r="V270" s="227">
        <f t="shared" si="115"/>
        <v>37.194965041173816</v>
      </c>
      <c r="W270" s="227">
        <f t="shared" si="116"/>
        <v>-113.76910831404238</v>
      </c>
      <c r="X270" s="227" t="str">
        <f t="shared" si="104"/>
        <v>0.999890603696159-0.00308005384919859i</v>
      </c>
      <c r="Y270" s="227" t="str">
        <f t="shared" si="105"/>
        <v>210.782478851142-105.041866332233i</v>
      </c>
      <c r="Z270" s="227" t="str">
        <f t="shared" si="106"/>
        <v>109.585831897425-55.0333251223031i</v>
      </c>
      <c r="AA270" s="227" t="str">
        <f t="shared" si="107"/>
        <v>0.214740313461226-4.57349952794408i</v>
      </c>
      <c r="AB270" s="227">
        <f t="shared" si="117"/>
        <v>13.214536691487675</v>
      </c>
      <c r="AC270" s="227">
        <f t="shared" si="118"/>
        <v>-87.311755707469302</v>
      </c>
      <c r="AD270" s="229">
        <f t="shared" si="119"/>
        <v>-10.963806336943389</v>
      </c>
      <c r="AE270" s="229">
        <f t="shared" si="120"/>
        <v>166.24949491814041</v>
      </c>
      <c r="AF270" s="227">
        <f t="shared" si="108"/>
        <v>2.2507303545442863</v>
      </c>
      <c r="AG270" s="227">
        <f t="shared" si="109"/>
        <v>78.937739210671111</v>
      </c>
      <c r="AH270" s="229" t="str">
        <f t="shared" si="110"/>
        <v>0.27490392789683-0.0672711316764693i</v>
      </c>
    </row>
    <row r="271" spans="9:34" x14ac:dyDescent="0.2">
      <c r="I271" s="227">
        <v>267</v>
      </c>
      <c r="J271" s="227">
        <f t="shared" si="98"/>
        <v>3.6032827146511677</v>
      </c>
      <c r="K271" s="227">
        <f t="shared" si="97"/>
        <v>4011.2775661060091</v>
      </c>
      <c r="L271" s="227">
        <f t="shared" si="111"/>
        <v>25203.600266376368</v>
      </c>
      <c r="M271" s="227">
        <f t="shared" si="99"/>
        <v>1717.8096193147903</v>
      </c>
      <c r="N271" s="227">
        <f>SQRT((ABS(AC271)-171.5+'Small Signal'!C$59)^2)</f>
        <v>13.653072633113069</v>
      </c>
      <c r="O271" s="227">
        <f t="shared" si="112"/>
        <v>78.527121505494236</v>
      </c>
      <c r="P271" s="227">
        <f t="shared" si="113"/>
        <v>2.0670983506501859</v>
      </c>
      <c r="Q271" s="227">
        <f t="shared" si="114"/>
        <v>4011.2775661060091</v>
      </c>
      <c r="R271" s="227" t="str">
        <f t="shared" si="100"/>
        <v>0.0878666666666667+0.118456921251969i</v>
      </c>
      <c r="S271" s="227" t="str">
        <f t="shared" si="101"/>
        <v>0.0085-1.51953974573696i</v>
      </c>
      <c r="T271" s="227" t="str">
        <f t="shared" si="102"/>
        <v>0.182196023083915-1.49741888635934i</v>
      </c>
      <c r="U271" s="227" t="str">
        <f t="shared" si="103"/>
        <v>-31.2294827983073-62.7333408868639i</v>
      </c>
      <c r="V271" s="227">
        <f t="shared" si="115"/>
        <v>36.911480600908703</v>
      </c>
      <c r="W271" s="227">
        <f t="shared" si="116"/>
        <v>-116.46472625776367</v>
      </c>
      <c r="X271" s="227" t="str">
        <f t="shared" si="104"/>
        <v>0.999885579749601-0.00314998461003906i</v>
      </c>
      <c r="Y271" s="227" t="str">
        <f t="shared" si="105"/>
        <v>204.142248473099-111.597173349826i</v>
      </c>
      <c r="Z271" s="227" t="str">
        <f t="shared" si="106"/>
        <v>106.113155241965-58.4431612989739i</v>
      </c>
      <c r="AA271" s="227" t="str">
        <f t="shared" si="107"/>
        <v>0.168540169022103-4.48293956126544i</v>
      </c>
      <c r="AB271" s="227">
        <f t="shared" si="117"/>
        <v>13.037391885547798</v>
      </c>
      <c r="AC271" s="227">
        <f t="shared" si="118"/>
        <v>-87.846927366886931</v>
      </c>
      <c r="AD271" s="229">
        <f t="shared" si="119"/>
        <v>-10.970293534897612</v>
      </c>
      <c r="AE271" s="229">
        <f t="shared" si="120"/>
        <v>166.37404887238117</v>
      </c>
      <c r="AF271" s="227">
        <f t="shared" si="108"/>
        <v>2.0670983506501859</v>
      </c>
      <c r="AG271" s="227">
        <f t="shared" si="109"/>
        <v>78.527121505494236</v>
      </c>
      <c r="AH271" s="229" t="str">
        <f t="shared" si="110"/>
        <v>0.274844168846298-0.0666235884818216i</v>
      </c>
    </row>
    <row r="272" spans="9:34" x14ac:dyDescent="0.2">
      <c r="I272" s="227">
        <v>268</v>
      </c>
      <c r="J272" s="227">
        <f t="shared" si="98"/>
        <v>3.6130328371779514</v>
      </c>
      <c r="K272" s="227">
        <f t="shared" si="97"/>
        <v>4102.3511985404248</v>
      </c>
      <c r="L272" s="227">
        <f t="shared" si="111"/>
        <v>25775.832775559764</v>
      </c>
      <c r="M272" s="227">
        <f t="shared" si="99"/>
        <v>1624.6682151073983</v>
      </c>
      <c r="N272" s="227">
        <f>SQRT((ABS(AC272)-171.5+'Small Signal'!C$59)^2)</f>
        <v>13.118603887906957</v>
      </c>
      <c r="O272" s="227">
        <f t="shared" si="112"/>
        <v>78.110719847412284</v>
      </c>
      <c r="P272" s="227">
        <f t="shared" si="113"/>
        <v>1.8835356437050184</v>
      </c>
      <c r="Q272" s="227">
        <f t="shared" si="114"/>
        <v>4102.3511985404248</v>
      </c>
      <c r="R272" s="227" t="str">
        <f t="shared" si="100"/>
        <v>0.0878666666666667+0.121146414045131i</v>
      </c>
      <c r="S272" s="227" t="str">
        <f t="shared" si="101"/>
        <v>0.0085-1.48580543154124i</v>
      </c>
      <c r="T272" s="227" t="str">
        <f t="shared" si="102"/>
        <v>0.174666038577771-1.46502975432526i</v>
      </c>
      <c r="U272" s="227" t="str">
        <f t="shared" si="103"/>
        <v>-32.9469396128799-59.1577064036823i</v>
      </c>
      <c r="V272" s="227">
        <f t="shared" si="115"/>
        <v>36.613521324943079</v>
      </c>
      <c r="W272" s="227">
        <f t="shared" si="116"/>
        <v>-119.11492184421576</v>
      </c>
      <c r="X272" s="227" t="str">
        <f t="shared" si="104"/>
        <v>0.999880325081912-0.00322150310653325i</v>
      </c>
      <c r="Y272" s="227" t="str">
        <f t="shared" si="105"/>
        <v>197.106805959457-117.47126337292i</v>
      </c>
      <c r="Z272" s="227" t="str">
        <f t="shared" si="106"/>
        <v>102.435272670257-61.4972599820911i</v>
      </c>
      <c r="AA272" s="227" t="str">
        <f t="shared" si="107"/>
        <v>0.124155597750126-4.39372433691047i</v>
      </c>
      <c r="AB272" s="227">
        <f t="shared" si="117"/>
        <v>12.860122508874598</v>
      </c>
      <c r="AC272" s="227">
        <f t="shared" si="118"/>
        <v>-88.381396112093043</v>
      </c>
      <c r="AD272" s="229">
        <f t="shared" si="119"/>
        <v>-10.97658686516958</v>
      </c>
      <c r="AE272" s="229">
        <f t="shared" si="120"/>
        <v>166.49211595950533</v>
      </c>
      <c r="AF272" s="227">
        <f t="shared" si="108"/>
        <v>1.8835356437050184</v>
      </c>
      <c r="AG272" s="227">
        <f t="shared" si="109"/>
        <v>78.110719847412284</v>
      </c>
      <c r="AH272" s="229" t="str">
        <f t="shared" si="110"/>
        <v>0.274781709488014-0.0660092431162753i</v>
      </c>
    </row>
    <row r="273" spans="9:34" x14ac:dyDescent="0.2">
      <c r="I273" s="227">
        <v>269</v>
      </c>
      <c r="J273" s="227">
        <f t="shared" si="98"/>
        <v>3.6227829597047347</v>
      </c>
      <c r="K273" s="227">
        <f t="shared" si="97"/>
        <v>4195.4926027478168</v>
      </c>
      <c r="L273" s="227">
        <f t="shared" si="111"/>
        <v>26361.057477965722</v>
      </c>
      <c r="M273" s="227">
        <f t="shared" si="99"/>
        <v>1529.4120916188267</v>
      </c>
      <c r="N273" s="227">
        <f>SQRT((ABS(AC273)-171.5+'Small Signal'!C$59)^2)</f>
        <v>12.584662743691823</v>
      </c>
      <c r="O273" s="227">
        <f t="shared" si="112"/>
        <v>77.688397917177653</v>
      </c>
      <c r="P273" s="227">
        <f t="shared" si="113"/>
        <v>1.7000613758214698</v>
      </c>
      <c r="Q273" s="227">
        <f t="shared" si="114"/>
        <v>4195.4926027478168</v>
      </c>
      <c r="R273" s="227" t="str">
        <f t="shared" si="100"/>
        <v>0.0878666666666667+0.123896970146439i</v>
      </c>
      <c r="S273" s="227" t="str">
        <f t="shared" si="101"/>
        <v>0.0085-1.45282003092772i</v>
      </c>
      <c r="T273" s="227" t="str">
        <f t="shared" si="102"/>
        <v>0.167458460127362-1.43330495404829i</v>
      </c>
      <c r="U273" s="227" t="str">
        <f t="shared" si="103"/>
        <v>-34.3419897069239-55.5736220030298i</v>
      </c>
      <c r="V273" s="227">
        <f t="shared" si="115"/>
        <v>36.302040305443327</v>
      </c>
      <c r="W273" s="227">
        <f t="shared" si="116"/>
        <v>-121.71419357496208</v>
      </c>
      <c r="X273" s="227" t="str">
        <f t="shared" si="104"/>
        <v>0.999874829097389-0.00329464538725942i</v>
      </c>
      <c r="Y273" s="227" t="str">
        <f t="shared" si="105"/>
        <v>189.771449190078-122.645893769975i</v>
      </c>
      <c r="Z273" s="227" t="str">
        <f t="shared" si="106"/>
        <v>98.6019002229383-64.1862306472395i</v>
      </c>
      <c r="AA273" s="227" t="str">
        <f t="shared" si="107"/>
        <v>0.0815237456269245-4.30586242050945i</v>
      </c>
      <c r="AB273" s="227">
        <f t="shared" si="117"/>
        <v>12.682759504543487</v>
      </c>
      <c r="AC273" s="227">
        <f t="shared" si="118"/>
        <v>-88.915337256308177</v>
      </c>
      <c r="AD273" s="229">
        <f t="shared" si="119"/>
        <v>-10.982698128722017</v>
      </c>
      <c r="AE273" s="229">
        <f t="shared" si="120"/>
        <v>166.60373517348583</v>
      </c>
      <c r="AF273" s="227">
        <f t="shared" si="108"/>
        <v>1.7000613758214698</v>
      </c>
      <c r="AG273" s="227">
        <f t="shared" si="109"/>
        <v>77.688397917177653</v>
      </c>
      <c r="AH273" s="229" t="str">
        <f t="shared" si="110"/>
        <v>0.274716427664247-0.0654277594825287i</v>
      </c>
    </row>
    <row r="274" spans="9:34" x14ac:dyDescent="0.2">
      <c r="I274" s="227">
        <v>270</v>
      </c>
      <c r="J274" s="227">
        <f t="shared" si="98"/>
        <v>3.6325330822315181</v>
      </c>
      <c r="K274" s="227">
        <f t="shared" si="97"/>
        <v>4290.7487262363884</v>
      </c>
      <c r="L274" s="227">
        <f t="shared" si="111"/>
        <v>26959.569353488001</v>
      </c>
      <c r="M274" s="227">
        <f t="shared" si="99"/>
        <v>1431.9932354260836</v>
      </c>
      <c r="N274" s="227">
        <f>SQRT((ABS(AC274)-171.5+'Small Signal'!C$59)^2)</f>
        <v>12.05107314729058</v>
      </c>
      <c r="O274" s="227">
        <f t="shared" si="112"/>
        <v>77.260016914289636</v>
      </c>
      <c r="P274" s="227">
        <f t="shared" si="113"/>
        <v>1.5166948988708473</v>
      </c>
      <c r="Q274" s="227">
        <f t="shared" si="114"/>
        <v>4290.7487262363884</v>
      </c>
      <c r="R274" s="227" t="str">
        <f t="shared" si="100"/>
        <v>0.0878666666666667+0.126709975961394i</v>
      </c>
      <c r="S274" s="227" t="str">
        <f t="shared" si="101"/>
        <v>0.0085-1.42056691775273i</v>
      </c>
      <c r="T274" s="227" t="str">
        <f t="shared" si="102"/>
        <v>0.160559824924921-1.40223320569421i</v>
      </c>
      <c r="U274" s="227" t="str">
        <f t="shared" si="103"/>
        <v>-35.4282028072962-52.0177038385636i</v>
      </c>
      <c r="V274" s="227">
        <f t="shared" si="115"/>
        <v>35.978047400848325</v>
      </c>
      <c r="W274" s="227">
        <f t="shared" si="116"/>
        <v>-124.25798328010382</v>
      </c>
      <c r="X274" s="227" t="str">
        <f t="shared" si="104"/>
        <v>0.99986908071373-0.00336944831925703i</v>
      </c>
      <c r="Y274" s="227" t="str">
        <f t="shared" si="105"/>
        <v>182.228570038116-127.118216229191i</v>
      </c>
      <c r="Z274" s="227" t="str">
        <f t="shared" si="106"/>
        <v>94.6612189048284-66.5087062677062i</v>
      </c>
      <c r="AA274" s="227" t="str">
        <f t="shared" si="107"/>
        <v>0.0405832298047362-4.21936016565156i</v>
      </c>
      <c r="AB274" s="227">
        <f t="shared" si="117"/>
        <v>12.505333726750852</v>
      </c>
      <c r="AC274" s="227">
        <f t="shared" si="118"/>
        <v>-89.44892685270942</v>
      </c>
      <c r="AD274" s="229">
        <f t="shared" si="119"/>
        <v>-10.988638827880004</v>
      </c>
      <c r="AE274" s="229">
        <f t="shared" si="120"/>
        <v>166.70894376699906</v>
      </c>
      <c r="AF274" s="227">
        <f t="shared" si="108"/>
        <v>1.5166948988708473</v>
      </c>
      <c r="AG274" s="227">
        <f t="shared" si="109"/>
        <v>77.260016914289636</v>
      </c>
      <c r="AH274" s="229" t="str">
        <f t="shared" si="110"/>
        <v>0.274648195877978-0.0648788162378729i</v>
      </c>
    </row>
    <row r="275" spans="9:34" x14ac:dyDescent="0.2">
      <c r="I275" s="227">
        <v>271</v>
      </c>
      <c r="J275" s="227">
        <f t="shared" si="98"/>
        <v>3.6422832047583014</v>
      </c>
      <c r="K275" s="227">
        <f t="shared" si="97"/>
        <v>4388.1675824291315</v>
      </c>
      <c r="L275" s="227">
        <f t="shared" si="111"/>
        <v>27571.670079360483</v>
      </c>
      <c r="M275" s="227">
        <f t="shared" si="99"/>
        <v>1332.3625429904314</v>
      </c>
      <c r="N275" s="227">
        <f>SQRT((ABS(AC275)-171.5+'Small Signal'!C$59)^2)</f>
        <v>11.517658540422516</v>
      </c>
      <c r="O275" s="227">
        <f t="shared" si="112"/>
        <v>76.825435737025444</v>
      </c>
      <c r="P275" s="227">
        <f t="shared" si="113"/>
        <v>1.3334557871797994</v>
      </c>
      <c r="Q275" s="227">
        <f t="shared" si="114"/>
        <v>4388.1675824291315</v>
      </c>
      <c r="R275" s="227" t="str">
        <f t="shared" si="100"/>
        <v>0.0878666666666667+0.129586849372994i</v>
      </c>
      <c r="S275" s="227" t="str">
        <f t="shared" si="101"/>
        <v>0.0085-1.38902983497886i</v>
      </c>
      <c r="T275" s="227" t="str">
        <f t="shared" si="102"/>
        <v>0.153957203298469-1.37180326386235i</v>
      </c>
      <c r="U275" s="227" t="str">
        <f t="shared" si="103"/>
        <v>-36.223607794076-48.5222368192921i</v>
      </c>
      <c r="V275" s="227">
        <f t="shared" si="115"/>
        <v>35.642584678458498</v>
      </c>
      <c r="W275" s="227">
        <f t="shared" si="116"/>
        <v>-126.74267234739335</v>
      </c>
      <c r="X275" s="227" t="str">
        <f t="shared" si="104"/>
        <v>0.999863068339687-0.00344594960660939i</v>
      </c>
      <c r="Y275" s="227" t="str">
        <f t="shared" si="105"/>
        <v>174.565086424363-130.899016948063i</v>
      </c>
      <c r="Z275" s="227" t="str">
        <f t="shared" si="106"/>
        <v>90.6585379099634-68.4704223885048i</v>
      </c>
      <c r="AA275" s="227" t="str">
        <f t="shared" si="107"/>
        <v>0.0012741658561258-4.13422184945327i</v>
      </c>
      <c r="AB275" s="227">
        <f t="shared" si="117"/>
        <v>12.327875970628599</v>
      </c>
      <c r="AC275" s="227">
        <f t="shared" si="118"/>
        <v>-89.982341459577484</v>
      </c>
      <c r="AD275" s="229">
        <f t="shared" si="119"/>
        <v>-10.994420183448799</v>
      </c>
      <c r="AE275" s="229">
        <f t="shared" si="120"/>
        <v>166.80777719660293</v>
      </c>
      <c r="AF275" s="227">
        <f t="shared" si="108"/>
        <v>1.3334557871797994</v>
      </c>
      <c r="AG275" s="227">
        <f t="shared" si="109"/>
        <v>76.825435737025444</v>
      </c>
      <c r="AH275" s="229" t="str">
        <f t="shared" si="110"/>
        <v>0.274576881068328-0.0643621065100246i</v>
      </c>
    </row>
    <row r="276" spans="9:34" x14ac:dyDescent="0.2">
      <c r="I276" s="227">
        <v>272</v>
      </c>
      <c r="J276" s="227">
        <f t="shared" si="98"/>
        <v>3.6520333272850847</v>
      </c>
      <c r="K276" s="227">
        <f t="shared" si="97"/>
        <v>4487.7982748647837</v>
      </c>
      <c r="L276" s="227">
        <f t="shared" si="111"/>
        <v>28197.668182216305</v>
      </c>
      <c r="M276" s="227">
        <f t="shared" si="99"/>
        <v>1230.4697959069608</v>
      </c>
      <c r="N276" s="227">
        <f>SQRT((ABS(AC276)-171.5+'Small Signal'!C$59)^2)</f>
        <v>10.984242093237839</v>
      </c>
      <c r="O276" s="227">
        <f t="shared" si="112"/>
        <v>76.384511165426943</v>
      </c>
      <c r="P276" s="227">
        <f t="shared" si="113"/>
        <v>1.1503638506054816</v>
      </c>
      <c r="Q276" s="227">
        <f t="shared" si="114"/>
        <v>4487.7982748647837</v>
      </c>
      <c r="R276" s="227" t="str">
        <f t="shared" si="100"/>
        <v>0.0878666666666667+0.132529040456417i</v>
      </c>
      <c r="S276" s="227" t="str">
        <f t="shared" si="101"/>
        <v>0.0085-1.35819288648057i</v>
      </c>
      <c r="T276" s="227" t="str">
        <f t="shared" si="102"/>
        <v>0.147638180090269-1.34200392986162i</v>
      </c>
      <c r="U276" s="227" t="str">
        <f t="shared" si="103"/>
        <v>-36.7495509585485-45.1147584675347i</v>
      </c>
      <c r="V276" s="227">
        <f t="shared" si="115"/>
        <v>35.29670398351675</v>
      </c>
      <c r="W276" s="227">
        <f t="shared" si="116"/>
        <v>-129.16554925730091</v>
      </c>
      <c r="X276" s="227" t="str">
        <f t="shared" si="104"/>
        <v>0.999856779851692-0.00352418780944822i</v>
      </c>
      <c r="Y276" s="227" t="str">
        <f t="shared" si="105"/>
        <v>166.860508048573-134.010594153312i</v>
      </c>
      <c r="Z276" s="227" t="str">
        <f t="shared" si="106"/>
        <v>86.6352887358001-70.0831079019519i</v>
      </c>
      <c r="AA276" s="227" t="str">
        <f t="shared" si="107"/>
        <v>-0.0364618119704292-4.05044980351449i</v>
      </c>
      <c r="AB276" s="227">
        <f t="shared" si="117"/>
        <v>12.150417002307561</v>
      </c>
      <c r="AC276" s="227">
        <f t="shared" si="118"/>
        <v>-90.515757906762161</v>
      </c>
      <c r="AD276" s="229">
        <f t="shared" si="119"/>
        <v>-11.00005315170208</v>
      </c>
      <c r="AE276" s="229">
        <f t="shared" si="120"/>
        <v>166.9002690721891</v>
      </c>
      <c r="AF276" s="227">
        <f t="shared" si="108"/>
        <v>1.1503638506054816</v>
      </c>
      <c r="AG276" s="227">
        <f t="shared" si="109"/>
        <v>76.384511165426943</v>
      </c>
      <c r="AH276" s="229" t="str">
        <f t="shared" si="110"/>
        <v>0.274502344377758-0.0638773376121874i</v>
      </c>
    </row>
    <row r="277" spans="9:34" x14ac:dyDescent="0.2">
      <c r="I277" s="227">
        <v>273</v>
      </c>
      <c r="J277" s="227">
        <f t="shared" si="98"/>
        <v>3.661783449811868</v>
      </c>
      <c r="K277" s="227">
        <f t="shared" si="97"/>
        <v>4589.6910219482543</v>
      </c>
      <c r="L277" s="227">
        <f t="shared" si="111"/>
        <v>28837.879193599332</v>
      </c>
      <c r="M277" s="227">
        <f t="shared" si="99"/>
        <v>1126.2636355922568</v>
      </c>
      <c r="N277" s="227">
        <f>SQRT((ABS(AC277)-171.5+'Small Signal'!C$59)^2)</f>
        <v>10.450646937147937</v>
      </c>
      <c r="O277" s="227">
        <f t="shared" si="112"/>
        <v>75.937098047644881</v>
      </c>
      <c r="P277" s="227">
        <f t="shared" si="113"/>
        <v>0.96743914787904295</v>
      </c>
      <c r="Q277" s="227">
        <f t="shared" si="114"/>
        <v>4589.6910219482543</v>
      </c>
      <c r="R277" s="227" t="str">
        <f t="shared" si="100"/>
        <v>0.0878666666666667+0.135538032209917i</v>
      </c>
      <c r="S277" s="227" t="str">
        <f t="shared" si="101"/>
        <v>0.0085-1.32804052903189i</v>
      </c>
      <c r="T277" s="227" t="str">
        <f t="shared" si="102"/>
        <v>0.141590836465471-1.31282406297001i</v>
      </c>
      <c r="U277" s="227" t="str">
        <f t="shared" si="103"/>
        <v>-37.0295920524515-41.8179203206079i</v>
      </c>
      <c r="V277" s="227">
        <f t="shared" si="115"/>
        <v>34.941447314562325</v>
      </c>
      <c r="W277" s="227">
        <f t="shared" si="116"/>
        <v>-131.52475433603524</v>
      </c>
      <c r="X277" s="227" t="str">
        <f t="shared" si="104"/>
        <v>0.999850202569408-0.00360420236338972i</v>
      </c>
      <c r="Y277" s="227" t="str">
        <f t="shared" si="105"/>
        <v>159.185642666895-136.484469154053i</v>
      </c>
      <c r="Z277" s="227" t="str">
        <f t="shared" si="106"/>
        <v>82.6283535170214-71.3632898415918i</v>
      </c>
      <c r="AA277" s="227" t="str">
        <f t="shared" si="107"/>
        <v>-0.0726815369090627-3.96804454014167i</v>
      </c>
      <c r="AB277" s="227">
        <f t="shared" si="117"/>
        <v>11.97298758911684</v>
      </c>
      <c r="AC277" s="227">
        <f t="shared" si="118"/>
        <v>-91.049353062852063</v>
      </c>
      <c r="AD277" s="229">
        <f t="shared" si="119"/>
        <v>-11.005548441237798</v>
      </c>
      <c r="AE277" s="229">
        <f t="shared" si="120"/>
        <v>166.98645111049694</v>
      </c>
      <c r="AF277" s="227">
        <f t="shared" si="108"/>
        <v>0.96743914787904295</v>
      </c>
      <c r="AG277" s="227">
        <f t="shared" si="109"/>
        <v>75.937098047644881</v>
      </c>
      <c r="AH277" s="229" t="str">
        <f t="shared" si="110"/>
        <v>0.274424440910827-0.063424230756694i</v>
      </c>
    </row>
    <row r="278" spans="9:34" x14ac:dyDescent="0.2">
      <c r="I278" s="227">
        <v>274</v>
      </c>
      <c r="J278" s="227">
        <f t="shared" si="98"/>
        <v>3.6715335723386517</v>
      </c>
      <c r="K278" s="227">
        <f t="shared" si="97"/>
        <v>4693.8971822629583</v>
      </c>
      <c r="L278" s="227">
        <f t="shared" si="111"/>
        <v>29492.62580900628</v>
      </c>
      <c r="M278" s="227">
        <f t="shared" si="99"/>
        <v>1019.6915373972806</v>
      </c>
      <c r="N278" s="227">
        <f>SQRT((ABS(AC278)-171.5+'Small Signal'!C$59)^2)</f>
        <v>9.9166963975773967</v>
      </c>
      <c r="O278" s="227">
        <f t="shared" si="112"/>
        <v>75.483049490070357</v>
      </c>
      <c r="P278" s="227">
        <f t="shared" si="113"/>
        <v>0.78470200010444557</v>
      </c>
      <c r="Q278" s="227">
        <f t="shared" si="114"/>
        <v>4693.8971822629583</v>
      </c>
      <c r="R278" s="227" t="str">
        <f t="shared" si="100"/>
        <v>0.0878666666666667+0.13861534130233i</v>
      </c>
      <c r="S278" s="227" t="str">
        <f t="shared" si="101"/>
        <v>0.0085-1.29855756447194i</v>
      </c>
      <c r="T278" s="227" t="str">
        <f t="shared" si="102"/>
        <v>0.135803732162414-1.28425259073758i</v>
      </c>
      <c r="U278" s="227" t="str">
        <f t="shared" si="103"/>
        <v>-37.0884968426112-38.6495819121414i</v>
      </c>
      <c r="V278" s="227">
        <f t="shared" si="115"/>
        <v>34.577830388529364</v>
      </c>
      <c r="W278" s="227">
        <f t="shared" si="116"/>
        <v>-133.81920792997551</v>
      </c>
      <c r="X278" s="227" t="str">
        <f t="shared" si="104"/>
        <v>0.999843323230168-0.00368603359941192i</v>
      </c>
      <c r="Y278" s="227" t="str">
        <f t="shared" si="105"/>
        <v>151.601897329456-138.359099607789i</v>
      </c>
      <c r="Z278" s="227" t="str">
        <f t="shared" si="106"/>
        <v>78.6697035924657-72.3311000923216i</v>
      </c>
      <c r="AA278" s="227" t="str">
        <f t="shared" si="107"/>
        <v>-0.107440301695014-3.88700487375603i</v>
      </c>
      <c r="AB278" s="227">
        <f t="shared" si="117"/>
        <v>11.795618529805562</v>
      </c>
      <c r="AC278" s="227">
        <f t="shared" si="118"/>
        <v>-91.583303602422603</v>
      </c>
      <c r="AD278" s="229">
        <f t="shared" si="119"/>
        <v>-11.010916529701117</v>
      </c>
      <c r="AE278" s="229">
        <f t="shared" si="120"/>
        <v>167.06635309249296</v>
      </c>
      <c r="AF278" s="227">
        <f t="shared" si="108"/>
        <v>0.78470200010444557</v>
      </c>
      <c r="AG278" s="227">
        <f t="shared" si="109"/>
        <v>75.483049490070357</v>
      </c>
      <c r="AH278" s="229" t="str">
        <f t="shared" si="110"/>
        <v>0.274343019484292-0.0630025207665327i</v>
      </c>
    </row>
    <row r="279" spans="9:34" x14ac:dyDescent="0.2">
      <c r="I279" s="227">
        <v>275</v>
      </c>
      <c r="J279" s="227">
        <f t="shared" si="98"/>
        <v>3.6812836948654351</v>
      </c>
      <c r="K279" s="227">
        <f t="shared" si="97"/>
        <v>4800.4692804579345</v>
      </c>
      <c r="L279" s="227">
        <f t="shared" si="111"/>
        <v>30162.238050540254</v>
      </c>
      <c r="M279" s="227">
        <f t="shared" si="99"/>
        <v>910.69978413262015</v>
      </c>
      <c r="N279" s="227">
        <f>SQRT((ABS(AC279)-171.5+'Small Signal'!C$59)^2)</f>
        <v>9.3822142272519784</v>
      </c>
      <c r="O279" s="227">
        <f t="shared" si="112"/>
        <v>75.022217051680002</v>
      </c>
      <c r="P279" s="227">
        <f t="shared" si="113"/>
        <v>0.60217300430041476</v>
      </c>
      <c r="Q279" s="227">
        <f t="shared" si="114"/>
        <v>4800.4692804579345</v>
      </c>
      <c r="R279" s="227" t="str">
        <f t="shared" si="100"/>
        <v>0.0878666666666667+0.141762518837539i</v>
      </c>
      <c r="S279" s="227" t="str">
        <f t="shared" si="101"/>
        <v>0.0085-1.26972913204428i</v>
      </c>
      <c r="T279" s="227" t="str">
        <f t="shared" si="102"/>
        <v>0.130265888193305-1.25627851839062i</v>
      </c>
      <c r="U279" s="227" t="str">
        <f t="shared" si="103"/>
        <v>-36.9513644483726-35.6230845154502i</v>
      </c>
      <c r="V279" s="227">
        <f t="shared" si="115"/>
        <v>34.206829516416846</v>
      </c>
      <c r="W279" s="227">
        <f t="shared" si="116"/>
        <v>-136.04852794938773</v>
      </c>
      <c r="X279" s="227" t="str">
        <f t="shared" si="104"/>
        <v>0.999836127962221-0.00376972276418334i</v>
      </c>
      <c r="Y279" s="227" t="str">
        <f t="shared" si="105"/>
        <v>144.16109348765-139.677726059095i</v>
      </c>
      <c r="Z279" s="227" t="str">
        <f t="shared" si="106"/>
        <v>74.7863058534509-73.0091522526466i</v>
      </c>
      <c r="AA279" s="227" t="str">
        <f t="shared" si="107"/>
        <v>-0.140791855917043-3.80732803744051i</v>
      </c>
      <c r="AB279" s="227">
        <f t="shared" si="117"/>
        <v>11.618340684673278</v>
      </c>
      <c r="AC279" s="227">
        <f t="shared" si="118"/>
        <v>-92.117785772748022</v>
      </c>
      <c r="AD279" s="229">
        <f t="shared" si="119"/>
        <v>-11.016167680372863</v>
      </c>
      <c r="AE279" s="229">
        <f t="shared" si="120"/>
        <v>167.14000282442802</v>
      </c>
      <c r="AF279" s="227">
        <f t="shared" si="108"/>
        <v>0.60217300430041476</v>
      </c>
      <c r="AG279" s="227">
        <f t="shared" si="109"/>
        <v>75.022217051680002</v>
      </c>
      <c r="AH279" s="229" t="str">
        <f t="shared" si="110"/>
        <v>0.274257922368436-0.0626119557840641i</v>
      </c>
    </row>
    <row r="280" spans="9:34" x14ac:dyDescent="0.2">
      <c r="I280" s="227">
        <v>276</v>
      </c>
      <c r="J280" s="227">
        <f t="shared" si="98"/>
        <v>3.6910338173922184</v>
      </c>
      <c r="K280" s="227">
        <f t="shared" si="97"/>
        <v>4909.4610337225949</v>
      </c>
      <c r="L280" s="227">
        <f t="shared" si="111"/>
        <v>30847.053433256511</v>
      </c>
      <c r="M280" s="227">
        <f t="shared" si="99"/>
        <v>799.23343899252359</v>
      </c>
      <c r="N280" s="227">
        <f>SQRT((ABS(AC280)-171.5+'Small Signal'!C$59)^2)</f>
        <v>8.8470248406460428</v>
      </c>
      <c r="O280" s="227">
        <f t="shared" si="112"/>
        <v>74.554450943045396</v>
      </c>
      <c r="P280" s="227">
        <f t="shared" si="113"/>
        <v>0.41987304686699822</v>
      </c>
      <c r="Q280" s="227">
        <f t="shared" si="114"/>
        <v>4909.4610337225949</v>
      </c>
      <c r="R280" s="227" t="str">
        <f t="shared" si="100"/>
        <v>0.0878666666666667+0.144981151136306i</v>
      </c>
      <c r="S280" s="227" t="str">
        <f t="shared" si="101"/>
        <v>0.0085-1.2415407009065i</v>
      </c>
      <c r="T280" s="227" t="str">
        <f t="shared" si="102"/>
        <v>0.124966770001595-1.22889093739232i</v>
      </c>
      <c r="U280" s="227" t="str">
        <f t="shared" si="103"/>
        <v>-36.6429088238757-32.7476509640528i</v>
      </c>
      <c r="V280" s="227">
        <f t="shared" si="115"/>
        <v>33.82937169850608</v>
      </c>
      <c r="W280" s="227">
        <f t="shared" si="116"/>
        <v>-138.21294208515849</v>
      </c>
      <c r="X280" s="227" t="str">
        <f t="shared" si="104"/>
        <v>0.999828602256771-0.00385531204085316i</v>
      </c>
      <c r="Y280" s="227" t="str">
        <f t="shared" si="105"/>
        <v>136.905696010399-140.48644224707i</v>
      </c>
      <c r="Z280" s="227" t="str">
        <f t="shared" si="106"/>
        <v>71.0002446340232-73.421535709244i</v>
      </c>
      <c r="AA280" s="227" t="str">
        <f t="shared" si="107"/>
        <v>-0.172788408204413-3.72900979461132i</v>
      </c>
      <c r="AB280" s="227">
        <f t="shared" si="117"/>
        <v>11.441185005496683</v>
      </c>
      <c r="AC280" s="227">
        <f t="shared" si="118"/>
        <v>-92.652975159353957</v>
      </c>
      <c r="AD280" s="229">
        <f t="shared" si="119"/>
        <v>-11.021311958629685</v>
      </c>
      <c r="AE280" s="229">
        <f t="shared" si="120"/>
        <v>167.20742610239935</v>
      </c>
      <c r="AF280" s="227">
        <f t="shared" si="108"/>
        <v>0.41987304686699822</v>
      </c>
      <c r="AG280" s="227">
        <f t="shared" si="109"/>
        <v>74.554450943045396</v>
      </c>
      <c r="AH280" s="229" t="str">
        <f t="shared" si="110"/>
        <v>0.274168985019329-0.0622522969761479i</v>
      </c>
    </row>
    <row r="281" spans="9:34" x14ac:dyDescent="0.2">
      <c r="I281" s="227">
        <v>277</v>
      </c>
      <c r="J281" s="227">
        <f t="shared" si="98"/>
        <v>3.7007839399190021</v>
      </c>
      <c r="K281" s="227">
        <f t="shared" si="97"/>
        <v>5020.9273788626915</v>
      </c>
      <c r="L281" s="227">
        <f t="shared" si="111"/>
        <v>31547.417135285774</v>
      </c>
      <c r="M281" s="227">
        <f t="shared" si="99"/>
        <v>685.23631786426995</v>
      </c>
      <c r="N281" s="227">
        <f>SQRT((ABS(AC281)-171.5+'Small Signal'!C$59)^2)</f>
        <v>8.3109535501951086</v>
      </c>
      <c r="O281" s="227">
        <f t="shared" si="112"/>
        <v>74.079600230450097</v>
      </c>
      <c r="P281" s="227">
        <f t="shared" si="113"/>
        <v>0.2378233168622863</v>
      </c>
      <c r="Q281" s="227">
        <f t="shared" si="114"/>
        <v>5020.9273788626915</v>
      </c>
      <c r="R281" s="227" t="str">
        <f t="shared" si="100"/>
        <v>0.0878666666666667+0.148272860535843i</v>
      </c>
      <c r="S281" s="227" t="str">
        <f t="shared" si="101"/>
        <v>0.0085-1.21397806280595i</v>
      </c>
      <c r="T281" s="227" t="str">
        <f t="shared" si="102"/>
        <v>0.119896271079963-1.20207903321191i</v>
      </c>
      <c r="U281" s="227" t="str">
        <f t="shared" si="103"/>
        <v>-36.1868980776136-30.0288621148351i</v>
      </c>
      <c r="V281" s="227">
        <f t="shared" si="115"/>
        <v>33.446327693595407</v>
      </c>
      <c r="W281" s="227">
        <f t="shared" si="116"/>
        <v>-140.31319912956377</v>
      </c>
      <c r="X281" s="227" t="str">
        <f t="shared" si="104"/>
        <v>0.999820730938711-0.00394284457031345i</v>
      </c>
      <c r="Y281" s="227" t="str">
        <f t="shared" si="105"/>
        <v>129.869351376775-140.832541615166i</v>
      </c>
      <c r="Z281" s="227" t="str">
        <f t="shared" si="106"/>
        <v>67.3290044641846-73.5929541306052i</v>
      </c>
      <c r="AA281" s="227" t="str">
        <f t="shared" si="107"/>
        <v>-0.203480632777472-3.65204454582698i</v>
      </c>
      <c r="AB281" s="227">
        <f t="shared" si="117"/>
        <v>11.26418256513757</v>
      </c>
      <c r="AC281" s="227">
        <f t="shared" si="118"/>
        <v>-93.189046449804891</v>
      </c>
      <c r="AD281" s="229">
        <f t="shared" si="119"/>
        <v>-11.026359248275284</v>
      </c>
      <c r="AE281" s="229">
        <f t="shared" si="120"/>
        <v>167.26864668025499</v>
      </c>
      <c r="AF281" s="227">
        <f t="shared" si="108"/>
        <v>0.2378233168622863</v>
      </c>
      <c r="AG281" s="227">
        <f t="shared" si="109"/>
        <v>74.079600230450097</v>
      </c>
      <c r="AH281" s="229" t="str">
        <f t="shared" si="110"/>
        <v>0.274076035802-0.0619233182349302i</v>
      </c>
    </row>
    <row r="282" spans="9:34" x14ac:dyDescent="0.2">
      <c r="I282" s="227">
        <v>278</v>
      </c>
      <c r="J282" s="227">
        <f t="shared" si="98"/>
        <v>3.7105340624457854</v>
      </c>
      <c r="K282" s="227">
        <f t="shared" si="97"/>
        <v>5134.9244999909452</v>
      </c>
      <c r="L282" s="227">
        <f t="shared" si="111"/>
        <v>32263.68217181959</v>
      </c>
      <c r="M282" s="227">
        <f t="shared" si="99"/>
        <v>568.65096100884875</v>
      </c>
      <c r="N282" s="227">
        <f>SQRT((ABS(AC282)-171.5+'Small Signal'!C$59)^2)</f>
        <v>7.7738268048702679</v>
      </c>
      <c r="O282" s="227">
        <f t="shared" si="112"/>
        <v>73.597513045562167</v>
      </c>
      <c r="P282" s="227">
        <f t="shared" si="113"/>
        <v>5.6045318963201751E-2</v>
      </c>
      <c r="Q282" s="227">
        <f t="shared" si="114"/>
        <v>5134.9244999909452</v>
      </c>
      <c r="R282" s="227" t="str">
        <f t="shared" si="100"/>
        <v>0.0878666666666667+0.151639306207552i</v>
      </c>
      <c r="S282" s="227" t="str">
        <f t="shared" si="101"/>
        <v>0.0085-1.18702732491818i</v>
      </c>
      <c r="T282" s="227" t="str">
        <f t="shared" si="102"/>
        <v>0.115044697050991-1.1758320923523i</v>
      </c>
      <c r="U282" s="227" t="str">
        <f t="shared" si="103"/>
        <v>-35.6057436535413-27.4691679162747i</v>
      </c>
      <c r="V282" s="227">
        <f t="shared" si="115"/>
        <v>33.058507717859179</v>
      </c>
      <c r="W282" s="227">
        <f t="shared" si="116"/>
        <v>-142.35048287032299</v>
      </c>
      <c r="X282" s="227" t="str">
        <f t="shared" si="104"/>
        <v>0.999812498136031-0.00403236447294421i</v>
      </c>
      <c r="Y282" s="227" t="str">
        <f t="shared" si="105"/>
        <v>123.077636008348-140.763160316675i</v>
      </c>
      <c r="Z282" s="227" t="str">
        <f t="shared" si="106"/>
        <v>63.7858620184469-73.548018834582i</v>
      </c>
      <c r="AA282" s="227" t="str">
        <f t="shared" si="107"/>
        <v>-0.232917679918211-3.57642543077218i</v>
      </c>
      <c r="AB282" s="227">
        <f t="shared" si="117"/>
        <v>11.087364586715553</v>
      </c>
      <c r="AC282" s="227">
        <f t="shared" si="118"/>
        <v>-93.726173195129732</v>
      </c>
      <c r="AD282" s="229">
        <f t="shared" si="119"/>
        <v>-11.031319267752352</v>
      </c>
      <c r="AE282" s="229">
        <f t="shared" si="120"/>
        <v>167.3236862406919</v>
      </c>
      <c r="AF282" s="227">
        <f t="shared" si="108"/>
        <v>5.6045318963201751E-2</v>
      </c>
      <c r="AG282" s="227">
        <f t="shared" si="109"/>
        <v>73.597513045562167</v>
      </c>
      <c r="AH282" s="229" t="str">
        <f t="shared" si="110"/>
        <v>0.273978895704237-0.0616248058734344i</v>
      </c>
    </row>
    <row r="283" spans="9:34" x14ac:dyDescent="0.2">
      <c r="I283" s="227">
        <v>279</v>
      </c>
      <c r="J283" s="227">
        <f t="shared" si="98"/>
        <v>3.7202841849725687</v>
      </c>
      <c r="K283" s="227">
        <f t="shared" si="97"/>
        <v>5251.5098568463663</v>
      </c>
      <c r="L283" s="227">
        <f t="shared" si="111"/>
        <v>32996.20957304586</v>
      </c>
      <c r="M283" s="227">
        <f t="shared" si="99"/>
        <v>449.41860409858236</v>
      </c>
      <c r="N283" s="227">
        <f>SQRT((ABS(AC283)-171.5+'Small Signal'!C$59)^2)</f>
        <v>7.2354724316911785</v>
      </c>
      <c r="O283" s="227">
        <f t="shared" si="112"/>
        <v>73.108036801101761</v>
      </c>
      <c r="P283" s="227">
        <f t="shared" si="113"/>
        <v>0.12543911400949348</v>
      </c>
      <c r="Q283" s="227">
        <f t="shared" si="114"/>
        <v>5251.5098568463663</v>
      </c>
      <c r="R283" s="227" t="str">
        <f t="shared" si="100"/>
        <v>0.0878666666666667+0.155082184993316i</v>
      </c>
      <c r="S283" s="227" t="str">
        <f t="shared" si="101"/>
        <v>0.0085-1.16067490284431i</v>
      </c>
      <c r="T283" s="227" t="str">
        <f t="shared" si="102"/>
        <v>0.11040275021068-1.15013950868333i</v>
      </c>
      <c r="U283" s="227" t="str">
        <f t="shared" si="103"/>
        <v>-34.9202237302174-25.068399851017i</v>
      </c>
      <c r="V283" s="227">
        <f t="shared" si="115"/>
        <v>32.666659378561228</v>
      </c>
      <c r="W283" s="227">
        <f t="shared" si="116"/>
        <v>-144.32633108355066</v>
      </c>
      <c r="X283" s="227" t="str">
        <f t="shared" si="104"/>
        <v>0.999803887247811-0.00412391687085194i</v>
      </c>
      <c r="Y283" s="227" t="str">
        <f t="shared" si="105"/>
        <v>116.548928072254-140.324212346918i</v>
      </c>
      <c r="Z283" s="227" t="str">
        <f t="shared" si="106"/>
        <v>60.3803420726368-73.3106946406308i</v>
      </c>
      <c r="AA283" s="227" t="str">
        <f t="shared" si="107"/>
        <v>-0.261147189944665-3.50214442547558i</v>
      </c>
      <c r="AB283" s="227">
        <f t="shared" si="117"/>
        <v>10.91076247222869</v>
      </c>
      <c r="AC283" s="227">
        <f t="shared" si="118"/>
        <v>-94.264527568308822</v>
      </c>
      <c r="AD283" s="229">
        <f t="shared" si="119"/>
        <v>-11.036201586238183</v>
      </c>
      <c r="AE283" s="229">
        <f t="shared" si="120"/>
        <v>167.37256436941058</v>
      </c>
      <c r="AF283" s="227">
        <f t="shared" si="108"/>
        <v>-0.12543911400949348</v>
      </c>
      <c r="AG283" s="227">
        <f t="shared" si="109"/>
        <v>73.108036801101761</v>
      </c>
      <c r="AH283" s="229" t="str">
        <f t="shared" si="110"/>
        <v>0.273877378040996-0.0613565583151241i</v>
      </c>
    </row>
    <row r="284" spans="9:34" x14ac:dyDescent="0.2">
      <c r="I284" s="227">
        <v>280</v>
      </c>
      <c r="J284" s="227">
        <f t="shared" si="98"/>
        <v>3.7300343074993521</v>
      </c>
      <c r="K284" s="227">
        <f t="shared" si="97"/>
        <v>5370.7422137566327</v>
      </c>
      <c r="L284" s="227">
        <f t="shared" si="111"/>
        <v>33745.368566124838</v>
      </c>
      <c r="M284" s="227">
        <f t="shared" si="99"/>
        <v>327.47914859726097</v>
      </c>
      <c r="N284" s="227">
        <f>SQRT((ABS(AC284)-171.5+'Small Signal'!C$59)^2)</f>
        <v>6.6957198807352114</v>
      </c>
      <c r="O284" s="227">
        <f t="shared" si="112"/>
        <v>72.611018412937668</v>
      </c>
      <c r="P284" s="227">
        <f t="shared" si="113"/>
        <v>0.3066078091345652</v>
      </c>
      <c r="Q284" s="227">
        <f t="shared" si="114"/>
        <v>5370.7422137566327</v>
      </c>
      <c r="R284" s="227" t="str">
        <f t="shared" si="100"/>
        <v>0.0878666666666667+0.158603232260787i</v>
      </c>
      <c r="S284" s="227" t="str">
        <f t="shared" si="101"/>
        <v>0.0085-1.13490751376385i</v>
      </c>
      <c r="T284" s="227" t="str">
        <f t="shared" si="102"/>
        <v>0.105961514533473-1.12499078912541i</v>
      </c>
      <c r="U284" s="227" t="str">
        <f t="shared" si="103"/>
        <v>-34.1493210355844-22.8242604103292i</v>
      </c>
      <c r="V284" s="227">
        <f t="shared" si="115"/>
        <v>32.271467436059822</v>
      </c>
      <c r="W284" s="227">
        <f t="shared" si="116"/>
        <v>-146.24256129786099</v>
      </c>
      <c r="X284" s="227" t="str">
        <f t="shared" si="104"/>
        <v>0.999794880910744-0.00421754791061333i</v>
      </c>
      <c r="Y284" s="227" t="str">
        <f t="shared" si="105"/>
        <v>110.295331780248-139.559595367104i</v>
      </c>
      <c r="Z284" s="227" t="str">
        <f t="shared" si="106"/>
        <v>57.1187004873617-72.9038869387313i</v>
      </c>
      <c r="AA284" s="227" t="str">
        <f t="shared" si="107"/>
        <v>-0.288215310299508-3.42919243483789i</v>
      </c>
      <c r="AB284" s="227">
        <f t="shared" si="117"/>
        <v>10.734407830500095</v>
      </c>
      <c r="AC284" s="227">
        <f t="shared" si="118"/>
        <v>-94.804280119264789</v>
      </c>
      <c r="AD284" s="229">
        <f t="shared" si="119"/>
        <v>-11.04101563963466</v>
      </c>
      <c r="AE284" s="229">
        <f t="shared" si="120"/>
        <v>167.41529853220246</v>
      </c>
      <c r="AF284" s="227">
        <f t="shared" si="108"/>
        <v>-0.3066078091345652</v>
      </c>
      <c r="AG284" s="227">
        <f t="shared" si="109"/>
        <v>72.611018412937668</v>
      </c>
      <c r="AH284" s="229" t="str">
        <f t="shared" si="110"/>
        <v>0.27377128814921-0.0611183857765083i</v>
      </c>
    </row>
    <row r="285" spans="9:34" x14ac:dyDescent="0.2">
      <c r="I285" s="227">
        <v>281</v>
      </c>
      <c r="J285" s="227">
        <f t="shared" si="98"/>
        <v>3.7397844300261354</v>
      </c>
      <c r="K285" s="227">
        <f t="shared" si="97"/>
        <v>5492.6816692579541</v>
      </c>
      <c r="L285" s="227">
        <f t="shared" si="111"/>
        <v>34511.536761296222</v>
      </c>
      <c r="M285" s="227">
        <f t="shared" si="99"/>
        <v>202.77113146774082</v>
      </c>
      <c r="N285" s="227">
        <f>SQRT((ABS(AC285)-171.5+'Small Signal'!C$59)^2)</f>
        <v>6.1544004741654561</v>
      </c>
      <c r="O285" s="227">
        <f t="shared" si="112"/>
        <v>72.106304529022893</v>
      </c>
      <c r="P285" s="227">
        <f t="shared" si="113"/>
        <v>0.48743824213000941</v>
      </c>
      <c r="Q285" s="227">
        <f t="shared" si="114"/>
        <v>5492.6816692579541</v>
      </c>
      <c r="R285" s="227" t="str">
        <f t="shared" si="100"/>
        <v>0.0878666666666667+0.162204222778092i</v>
      </c>
      <c r="S285" s="227" t="str">
        <f t="shared" si="101"/>
        <v>0.0085-1.10971216973959i</v>
      </c>
      <c r="T285" s="227" t="str">
        <f t="shared" si="102"/>
        <v>0.10171244113599-1.10037555872634i</v>
      </c>
      <c r="U285" s="227" t="str">
        <f t="shared" si="103"/>
        <v>-33.3101538902138-20.7327733464892i</v>
      </c>
      <c r="V285" s="227">
        <f t="shared" si="115"/>
        <v>31.873555003814392</v>
      </c>
      <c r="W285" s="227">
        <f t="shared" si="116"/>
        <v>-148.10120427903507</v>
      </c>
      <c r="X285" s="227" t="str">
        <f t="shared" si="104"/>
        <v>0.999785460964126-0.00431330478653518i</v>
      </c>
      <c r="Y285" s="227" t="str">
        <f t="shared" si="105"/>
        <v>104.323599644834-138.510635499614i</v>
      </c>
      <c r="Z285" s="227" t="str">
        <f t="shared" si="106"/>
        <v>54.0044058200243-72.3491533648945i</v>
      </c>
      <c r="AA285" s="227" t="str">
        <f t="shared" si="107"/>
        <v>-0.314166715389865-3.35755938056336i</v>
      </c>
      <c r="AB285" s="227">
        <f t="shared" si="117"/>
        <v>10.558332504329046</v>
      </c>
      <c r="AC285" s="227">
        <f t="shared" si="118"/>
        <v>-95.345599525834544</v>
      </c>
      <c r="AD285" s="229">
        <f t="shared" si="119"/>
        <v>-11.045770746459056</v>
      </c>
      <c r="AE285" s="229">
        <f t="shared" si="120"/>
        <v>167.45190405485744</v>
      </c>
      <c r="AF285" s="227">
        <f t="shared" si="108"/>
        <v>-0.48743824213000941</v>
      </c>
      <c r="AG285" s="227">
        <f t="shared" si="109"/>
        <v>72.106304529022893</v>
      </c>
      <c r="AH285" s="229" t="str">
        <f t="shared" si="110"/>
        <v>0.273660423072978-0.0609101099418646i</v>
      </c>
    </row>
    <row r="286" spans="9:34" x14ac:dyDescent="0.2">
      <c r="I286" s="227">
        <v>282</v>
      </c>
      <c r="J286" s="227">
        <f t="shared" si="98"/>
        <v>3.7495345525529187</v>
      </c>
      <c r="K286" s="227">
        <f t="shared" si="97"/>
        <v>5617.3896863874743</v>
      </c>
      <c r="L286" s="227">
        <f t="shared" si="111"/>
        <v>35295.100342211925</v>
      </c>
      <c r="M286" s="227">
        <f t="shared" si="99"/>
        <v>75.231694191758834</v>
      </c>
      <c r="N286" s="227">
        <f>SQRT((ABS(AC286)-171.5+'Small Signal'!C$59)^2)</f>
        <v>5.6113476597765697</v>
      </c>
      <c r="O286" s="227">
        <f t="shared" si="112"/>
        <v>71.593741765569817</v>
      </c>
      <c r="P286" s="227">
        <f t="shared" si="113"/>
        <v>0.66790752692856969</v>
      </c>
      <c r="Q286" s="227">
        <f t="shared" si="114"/>
        <v>5617.3896863874743</v>
      </c>
      <c r="R286" s="227" t="str">
        <f t="shared" si="100"/>
        <v>0.0878666666666667+0.165886971608396i</v>
      </c>
      <c r="S286" s="227" t="str">
        <f t="shared" si="101"/>
        <v>0.0085-1.08507617117106i</v>
      </c>
      <c r="T286" s="227" t="str">
        <f t="shared" si="102"/>
        <v>0.0976473341954496-1.07628356517109i</v>
      </c>
      <c r="U286" s="227" t="str">
        <f t="shared" si="103"/>
        <v>-32.4179798925522-18.7886852569746i</v>
      </c>
      <c r="V286" s="227">
        <f t="shared" si="115"/>
        <v>31.473485830685597</v>
      </c>
      <c r="W286" s="227">
        <f t="shared" si="116"/>
        <v>-149.90444560715608</v>
      </c>
      <c r="X286" s="227" t="str">
        <f t="shared" si="104"/>
        <v>0.999775608413236-0.0044112357644425i</v>
      </c>
      <c r="Y286" s="227" t="str">
        <f t="shared" si="105"/>
        <v>98.636013572012-137.2157345781i</v>
      </c>
      <c r="Z286" s="227" t="str">
        <f t="shared" si="106"/>
        <v>51.0385992132092-71.6665209919162i</v>
      </c>
      <c r="AA286" s="227" t="str">
        <f t="shared" si="107"/>
        <v>-0.339044628839999-3.28723428459939i</v>
      </c>
      <c r="AB286" s="227">
        <f t="shared" si="117"/>
        <v>10.382568596717974</v>
      </c>
      <c r="AC286" s="227">
        <f t="shared" si="118"/>
        <v>-95.88865234022343</v>
      </c>
      <c r="AD286" s="229">
        <f t="shared" si="119"/>
        <v>-11.050476123646543</v>
      </c>
      <c r="AE286" s="229">
        <f t="shared" si="120"/>
        <v>167.48239410579325</v>
      </c>
      <c r="AF286" s="227">
        <f t="shared" si="108"/>
        <v>-0.66790752692856969</v>
      </c>
      <c r="AG286" s="227">
        <f t="shared" si="109"/>
        <v>71.593741765569817</v>
      </c>
      <c r="AH286" s="229" t="str">
        <f t="shared" si="110"/>
        <v>0.273544571239028-0.0607315636290745i</v>
      </c>
    </row>
    <row r="287" spans="9:34" x14ac:dyDescent="0.2">
      <c r="I287" s="227">
        <v>283</v>
      </c>
      <c r="J287" s="227">
        <f t="shared" si="98"/>
        <v>3.759284675079702</v>
      </c>
      <c r="K287" s="227">
        <f t="shared" si="97"/>
        <v>5744.9291236634563</v>
      </c>
      <c r="L287" s="227">
        <f t="shared" si="111"/>
        <v>36096.454260590326</v>
      </c>
      <c r="M287" s="227">
        <f t="shared" si="99"/>
        <v>55.203448913574903</v>
      </c>
      <c r="N287" s="227">
        <f>SQRT((ABS(AC287)-171.5+'Small Signal'!C$59)^2)</f>
        <v>5.0663972695137289</v>
      </c>
      <c r="O287" s="227">
        <f t="shared" si="112"/>
        <v>71.073176950832689</v>
      </c>
      <c r="P287" s="227">
        <f t="shared" si="113"/>
        <v>0.84799240622666083</v>
      </c>
      <c r="Q287" s="227">
        <f t="shared" si="114"/>
        <v>5744.9291236634563</v>
      </c>
      <c r="R287" s="227" t="str">
        <f t="shared" si="100"/>
        <v>0.0878666666666667+0.169653335024775i</v>
      </c>
      <c r="S287" s="227" t="str">
        <f t="shared" si="101"/>
        <v>0.0085-1.06098710039337i</v>
      </c>
      <c r="T287" s="227" t="str">
        <f t="shared" si="102"/>
        <v>0.0937583373176989-1.05270468276302i</v>
      </c>
      <c r="U287" s="227" t="str">
        <f t="shared" si="103"/>
        <v>-31.4862535262515-16.9858144110932i</v>
      </c>
      <c r="V287" s="227">
        <f t="shared" si="115"/>
        <v>31.071767354593419</v>
      </c>
      <c r="W287" s="227">
        <f t="shared" si="116"/>
        <v>-151.65457528275715</v>
      </c>
      <c r="X287" s="227" t="str">
        <f t="shared" si="104"/>
        <v>0.999765303391034-0.00451139020600671i</v>
      </c>
      <c r="Y287" s="227" t="str">
        <f t="shared" si="105"/>
        <v>93.2311990530906-135.710182608193i</v>
      </c>
      <c r="Z287" s="227" t="str">
        <f t="shared" si="106"/>
        <v>48.2205191865823-70.8743895817837i</v>
      </c>
      <c r="AA287" s="227" t="str">
        <f t="shared" si="107"/>
        <v>-0.362890847843447-3.21820534820141i</v>
      </c>
      <c r="AB287" s="227">
        <f t="shared" si="117"/>
        <v>10.207148496047251</v>
      </c>
      <c r="AC287" s="227">
        <f t="shared" si="118"/>
        <v>-96.433602730486271</v>
      </c>
      <c r="AD287" s="229">
        <f t="shared" si="119"/>
        <v>-11.055140902273912</v>
      </c>
      <c r="AE287" s="229">
        <f t="shared" si="120"/>
        <v>167.50677968131896</v>
      </c>
      <c r="AF287" s="227">
        <f t="shared" si="108"/>
        <v>-0.84799240622666083</v>
      </c>
      <c r="AG287" s="227">
        <f t="shared" si="109"/>
        <v>71.073176950832689</v>
      </c>
      <c r="AH287" s="229" t="str">
        <f t="shared" si="110"/>
        <v>0.273423512122441-0.0605825904455427i</v>
      </c>
    </row>
    <row r="288" spans="9:34" x14ac:dyDescent="0.2">
      <c r="I288" s="227">
        <v>284</v>
      </c>
      <c r="J288" s="227">
        <f t="shared" si="98"/>
        <v>3.7690347976064857</v>
      </c>
      <c r="K288" s="227">
        <f t="shared" si="97"/>
        <v>5875.36426676879</v>
      </c>
      <c r="L288" s="227">
        <f t="shared" si="111"/>
        <v>36916.002435289622</v>
      </c>
      <c r="M288" s="227">
        <f t="shared" si="99"/>
        <v>188.60004309876422</v>
      </c>
      <c r="N288" s="227">
        <f>SQRT((ABS(AC288)-171.5+'Small Signal'!C$59)^2)</f>
        <v>4.5193877833772262</v>
      </c>
      <c r="O288" s="227">
        <f t="shared" si="112"/>
        <v>70.544457376836135</v>
      </c>
      <c r="P288" s="227">
        <f t="shared" si="113"/>
        <v>1.0276692431549819</v>
      </c>
      <c r="Q288" s="227">
        <f t="shared" si="114"/>
        <v>5875.36426676879</v>
      </c>
      <c r="R288" s="227" t="str">
        <f t="shared" si="100"/>
        <v>0.0878666666666667+0.173505211445861i</v>
      </c>
      <c r="S288" s="227" t="str">
        <f t="shared" si="101"/>
        <v>0.0085-1.03743281541814i</v>
      </c>
      <c r="T288" s="227" t="str">
        <f t="shared" si="102"/>
        <v>0.0900379203487857-1.02962891591219i</v>
      </c>
      <c r="U288" s="227" t="str">
        <f t="shared" si="103"/>
        <v>-30.5267215135261-15.3173466767651i</v>
      </c>
      <c r="V288" s="227">
        <f t="shared" si="115"/>
        <v>30.668854265261633</v>
      </c>
      <c r="W288" s="227">
        <f t="shared" si="116"/>
        <v>-153.3539449909494</v>
      </c>
      <c r="X288" s="227" t="str">
        <f t="shared" si="104"/>
        <v>0.9997545251181-0.00461381859362609i</v>
      </c>
      <c r="Y288" s="227" t="str">
        <f t="shared" si="105"/>
        <v>88.1048576276687-134.026100212489i</v>
      </c>
      <c r="Z288" s="227" t="str">
        <f t="shared" si="106"/>
        <v>45.5478836455859-69.9895025123237i</v>
      </c>
      <c r="AA288" s="227" t="str">
        <f t="shared" si="107"/>
        <v>-0.385745769324475-3.15046002674717i</v>
      </c>
      <c r="AB288" s="227">
        <f t="shared" si="117"/>
        <v>10.032104900061189</v>
      </c>
      <c r="AC288" s="227">
        <f t="shared" si="118"/>
        <v>-96.980612216622774</v>
      </c>
      <c r="AD288" s="229">
        <f t="shared" si="119"/>
        <v>-11.05977414321617</v>
      </c>
      <c r="AE288" s="229">
        <f t="shared" si="120"/>
        <v>167.52506959345891</v>
      </c>
      <c r="AF288" s="227">
        <f t="shared" si="108"/>
        <v>-1.0276692431549819</v>
      </c>
      <c r="AG288" s="227">
        <f t="shared" si="109"/>
        <v>70.544457376836135</v>
      </c>
      <c r="AH288" s="229" t="str">
        <f t="shared" si="110"/>
        <v>0.27329701590261-0.0604630444331061i</v>
      </c>
    </row>
    <row r="289" spans="9:34" x14ac:dyDescent="0.2">
      <c r="I289" s="227">
        <v>285</v>
      </c>
      <c r="J289" s="227">
        <f t="shared" si="98"/>
        <v>3.7787849201332691</v>
      </c>
      <c r="K289" s="227">
        <f t="shared" si="97"/>
        <v>6008.7608609539793</v>
      </c>
      <c r="L289" s="227">
        <f t="shared" si="111"/>
        <v>37754.157955901806</v>
      </c>
      <c r="M289" s="227">
        <f t="shared" si="99"/>
        <v>325.02532632044404</v>
      </c>
      <c r="N289" s="227">
        <f>SQRT((ABS(AC289)-171.5+'Small Signal'!C$59)^2)</f>
        <v>3.9701605990732247</v>
      </c>
      <c r="O289" s="227">
        <f t="shared" si="112"/>
        <v>70.007431059347098</v>
      </c>
      <c r="P289" s="227">
        <f t="shared" si="113"/>
        <v>1.2069140142178316</v>
      </c>
      <c r="Q289" s="227">
        <f t="shared" si="114"/>
        <v>6008.7608609539793</v>
      </c>
      <c r="R289" s="227" t="str">
        <f t="shared" si="100"/>
        <v>0.0878666666666667+0.177444542392738i</v>
      </c>
      <c r="S289" s="227" t="str">
        <f t="shared" si="101"/>
        <v>0.0085-1.01440144381339i</v>
      </c>
      <c r="T289" s="227" t="str">
        <f t="shared" si="102"/>
        <v>0.0864788666232312-1.00704640216489i</v>
      </c>
      <c r="U289" s="227" t="str">
        <f t="shared" si="103"/>
        <v>-29.5495425210963-13.7760811081108i</v>
      </c>
      <c r="V289" s="227">
        <f t="shared" si="115"/>
        <v>30.265152361902242</v>
      </c>
      <c r="W289" s="227">
        <f t="shared" si="116"/>
        <v>-155.00493245263405</v>
      </c>
      <c r="X289" s="227" t="str">
        <f t="shared" si="104"/>
        <v>0.999743251860735-0.00471857255587131i</v>
      </c>
      <c r="Y289" s="227" t="str">
        <f t="shared" si="105"/>
        <v>83.2504111945609-132.192479489575i</v>
      </c>
      <c r="Z289" s="227" t="str">
        <f t="shared" si="106"/>
        <v>43.0172257980574-69.0269689078801i</v>
      </c>
      <c r="AA289" s="227" t="str">
        <f t="shared" si="107"/>
        <v>-0.407648417641455-3.08398510043348i</v>
      </c>
      <c r="AB289" s="227">
        <f t="shared" si="117"/>
        <v>9.8574708385295597</v>
      </c>
      <c r="AC289" s="227">
        <f t="shared" si="118"/>
        <v>-97.529839400926775</v>
      </c>
      <c r="AD289" s="229">
        <f t="shared" si="119"/>
        <v>-11.064384852747391</v>
      </c>
      <c r="AE289" s="229">
        <f t="shared" si="120"/>
        <v>167.53727046027387</v>
      </c>
      <c r="AF289" s="227">
        <f t="shared" si="108"/>
        <v>-1.2069140142178316</v>
      </c>
      <c r="AG289" s="227">
        <f t="shared" si="109"/>
        <v>70.007431059347098</v>
      </c>
      <c r="AH289" s="229" t="str">
        <f t="shared" si="110"/>
        <v>0.273164843109471-0.0603727897008019i</v>
      </c>
    </row>
    <row r="290" spans="9:34" x14ac:dyDescent="0.2">
      <c r="I290" s="227">
        <v>286</v>
      </c>
      <c r="J290" s="227">
        <f t="shared" si="98"/>
        <v>3.7885350426600524</v>
      </c>
      <c r="K290" s="227">
        <f t="shared" si="97"/>
        <v>6145.1861441756591</v>
      </c>
      <c r="L290" s="227">
        <f t="shared" si="111"/>
        <v>38611.343290968078</v>
      </c>
      <c r="M290" s="227">
        <f t="shared" si="99"/>
        <v>464.54806313245081</v>
      </c>
      <c r="N290" s="227">
        <f>SQRT((ABS(AC290)-171.5+'Small Signal'!C$59)^2)</f>
        <v>3.4185603077262243</v>
      </c>
      <c r="O290" s="227">
        <f t="shared" si="112"/>
        <v>69.461947006358187</v>
      </c>
      <c r="P290" s="227">
        <f t="shared" si="113"/>
        <v>1.3857023036570109</v>
      </c>
      <c r="Q290" s="227">
        <f t="shared" si="114"/>
        <v>6145.1861441756591</v>
      </c>
      <c r="R290" s="227" t="str">
        <f t="shared" si="100"/>
        <v>0.0878666666666667+0.18147331346755i</v>
      </c>
      <c r="S290" s="227" t="str">
        <f t="shared" si="101"/>
        <v>0.0085-0.991881376719266i</v>
      </c>
      <c r="T290" s="227" t="str">
        <f t="shared" si="102"/>
        <v>0.0830742606414383-0.984947414806428i</v>
      </c>
      <c r="U290" s="227" t="str">
        <f t="shared" si="103"/>
        <v>-28.5634205484061-12.3546294350201i</v>
      </c>
      <c r="V290" s="227">
        <f t="shared" si="115"/>
        <v>29.861022536394238</v>
      </c>
      <c r="W290" s="227">
        <f t="shared" si="116"/>
        <v>-156.60991217813989</v>
      </c>
      <c r="X290" s="227" t="str">
        <f t="shared" si="104"/>
        <v>0.999731460887135-0.00482570489350849i</v>
      </c>
      <c r="Y290" s="227" t="str">
        <f t="shared" si="105"/>
        <v>78.6595578641412-130.235296160539i</v>
      </c>
      <c r="Z290" s="227" t="str">
        <f t="shared" si="106"/>
        <v>40.6241838536982-68.0003228287636i</v>
      </c>
      <c r="AA290" s="227" t="str">
        <f t="shared" si="107"/>
        <v>-0.428636473585445-3.01876674099196i</v>
      </c>
      <c r="AB290" s="227">
        <f t="shared" si="117"/>
        <v>9.6832796944398716</v>
      </c>
      <c r="AC290" s="227">
        <f t="shared" si="118"/>
        <v>-98.081439692273776</v>
      </c>
      <c r="AD290" s="229">
        <f t="shared" si="119"/>
        <v>-11.068981998096882</v>
      </c>
      <c r="AE290" s="229">
        <f t="shared" si="120"/>
        <v>167.54338669863196</v>
      </c>
      <c r="AF290" s="227">
        <f t="shared" si="108"/>
        <v>-1.3857023036570109</v>
      </c>
      <c r="AG290" s="227">
        <f t="shared" si="109"/>
        <v>69.461947006358187</v>
      </c>
      <c r="AH290" s="229" t="str">
        <f t="shared" si="110"/>
        <v>0.273026744260107-0.0603117000443041i</v>
      </c>
    </row>
    <row r="291" spans="9:34" x14ac:dyDescent="0.2">
      <c r="I291" s="227">
        <v>287</v>
      </c>
      <c r="J291" s="227">
        <f t="shared" si="98"/>
        <v>3.7982851651868361</v>
      </c>
      <c r="K291" s="227">
        <f t="shared" si="97"/>
        <v>6284.7088809876659</v>
      </c>
      <c r="L291" s="227">
        <f t="shared" si="111"/>
        <v>39487.990500922759</v>
      </c>
      <c r="M291" s="227">
        <f t="shared" si="99"/>
        <v>607.2385793462081</v>
      </c>
      <c r="N291" s="227">
        <f>SQRT((ABS(AC291)-171.5+'Small Signal'!C$59)^2)</f>
        <v>2.8644349758916263</v>
      </c>
      <c r="O291" s="227">
        <f t="shared" si="112"/>
        <v>68.907855495281396</v>
      </c>
      <c r="P291" s="227">
        <f t="shared" si="113"/>
        <v>1.5640092993989096</v>
      </c>
      <c r="Q291" s="227">
        <f t="shared" si="114"/>
        <v>6284.7088809876659</v>
      </c>
      <c r="R291" s="227" t="str">
        <f t="shared" si="100"/>
        <v>0.0878666666666667+0.185593555354337i</v>
      </c>
      <c r="S291" s="227" t="str">
        <f t="shared" si="101"/>
        <v>0.0085-0.969861262996676i</v>
      </c>
      <c r="T291" s="227" t="str">
        <f t="shared" si="102"/>
        <v>0.0798174761680986-0.963322365067266i</v>
      </c>
      <c r="U291" s="227" t="str">
        <f t="shared" si="103"/>
        <v>-27.5757438101996-11.0455745854509i</v>
      </c>
      <c r="V291" s="227">
        <f t="shared" si="115"/>
        <v>29.456784752174336</v>
      </c>
      <c r="W291" s="227">
        <f t="shared" si="116"/>
        <v>-158.17123189032966</v>
      </c>
      <c r="X291" s="227" t="str">
        <f t="shared" si="104"/>
        <v>0.999719128421555-0.00493526960611326i</v>
      </c>
      <c r="Y291" s="227" t="str">
        <f t="shared" si="105"/>
        <v>74.322743217452-128.177670503587i</v>
      </c>
      <c r="Z291" s="227" t="str">
        <f t="shared" si="106"/>
        <v>38.3637465507691-66.9216077923547i</v>
      </c>
      <c r="AA291" s="227" t="str">
        <f t="shared" si="107"/>
        <v>-0.44874630444862-2.95479057456561i</v>
      </c>
      <c r="AB291" s="227">
        <f t="shared" si="117"/>
        <v>9.5095652235751764</v>
      </c>
      <c r="AC291" s="227">
        <f t="shared" si="118"/>
        <v>-98.635565024108374</v>
      </c>
      <c r="AD291" s="229">
        <f t="shared" si="119"/>
        <v>-11.073574522974086</v>
      </c>
      <c r="AE291" s="229">
        <f t="shared" si="120"/>
        <v>167.54342051938977</v>
      </c>
      <c r="AF291" s="227">
        <f t="shared" si="108"/>
        <v>-1.5640092993989096</v>
      </c>
      <c r="AG291" s="227">
        <f t="shared" si="109"/>
        <v>68.907855495281396</v>
      </c>
      <c r="AH291" s="229" t="str">
        <f t="shared" si="110"/>
        <v>0.27288245948581-0.0602796585507866i</v>
      </c>
    </row>
    <row r="292" spans="9:34" x14ac:dyDescent="0.2">
      <c r="I292" s="227">
        <v>288</v>
      </c>
      <c r="J292" s="227">
        <f t="shared" si="98"/>
        <v>3.8080352877136194</v>
      </c>
      <c r="K292" s="227">
        <f t="shared" si="97"/>
        <v>6427.3993972014232</v>
      </c>
      <c r="L292" s="227">
        <f t="shared" si="111"/>
        <v>40384.541455870909</v>
      </c>
      <c r="M292" s="227">
        <f t="shared" si="99"/>
        <v>753.16879747821167</v>
      </c>
      <c r="N292" s="227">
        <f>SQRT((ABS(AC292)-171.5+'Small Signal'!C$59)^2)</f>
        <v>2.307636434055425</v>
      </c>
      <c r="O292" s="227">
        <f t="shared" si="112"/>
        <v>68.345008359015807</v>
      </c>
      <c r="P292" s="227">
        <f t="shared" si="113"/>
        <v>1.7418097907494019</v>
      </c>
      <c r="Q292" s="227">
        <f t="shared" si="114"/>
        <v>6427.3993972014232</v>
      </c>
      <c r="R292" s="227" t="str">
        <f t="shared" si="100"/>
        <v>0.0878666666666667+0.189807344842593i</v>
      </c>
      <c r="S292" s="227" t="str">
        <f t="shared" si="101"/>
        <v>0.0085-0.948330003505782i</v>
      </c>
      <c r="T292" s="227" t="str">
        <f t="shared" si="102"/>
        <v>0.0767021647429515-0.942161803961158i</v>
      </c>
      <c r="U292" s="227" t="str">
        <f t="shared" si="103"/>
        <v>-26.5927230749633-9.84159368308006i</v>
      </c>
      <c r="V292" s="227">
        <f t="shared" si="115"/>
        <v>29.052721923002899</v>
      </c>
      <c r="W292" s="227">
        <f t="shared" si="116"/>
        <v>-159.69119388311793</v>
      </c>
      <c r="X292" s="227" t="str">
        <f t="shared" si="104"/>
        <v>0.999706229596365-0.00504732191928893i</v>
      </c>
      <c r="Y292" s="227" t="str">
        <f t="shared" si="105"/>
        <v>70.2295534479416-126.040058995397i</v>
      </c>
      <c r="Z292" s="227" t="str">
        <f t="shared" si="106"/>
        <v>36.2304579099554-65.8014772058122i</v>
      </c>
      <c r="AA292" s="227" t="str">
        <f t="shared" si="107"/>
        <v>-0.4680129949554-2.89204174088956i</v>
      </c>
      <c r="AB292" s="227">
        <f t="shared" si="117"/>
        <v>9.3363615723248721</v>
      </c>
      <c r="AC292" s="227">
        <f t="shared" si="118"/>
        <v>-99.192363565944575</v>
      </c>
      <c r="AD292" s="229">
        <f t="shared" si="119"/>
        <v>-11.078171363074274</v>
      </c>
      <c r="AE292" s="229">
        <f t="shared" si="120"/>
        <v>167.53737192496038</v>
      </c>
      <c r="AF292" s="227">
        <f t="shared" si="108"/>
        <v>-1.7418097907494019</v>
      </c>
      <c r="AG292" s="227">
        <f t="shared" si="109"/>
        <v>68.345008359015807</v>
      </c>
      <c r="AH292" s="229" t="str">
        <f t="shared" si="110"/>
        <v>0.272731718149784-0.0602765571879142i</v>
      </c>
    </row>
    <row r="293" spans="9:34" x14ac:dyDescent="0.2">
      <c r="I293" s="227">
        <v>289</v>
      </c>
      <c r="J293" s="227">
        <f t="shared" si="98"/>
        <v>3.8177854102404027</v>
      </c>
      <c r="K293" s="227">
        <f t="shared" si="97"/>
        <v>6573.3296153334268</v>
      </c>
      <c r="L293" s="227">
        <f t="shared" si="111"/>
        <v>41301.448058311427</v>
      </c>
      <c r="M293" s="227">
        <f t="shared" si="99"/>
        <v>902.41227300220453</v>
      </c>
      <c r="N293" s="227">
        <f>SQRT((ABS(AC293)-171.5+'Small Signal'!C$59)^2)</f>
        <v>1.7480205717180723</v>
      </c>
      <c r="O293" s="227">
        <f t="shared" si="112"/>
        <v>67.773259280973193</v>
      </c>
      <c r="P293" s="227">
        <f t="shared" si="113"/>
        <v>1.9190781680031108</v>
      </c>
      <c r="Q293" s="227">
        <f t="shared" si="114"/>
        <v>6573.3296153334268</v>
      </c>
      <c r="R293" s="227" t="str">
        <f t="shared" si="100"/>
        <v>0.0878666666666667+0.194116805874064i</v>
      </c>
      <c r="S293" s="227" t="str">
        <f t="shared" si="101"/>
        <v>0.0085-0.927276745511558i</v>
      </c>
      <c r="T293" s="227" t="str">
        <f t="shared" si="102"/>
        <v>0.0737222445948494-0.921456423781974i</v>
      </c>
      <c r="U293" s="227" t="str">
        <f t="shared" si="103"/>
        <v>-25.6195252073706-8.73555087799261i</v>
      </c>
      <c r="V293" s="227">
        <f t="shared" si="115"/>
        <v>28.649083623935667</v>
      </c>
      <c r="W293" s="227">
        <f t="shared" si="116"/>
        <v>-161.17204061240076</v>
      </c>
      <c r="X293" s="227" t="str">
        <f t="shared" si="104"/>
        <v>0.999692738401907-0.0051619183125028i</v>
      </c>
      <c r="Y293" s="227" t="str">
        <f t="shared" si="105"/>
        <v>66.3690382792807-123.840462558811i</v>
      </c>
      <c r="Z293" s="227" t="str">
        <f t="shared" si="106"/>
        <v>34.2185853494296-64.6493033679937i</v>
      </c>
      <c r="AA293" s="227" t="str">
        <f t="shared" si="107"/>
        <v>-0.486470378868266-2.83050494892164i</v>
      </c>
      <c r="AB293" s="227">
        <f t="shared" si="117"/>
        <v>9.1637032935745353</v>
      </c>
      <c r="AC293" s="227">
        <f t="shared" si="118"/>
        <v>-99.751979428281928</v>
      </c>
      <c r="AD293" s="229">
        <f t="shared" si="119"/>
        <v>-11.082781461577646</v>
      </c>
      <c r="AE293" s="229">
        <f t="shared" si="120"/>
        <v>167.52523870925512</v>
      </c>
      <c r="AF293" s="227">
        <f t="shared" si="108"/>
        <v>-1.9190781680031108</v>
      </c>
      <c r="AG293" s="227">
        <f t="shared" si="109"/>
        <v>67.773259280973193</v>
      </c>
      <c r="AH293" s="229" t="str">
        <f t="shared" si="110"/>
        <v>0.272574238455722-0.06030229637561i</v>
      </c>
    </row>
    <row r="294" spans="9:34" x14ac:dyDescent="0.2">
      <c r="I294" s="227">
        <v>290</v>
      </c>
      <c r="J294" s="227">
        <f t="shared" si="98"/>
        <v>3.8275355327671861</v>
      </c>
      <c r="K294" s="227">
        <f t="shared" si="97"/>
        <v>6722.5730908574196</v>
      </c>
      <c r="L294" s="227">
        <f t="shared" si="111"/>
        <v>42239.172470916194</v>
      </c>
      <c r="M294" s="227">
        <f t="shared" si="99"/>
        <v>1055.0442314245038</v>
      </c>
      <c r="N294" s="227">
        <f>SQRT((ABS(AC294)-171.5+'Small Signal'!C$59)^2)</f>
        <v>1.1854476390929705</v>
      </c>
      <c r="O294" s="227">
        <f t="shared" si="112"/>
        <v>67.192464099091367</v>
      </c>
      <c r="P294" s="227">
        <f t="shared" si="113"/>
        <v>2.0957884241409062</v>
      </c>
      <c r="Q294" s="227">
        <f t="shared" si="114"/>
        <v>6722.5730908574196</v>
      </c>
      <c r="R294" s="227" t="str">
        <f t="shared" si="100"/>
        <v>0.0878666666666667+0.198524110613306i</v>
      </c>
      <c r="S294" s="227" t="str">
        <f t="shared" si="101"/>
        <v>0.0085-0.906690877213456i</v>
      </c>
      <c r="T294" s="227" t="str">
        <f t="shared" si="102"/>
        <v>0.0708718899497316-0.90119705928433i</v>
      </c>
      <c r="U294" s="227" t="str">
        <f t="shared" si="103"/>
        <v>-24.6603990970905-7.72056503081202i</v>
      </c>
      <c r="V294" s="227">
        <f t="shared" si="115"/>
        <v>28.246089589583939</v>
      </c>
      <c r="W294" s="227">
        <f t="shared" si="116"/>
        <v>-162.61594386755038</v>
      </c>
      <c r="X294" s="227" t="str">
        <f t="shared" si="104"/>
        <v>0.999678627634049-0.00527911654755431i</v>
      </c>
      <c r="Y294" s="227" t="str">
        <f t="shared" si="105"/>
        <v>62.7299721025978-121.594640753846i</v>
      </c>
      <c r="Z294" s="227" t="str">
        <f t="shared" si="106"/>
        <v>32.3222555774705-63.4732894912847i</v>
      </c>
      <c r="AA294" s="227" t="str">
        <f t="shared" si="107"/>
        <v>-0.504151071096402-2.7701645290677i</v>
      </c>
      <c r="AB294" s="227">
        <f t="shared" si="117"/>
        <v>8.9916253605132717</v>
      </c>
      <c r="AC294" s="227">
        <f t="shared" si="118"/>
        <v>-100.31455236090703</v>
      </c>
      <c r="AD294" s="229">
        <f t="shared" si="119"/>
        <v>-11.087413784654178</v>
      </c>
      <c r="AE294" s="229">
        <f t="shared" si="120"/>
        <v>167.5070164599984</v>
      </c>
      <c r="AF294" s="227">
        <f t="shared" si="108"/>
        <v>-2.0957884241409062</v>
      </c>
      <c r="AG294" s="227">
        <f t="shared" si="109"/>
        <v>67.192464099091367</v>
      </c>
      <c r="AH294" s="229" t="str">
        <f t="shared" si="110"/>
        <v>0.272409727047558-0.060356784539195i</v>
      </c>
    </row>
    <row r="295" spans="9:34" x14ac:dyDescent="0.2">
      <c r="I295" s="227">
        <v>291</v>
      </c>
      <c r="J295" s="227">
        <f t="shared" si="98"/>
        <v>3.8372856552939694</v>
      </c>
      <c r="K295" s="227">
        <f t="shared" si="97"/>
        <v>6875.2050492797189</v>
      </c>
      <c r="L295" s="227">
        <f t="shared" si="111"/>
        <v>43198.187349481232</v>
      </c>
      <c r="M295" s="227">
        <f t="shared" si="99"/>
        <v>1211.1416062010712</v>
      </c>
      <c r="N295" s="227">
        <f>SQRT((ABS(AC295)-171.5+'Small Signal'!C$59)^2)</f>
        <v>0.61978255535339599</v>
      </c>
      <c r="O295" s="227">
        <f t="shared" si="112"/>
        <v>66.60248111878272</v>
      </c>
      <c r="P295" s="227">
        <f t="shared" si="113"/>
        <v>2.2719141587892331</v>
      </c>
      <c r="Q295" s="227">
        <f t="shared" si="114"/>
        <v>6875.2050492797189</v>
      </c>
      <c r="R295" s="227" t="str">
        <f t="shared" si="100"/>
        <v>0.0878666666666667+0.203031480542562i</v>
      </c>
      <c r="S295" s="227" t="str">
        <f t="shared" si="101"/>
        <v>0.0085-0.886562022396651i</v>
      </c>
      <c r="T295" s="227" t="str">
        <f t="shared" si="102"/>
        <v>0.0681455207229061-0.881374688572038i</v>
      </c>
      <c r="U295" s="227" t="str">
        <f t="shared" si="103"/>
        <v>-23.7187922715642-6.79005679028343i</v>
      </c>
      <c r="V295" s="227">
        <f t="shared" si="115"/>
        <v>27.84393297265828</v>
      </c>
      <c r="W295" s="227">
        <f t="shared" si="116"/>
        <v>-164.02499693388839</v>
      </c>
      <c r="X295" s="227" t="str">
        <f t="shared" si="104"/>
        <v>0.999663868839327-0.00539897569768963i</v>
      </c>
      <c r="Y295" s="227" t="str">
        <f t="shared" si="105"/>
        <v>59.3010617272452-119.316324117471i</v>
      </c>
      <c r="Z295" s="227" t="str">
        <f t="shared" si="106"/>
        <v>30.5355626496486-62.280580689703i</v>
      </c>
      <c r="AA295" s="227" t="str">
        <f t="shared" si="107"/>
        <v>-0.521086500152092-2.71100448214778i</v>
      </c>
      <c r="AB295" s="227">
        <f t="shared" si="117"/>
        <v>8.8201631781986585</v>
      </c>
      <c r="AC295" s="227">
        <f t="shared" si="118"/>
        <v>-100.8802174446466</v>
      </c>
      <c r="AD295" s="229">
        <f t="shared" si="119"/>
        <v>-11.092077336987892</v>
      </c>
      <c r="AE295" s="229">
        <f t="shared" si="120"/>
        <v>167.48269856342932</v>
      </c>
      <c r="AF295" s="227">
        <f t="shared" si="108"/>
        <v>-2.2719141587892331</v>
      </c>
      <c r="AG295" s="227">
        <f t="shared" si="109"/>
        <v>66.60248111878272</v>
      </c>
      <c r="AH295" s="229" t="str">
        <f t="shared" si="110"/>
        <v>0.272237878600725-0.0604399376424154i</v>
      </c>
    </row>
    <row r="296" spans="9:34" x14ac:dyDescent="0.2">
      <c r="I296" s="227">
        <v>292</v>
      </c>
      <c r="J296" s="227">
        <f t="shared" si="98"/>
        <v>3.8470357778207527</v>
      </c>
      <c r="K296" s="227">
        <f t="shared" si="97"/>
        <v>7031.3024240562863</v>
      </c>
      <c r="L296" s="227">
        <f t="shared" si="111"/>
        <v>44178.976081166664</v>
      </c>
      <c r="M296" s="227">
        <f t="shared" si="99"/>
        <v>1370.783077515498</v>
      </c>
      <c r="N296" s="227">
        <f>SQRT((ABS(AC296)-171.5+'Small Signal'!C$59)^2)</f>
        <v>5.0895223267389156E-2</v>
      </c>
      <c r="O296" s="227">
        <f t="shared" si="112"/>
        <v>66.003171434679928</v>
      </c>
      <c r="P296" s="227">
        <f t="shared" si="113"/>
        <v>2.4474285846216048</v>
      </c>
      <c r="Q296" s="227">
        <f t="shared" si="114"/>
        <v>7031.3024240562863</v>
      </c>
      <c r="R296" s="227" t="str">
        <f t="shared" si="100"/>
        <v>0.0878666666666667+0.207641187581483i</v>
      </c>
      <c r="S296" s="227" t="str">
        <f t="shared" si="101"/>
        <v>0.0085-0.866880035201899i</v>
      </c>
      <c r="T296" s="227" t="str">
        <f t="shared" si="102"/>
        <v>0.0655377925857593-0.861980433716242i</v>
      </c>
      <c r="U296" s="227" t="str">
        <f t="shared" si="103"/>
        <v>-22.7974573308143-5.93777905955159i</v>
      </c>
      <c r="V296" s="227">
        <f t="shared" si="115"/>
        <v>27.442783349525083</v>
      </c>
      <c r="W296" s="227">
        <f t="shared" si="116"/>
        <v>-165.4012092232449</v>
      </c>
      <c r="X296" s="227" t="str">
        <f t="shared" si="104"/>
        <v>0.999648432257575-0.00552155617737731i</v>
      </c>
      <c r="Y296" s="227" t="str">
        <f t="shared" si="105"/>
        <v>56.0711087028045-117.017419183385i</v>
      </c>
      <c r="Z296" s="227" t="str">
        <f t="shared" si="106"/>
        <v>28.8526523470562-61.0773710918457i</v>
      </c>
      <c r="AA296" s="227" t="str">
        <f t="shared" si="107"/>
        <v>-0.537306940814477-2.65300852524608i</v>
      </c>
      <c r="AB296" s="227">
        <f t="shared" si="117"/>
        <v>8.6493525927103949</v>
      </c>
      <c r="AC296" s="227">
        <f t="shared" si="118"/>
        <v>-101.44910477673261</v>
      </c>
      <c r="AD296" s="229">
        <f t="shared" si="119"/>
        <v>-11.096781177332</v>
      </c>
      <c r="AE296" s="229">
        <f t="shared" si="120"/>
        <v>167.45227621141254</v>
      </c>
      <c r="AF296" s="227">
        <f t="shared" si="108"/>
        <v>-2.4474285846216048</v>
      </c>
      <c r="AG296" s="227">
        <f t="shared" si="109"/>
        <v>66.003171434679928</v>
      </c>
      <c r="AH296" s="229" t="str">
        <f t="shared" si="110"/>
        <v>0.27205837540539-0.0605516786988507i</v>
      </c>
    </row>
    <row r="297" spans="9:34" x14ac:dyDescent="0.2">
      <c r="I297" s="227">
        <v>293</v>
      </c>
      <c r="J297" s="227">
        <f t="shared" si="98"/>
        <v>3.8567859003475364</v>
      </c>
      <c r="K297" s="227">
        <f t="shared" si="97"/>
        <v>7190.9438953707131</v>
      </c>
      <c r="L297" s="227">
        <f t="shared" si="111"/>
        <v>45182.033028146005</v>
      </c>
      <c r="M297" s="227">
        <f t="shared" si="99"/>
        <v>1534.0491119373446</v>
      </c>
      <c r="N297" s="227">
        <f>SQRT((ABS(AC297)-171.5+'Small Signal'!C$59)^2)</f>
        <v>0.52133915003362574</v>
      </c>
      <c r="O297" s="227">
        <f t="shared" si="112"/>
        <v>65.394399260962714</v>
      </c>
      <c r="P297" s="227">
        <f t="shared" si="113"/>
        <v>2.6223045363821722</v>
      </c>
      <c r="Q297" s="227">
        <f t="shared" si="114"/>
        <v>7190.9438953707131</v>
      </c>
      <c r="R297" s="227" t="str">
        <f t="shared" si="100"/>
        <v>0.0878666666666667+0.212355555232286i</v>
      </c>
      <c r="S297" s="227" t="str">
        <f t="shared" si="101"/>
        <v>0.0085-0.847634995011581i</v>
      </c>
      <c r="T297" s="227" t="str">
        <f t="shared" si="102"/>
        <v>0.0630435873969568-0.84300556112449i</v>
      </c>
      <c r="U297" s="227" t="str">
        <f t="shared" si="103"/>
        <v>-21.8985479550894-5.15783429092878i</v>
      </c>
      <c r="V297" s="227">
        <f t="shared" si="115"/>
        <v>27.04278946976228</v>
      </c>
      <c r="W297" s="227">
        <f t="shared" si="116"/>
        <v>-166.74650291636064</v>
      </c>
      <c r="X297" s="227" t="str">
        <f t="shared" si="104"/>
        <v>0.99963228676191-0.00564691977275986i</v>
      </c>
      <c r="Y297" s="227" t="str">
        <f t="shared" si="105"/>
        <v>53.029133505827-114.708202550596i</v>
      </c>
      <c r="Z297" s="227" t="str">
        <f t="shared" si="106"/>
        <v>27.2677866833491-59.869005194572i</v>
      </c>
      <c r="AA297" s="227" t="str">
        <f t="shared" si="107"/>
        <v>-0.552841546874128-2.59616013458723i</v>
      </c>
      <c r="AB297" s="227">
        <f t="shared" si="117"/>
        <v>8.479229897725487</v>
      </c>
      <c r="AC297" s="227">
        <f t="shared" si="118"/>
        <v>-102.02133915003363</v>
      </c>
      <c r="AD297" s="229">
        <f t="shared" si="119"/>
        <v>-11.101534434107659</v>
      </c>
      <c r="AE297" s="229">
        <f t="shared" si="120"/>
        <v>167.41573841099634</v>
      </c>
      <c r="AF297" s="227">
        <f t="shared" si="108"/>
        <v>-2.6223045363821722</v>
      </c>
      <c r="AG297" s="227">
        <f t="shared" si="109"/>
        <v>65.394399260962714</v>
      </c>
      <c r="AH297" s="229" t="str">
        <f t="shared" si="110"/>
        <v>0.271870886942177-0.0606919372601054i</v>
      </c>
    </row>
    <row r="298" spans="9:34" x14ac:dyDescent="0.2">
      <c r="I298" s="227">
        <v>294</v>
      </c>
      <c r="J298" s="227">
        <f t="shared" si="98"/>
        <v>3.8665360228743197</v>
      </c>
      <c r="K298" s="227">
        <f t="shared" si="97"/>
        <v>7354.2099297925597</v>
      </c>
      <c r="L298" s="227">
        <f t="shared" si="111"/>
        <v>46207.863776786828</v>
      </c>
      <c r="M298" s="227">
        <f t="shared" si="99"/>
        <v>1701.0220029810444</v>
      </c>
      <c r="N298" s="227">
        <f>SQRT((ABS(AC298)-171.5+'Small Signal'!C$59)^2)</f>
        <v>1.0970397265252672</v>
      </c>
      <c r="O298" s="227">
        <f t="shared" si="112"/>
        <v>64.776032269941524</v>
      </c>
      <c r="P298" s="227">
        <f t="shared" si="113"/>
        <v>2.7965144827130501</v>
      </c>
      <c r="Q298" s="227">
        <f t="shared" si="114"/>
        <v>7354.2099297925597</v>
      </c>
      <c r="R298" s="227" t="str">
        <f t="shared" si="100"/>
        <v>0.0878666666666667+0.217176959750898i</v>
      </c>
      <c r="S298" s="227" t="str">
        <f t="shared" si="101"/>
        <v>0.0085-0.828817201449268i</v>
      </c>
      <c r="T298" s="227" t="str">
        <f t="shared" si="102"/>
        <v>0.0606580039880557-0.824441481680127i</v>
      </c>
      <c r="U298" s="227" t="str">
        <f t="shared" si="103"/>
        <v>-21.0237046659366-4.44468151722641i</v>
      </c>
      <c r="V298" s="227">
        <f t="shared" si="115"/>
        <v>26.644081754106136</v>
      </c>
      <c r="W298" s="227">
        <f t="shared" si="116"/>
        <v>-168.06271122444852</v>
      </c>
      <c r="X298" s="227" t="str">
        <f t="shared" si="104"/>
        <v>0.999615399795972-0.00577512967279682i</v>
      </c>
      <c r="Y298" s="227" t="str">
        <f t="shared" si="105"/>
        <v>50.1644681083747-112.397501786039i</v>
      </c>
      <c r="Z298" s="227" t="str">
        <f t="shared" si="106"/>
        <v>25.7753919417009-58.66007231091i</v>
      </c>
      <c r="AA298" s="227" t="str">
        <f t="shared" si="107"/>
        <v>-0.56771838384548-2.54044258557864i</v>
      </c>
      <c r="AB298" s="227">
        <f t="shared" si="117"/>
        <v>8.3098318383456444</v>
      </c>
      <c r="AC298" s="227">
        <f t="shared" si="118"/>
        <v>-102.59703972652527</v>
      </c>
      <c r="AD298" s="229">
        <f t="shared" si="119"/>
        <v>-11.106346321058695</v>
      </c>
      <c r="AE298" s="229">
        <f t="shared" si="120"/>
        <v>167.37307199646679</v>
      </c>
      <c r="AF298" s="227">
        <f t="shared" si="108"/>
        <v>-2.7965144827130501</v>
      </c>
      <c r="AG298" s="227">
        <f t="shared" si="109"/>
        <v>64.776032269941524</v>
      </c>
      <c r="AH298" s="229" t="str">
        <f t="shared" si="110"/>
        <v>0.271675069450978-0.0608606488791419i</v>
      </c>
    </row>
    <row r="299" spans="9:34" x14ac:dyDescent="0.2">
      <c r="I299" s="227">
        <v>295</v>
      </c>
      <c r="J299" s="227">
        <f t="shared" si="98"/>
        <v>3.8762861454011031</v>
      </c>
      <c r="K299" s="227">
        <f t="shared" si="97"/>
        <v>7521.1828208362595</v>
      </c>
      <c r="L299" s="227">
        <f t="shared" si="111"/>
        <v>47256.9853924899</v>
      </c>
      <c r="M299" s="227">
        <f t="shared" si="99"/>
        <v>1871.7859125854793</v>
      </c>
      <c r="N299" s="227">
        <f>SQRT((ABS(AC299)-171.5+'Small Signal'!C$59)^2)</f>
        <v>1.6763197054767858</v>
      </c>
      <c r="O299" s="227">
        <f t="shared" si="112"/>
        <v>64.1479419384831</v>
      </c>
      <c r="P299" s="227">
        <f t="shared" si="113"/>
        <v>2.9700305409680503</v>
      </c>
      <c r="Q299" s="227">
        <f t="shared" si="114"/>
        <v>7521.1828208362595</v>
      </c>
      <c r="R299" s="227" t="str">
        <f t="shared" si="100"/>
        <v>0.0878666666666667+0.222107831344703i</v>
      </c>
      <c r="S299" s="227" t="str">
        <f t="shared" si="101"/>
        <v>0.0085-0.810417169490287i</v>
      </c>
      <c r="T299" s="227" t="str">
        <f t="shared" si="102"/>
        <v>0.0583763492934331-0.806279750670543i</v>
      </c>
      <c r="U299" s="227" t="str">
        <f t="shared" si="103"/>
        <v>-20.1741308082305-3.79313553978941i</v>
      </c>
      <c r="V299" s="227">
        <f t="shared" si="115"/>
        <v>26.246774550326386</v>
      </c>
      <c r="W299" s="227">
        <f t="shared" si="116"/>
        <v>-169.35157793597486</v>
      </c>
      <c r="X299" s="227" t="str">
        <f t="shared" si="104"/>
        <v>0.999597737308271-0.00590625050111486i</v>
      </c>
      <c r="Y299" s="227" t="str">
        <f t="shared" si="105"/>
        <v>47.4668226364618-110.092862011454i</v>
      </c>
      <c r="Z299" s="227" t="str">
        <f t="shared" si="106"/>
        <v>24.3700932195695-57.4544935199616i</v>
      </c>
      <c r="AA299" s="227" t="str">
        <f t="shared" si="107"/>
        <v>-0.581964461545646-2.48583899015521i</v>
      </c>
      <c r="AB299" s="227">
        <f t="shared" si="117"/>
        <v>8.1411956120045268</v>
      </c>
      <c r="AC299" s="227">
        <f t="shared" si="118"/>
        <v>-103.17631970547679</v>
      </c>
      <c r="AD299" s="229">
        <f t="shared" si="119"/>
        <v>-11.111226152972577</v>
      </c>
      <c r="AE299" s="229">
        <f t="shared" si="120"/>
        <v>167.32426164395989</v>
      </c>
      <c r="AF299" s="227">
        <f t="shared" si="108"/>
        <v>-2.9700305409680503</v>
      </c>
      <c r="AG299" s="227">
        <f t="shared" si="109"/>
        <v>64.1479419384831</v>
      </c>
      <c r="AH299" s="229" t="str">
        <f t="shared" si="110"/>
        <v>0.271470565493614-0.0610577545470599i</v>
      </c>
    </row>
    <row r="300" spans="9:34" x14ac:dyDescent="0.2">
      <c r="I300" s="227">
        <v>296</v>
      </c>
      <c r="J300" s="227">
        <f t="shared" si="98"/>
        <v>3.8860362679278864</v>
      </c>
      <c r="K300" s="227">
        <f t="shared" si="97"/>
        <v>7691.9467304406944</v>
      </c>
      <c r="L300" s="227">
        <f t="shared" si="111"/>
        <v>48329.92668031303</v>
      </c>
      <c r="M300" s="227">
        <f t="shared" si="99"/>
        <v>2046.4269135355216</v>
      </c>
      <c r="N300" s="227">
        <f>SQRT((ABS(AC300)-171.5+'Small Signal'!C$59)^2)</f>
        <v>2.2592859869579911</v>
      </c>
      <c r="O300" s="227">
        <f t="shared" si="112"/>
        <v>63.510003901746586</v>
      </c>
      <c r="P300" s="227">
        <f t="shared" si="113"/>
        <v>3.1428244951956916</v>
      </c>
      <c r="Q300" s="227">
        <f t="shared" si="114"/>
        <v>7691.9467304406944</v>
      </c>
      <c r="R300" s="227" t="str">
        <f t="shared" si="100"/>
        <v>0.0878666666666667+0.227150655397471i</v>
      </c>
      <c r="S300" s="227" t="str">
        <f t="shared" si="101"/>
        <v>0.0085-0.792425624680823i</v>
      </c>
      <c r="T300" s="227" t="str">
        <f t="shared" si="102"/>
        <v>0.0561941298144226-0.788512067521442i</v>
      </c>
      <c r="U300" s="227" t="str">
        <f t="shared" si="103"/>
        <v>-19.3506593988897-3.19836025916375i</v>
      </c>
      <c r="V300" s="227">
        <f t="shared" si="115"/>
        <v>25.850968159936883</v>
      </c>
      <c r="W300" s="227">
        <f t="shared" si="116"/>
        <v>-170.61475796767581</v>
      </c>
      <c r="X300" s="227" t="str">
        <f t="shared" si="104"/>
        <v>0.999579263683528-0.00604034834858101i</v>
      </c>
      <c r="Y300" s="227" t="str">
        <f t="shared" si="105"/>
        <v>44.926331037394-107.800697803749i</v>
      </c>
      <c r="Z300" s="227" t="str">
        <f t="shared" si="106"/>
        <v>23.0467380467139-56.2556009317741i</v>
      </c>
      <c r="AA300" s="227" t="str">
        <f t="shared" si="107"/>
        <v>-0.59560576644979-2.43233233155992i</v>
      </c>
      <c r="AB300" s="227">
        <f t="shared" si="117"/>
        <v>7.9733588662847712</v>
      </c>
      <c r="AC300" s="227">
        <f t="shared" si="118"/>
        <v>-103.75928598695799</v>
      </c>
      <c r="AD300" s="229">
        <f t="shared" si="119"/>
        <v>-11.116183361480463</v>
      </c>
      <c r="AE300" s="229">
        <f t="shared" si="120"/>
        <v>167.26928988870458</v>
      </c>
      <c r="AF300" s="227">
        <f t="shared" si="108"/>
        <v>-3.1428244951956916</v>
      </c>
      <c r="AG300" s="227">
        <f t="shared" si="109"/>
        <v>63.510003901746586</v>
      </c>
      <c r="AH300" s="229" t="str">
        <f t="shared" si="110"/>
        <v>0.271257003511109-0.0612832001015567i</v>
      </c>
    </row>
    <row r="301" spans="9:34" x14ac:dyDescent="0.2">
      <c r="I301" s="227">
        <v>297</v>
      </c>
      <c r="J301" s="227">
        <f t="shared" si="98"/>
        <v>3.8957863904546697</v>
      </c>
      <c r="K301" s="227">
        <f t="shared" si="97"/>
        <v>7866.5877313907367</v>
      </c>
      <c r="L301" s="227">
        <f t="shared" si="111"/>
        <v>49427.228451513467</v>
      </c>
      <c r="M301" s="227">
        <f t="shared" si="99"/>
        <v>2225.0330328465816</v>
      </c>
      <c r="N301" s="227">
        <f>SQRT((ABS(AC301)-171.5+'Small Signal'!C$59)^2)</f>
        <v>2.8460388313965552</v>
      </c>
      <c r="O301" s="227">
        <f t="shared" si="112"/>
        <v>62.862098313588206</v>
      </c>
      <c r="P301" s="227">
        <f t="shared" si="113"/>
        <v>3.3148678174677233</v>
      </c>
      <c r="Q301" s="227">
        <f t="shared" si="114"/>
        <v>7866.5877313907367</v>
      </c>
      <c r="R301" s="227" t="str">
        <f t="shared" si="100"/>
        <v>0.0878666666666667+0.232307973722113i</v>
      </c>
      <c r="S301" s="227" t="str">
        <f t="shared" si="101"/>
        <v>0.0085-0.774833498463191i</v>
      </c>
      <c r="T301" s="227" t="str">
        <f t="shared" si="102"/>
        <v>0.0541070434075883-0.771130275353258i</v>
      </c>
      <c r="U301" s="227" t="str">
        <f t="shared" si="103"/>
        <v>-18.5538115856438-2.65585775689787i</v>
      </c>
      <c r="V301" s="227">
        <f t="shared" si="115"/>
        <v>25.456750650669115</v>
      </c>
      <c r="W301" s="227">
        <f t="shared" si="116"/>
        <v>-171.8538186857227</v>
      </c>
      <c r="X301" s="227" t="str">
        <f t="shared" si="104"/>
        <v>0.999559941670857-0.00617749080661551i</v>
      </c>
      <c r="Y301" s="227" t="str">
        <f t="shared" si="105"/>
        <v>42.5335799376984-105.526430590119i</v>
      </c>
      <c r="Z301" s="227" t="str">
        <f t="shared" si="106"/>
        <v>21.8004112567299-55.0662093670584i</v>
      </c>
      <c r="AA301" s="227" t="str">
        <f t="shared" si="107"/>
        <v>-0.608667293743665-2.37990549669036i</v>
      </c>
      <c r="AB301" s="227">
        <f t="shared" si="117"/>
        <v>7.8063596934767698</v>
      </c>
      <c r="AC301" s="227">
        <f t="shared" si="118"/>
        <v>-104.34603883139656</v>
      </c>
      <c r="AD301" s="229">
        <f t="shared" si="119"/>
        <v>-11.121227510944493</v>
      </c>
      <c r="AE301" s="229">
        <f t="shared" si="120"/>
        <v>167.20813714498476</v>
      </c>
      <c r="AF301" s="227">
        <f t="shared" si="108"/>
        <v>-3.3148678174677233</v>
      </c>
      <c r="AG301" s="227">
        <f t="shared" si="109"/>
        <v>62.862098313588206</v>
      </c>
      <c r="AH301" s="229" t="str">
        <f t="shared" si="110"/>
        <v>0.271033997376603-0.0615369356052632i</v>
      </c>
    </row>
    <row r="302" spans="9:34" x14ac:dyDescent="0.2">
      <c r="I302" s="227">
        <v>298</v>
      </c>
      <c r="J302" s="227">
        <f t="shared" si="98"/>
        <v>3.905536512981453</v>
      </c>
      <c r="K302" s="227">
        <f t="shared" si="97"/>
        <v>8045.1938507017967</v>
      </c>
      <c r="L302" s="227">
        <f t="shared" si="111"/>
        <v>50549.443796141088</v>
      </c>
      <c r="M302" s="227">
        <f t="shared" si="99"/>
        <v>2407.694296134242</v>
      </c>
      <c r="N302" s="227">
        <f>SQRT((ABS(AC302)-171.5+'Small Signal'!C$59)^2)</f>
        <v>3.436671516044612</v>
      </c>
      <c r="O302" s="227">
        <f t="shared" si="112"/>
        <v>62.204110212872251</v>
      </c>
      <c r="P302" s="227">
        <f t="shared" si="113"/>
        <v>3.4861316927309591</v>
      </c>
      <c r="Q302" s="227">
        <f t="shared" si="114"/>
        <v>8045.1938507017967</v>
      </c>
      <c r="R302" s="227" t="str">
        <f t="shared" si="100"/>
        <v>0.0878666666666667+0.237582385841863i</v>
      </c>
      <c r="S302" s="227" t="str">
        <f t="shared" si="101"/>
        <v>0.0085-0.757631923604846i</v>
      </c>
      <c r="T302" s="227" t="str">
        <f t="shared" si="102"/>
        <v>0.0521109713871286-0.754126360374864i</v>
      </c>
      <c r="U302" s="227" t="str">
        <f t="shared" si="103"/>
        <v>-17.7838474987796-2.16145441502068i</v>
      </c>
      <c r="V302" s="227">
        <f t="shared" si="115"/>
        <v>25.064199470642844</v>
      </c>
      <c r="W302" s="227">
        <f t="shared" si="116"/>
        <v>-173.07024180382058</v>
      </c>
      <c r="X302" s="227" t="str">
        <f t="shared" si="104"/>
        <v>0.999539732308655-0.00631774700126095i</v>
      </c>
      <c r="Y302" s="227" t="str">
        <f t="shared" si="105"/>
        <v>40.279624205181-103.274612094518i</v>
      </c>
      <c r="Z302" s="227" t="str">
        <f t="shared" si="106"/>
        <v>20.6264429434885-53.8886807464911i</v>
      </c>
      <c r="AA302" s="227" t="str">
        <f t="shared" si="107"/>
        <v>-0.621173079003285-2.32854130613713i</v>
      </c>
      <c r="AB302" s="227">
        <f t="shared" si="117"/>
        <v>7.6402366217134201</v>
      </c>
      <c r="AC302" s="227">
        <f t="shared" si="118"/>
        <v>-104.93667151604461</v>
      </c>
      <c r="AD302" s="229">
        <f t="shared" si="119"/>
        <v>-11.126368314444379</v>
      </c>
      <c r="AE302" s="229">
        <f t="shared" si="120"/>
        <v>167.14078172891686</v>
      </c>
      <c r="AF302" s="227">
        <f t="shared" si="108"/>
        <v>-3.4861316927309591</v>
      </c>
      <c r="AG302" s="227">
        <f t="shared" si="109"/>
        <v>62.204110212872251</v>
      </c>
      <c r="AH302" s="229" t="str">
        <f t="shared" si="110"/>
        <v>0.270801145944899-0.0618189146920867i</v>
      </c>
    </row>
    <row r="303" spans="9:34" x14ac:dyDescent="0.2">
      <c r="I303" s="227">
        <v>299</v>
      </c>
      <c r="J303" s="227">
        <f t="shared" si="98"/>
        <v>3.9152866355082363</v>
      </c>
      <c r="K303" s="227">
        <f t="shared" si="97"/>
        <v>8227.8551139894571</v>
      </c>
      <c r="L303" s="227">
        <f t="shared" si="111"/>
        <v>51697.138361820973</v>
      </c>
      <c r="M303" s="227">
        <f t="shared" si="99"/>
        <v>2594.5027729913027</v>
      </c>
      <c r="N303" s="227">
        <f>SQRT((ABS(AC303)-171.5+'Small Signal'!C$59)^2)</f>
        <v>4.0312699893480186</v>
      </c>
      <c r="O303" s="227">
        <f t="shared" si="112"/>
        <v>61.535929894809456</v>
      </c>
      <c r="P303" s="227">
        <f t="shared" si="113"/>
        <v>3.6565870473508264</v>
      </c>
      <c r="Q303" s="227">
        <f t="shared" si="114"/>
        <v>8227.8551139894571</v>
      </c>
      <c r="R303" s="227" t="str">
        <f t="shared" si="100"/>
        <v>0.0878666666666667+0.242976550300559i</v>
      </c>
      <c r="S303" s="227" t="str">
        <f t="shared" si="101"/>
        <v>0.0085-0.74081222972893i</v>
      </c>
      <c r="T303" s="227" t="str">
        <f t="shared" si="102"/>
        <v>0.0502019709315008-0.737492451128731i</v>
      </c>
      <c r="U303" s="227" t="str">
        <f t="shared" si="103"/>
        <v>-17.0408102778906-1.71128508931706i</v>
      </c>
      <c r="V303" s="227">
        <f t="shared" si="115"/>
        <v>24.673382880434474</v>
      </c>
      <c r="W303" s="227">
        <f t="shared" si="116"/>
        <v>-174.26542570024338</v>
      </c>
      <c r="X303" s="227" t="str">
        <f t="shared" si="104"/>
        <v>0.999518594846032-0.0064611876280249i</v>
      </c>
      <c r="Y303" s="227" t="str">
        <f t="shared" si="105"/>
        <v>38.1559921368109-101.049034632729i</v>
      </c>
      <c r="Z303" s="227" t="str">
        <f t="shared" si="106"/>
        <v>19.5204110249445-52.7249816090581i</v>
      </c>
      <c r="AA303" s="227" t="str">
        <f t="shared" si="107"/>
        <v>-0.633146229440431-2.27822254203575i</v>
      </c>
      <c r="AB303" s="227">
        <f t="shared" si="117"/>
        <v>7.4750286025185977</v>
      </c>
      <c r="AC303" s="227">
        <f t="shared" si="118"/>
        <v>-105.53126998934802</v>
      </c>
      <c r="AD303" s="229">
        <f t="shared" si="119"/>
        <v>-11.131615649869424</v>
      </c>
      <c r="AE303" s="229">
        <f t="shared" si="120"/>
        <v>167.06719988415747</v>
      </c>
      <c r="AF303" s="227">
        <f t="shared" si="108"/>
        <v>-3.6565870473508264</v>
      </c>
      <c r="AG303" s="227">
        <f t="shared" si="109"/>
        <v>61.535929894809456</v>
      </c>
      <c r="AH303" s="229" t="str">
        <f t="shared" si="110"/>
        <v>0.270558032599954-0.0621290938796492i</v>
      </c>
    </row>
    <row r="304" spans="9:34" x14ac:dyDescent="0.2">
      <c r="I304" s="227">
        <v>300</v>
      </c>
      <c r="J304" s="227">
        <f t="shared" si="98"/>
        <v>3.9250367580350205</v>
      </c>
      <c r="K304" s="227">
        <f t="shared" si="97"/>
        <v>8414.6635908465178</v>
      </c>
      <c r="L304" s="227">
        <f t="shared" si="111"/>
        <v>52870.890638865858</v>
      </c>
      <c r="M304" s="227">
        <f t="shared" si="99"/>
        <v>2785.5526233949231</v>
      </c>
      <c r="N304" s="227">
        <f>SQRT((ABS(AC304)-171.5+'Small Signal'!C$59)^2)</f>
        <v>4.6299125243626378</v>
      </c>
      <c r="O304" s="227">
        <f t="shared" si="112"/>
        <v>60.857453286298508</v>
      </c>
      <c r="P304" s="227">
        <f t="shared" si="113"/>
        <v>3.8262045815094288</v>
      </c>
      <c r="Q304" s="227">
        <f t="shared" si="114"/>
        <v>8414.6635908465178</v>
      </c>
      <c r="R304" s="227" t="str">
        <f t="shared" si="100"/>
        <v>0.0878666666666667+0.24849318600267i</v>
      </c>
      <c r="S304" s="227" t="str">
        <f t="shared" si="101"/>
        <v>0.0085-0.724365938943961i</v>
      </c>
      <c r="T304" s="227" t="str">
        <f t="shared" si="102"/>
        <v>0.0483762677844527-0.721220817600594i</v>
      </c>
      <c r="U304" s="227" t="str">
        <f t="shared" si="103"/>
        <v>-16.3245640277188-1.30177612838438i</v>
      </c>
      <c r="V304" s="227">
        <f t="shared" si="115"/>
        <v>24.284361218986628</v>
      </c>
      <c r="W304" s="227">
        <f t="shared" si="116"/>
        <v>-175.44068802582859</v>
      </c>
      <c r="X304" s="227" t="str">
        <f t="shared" si="104"/>
        <v>0.999496486660643-0.00660788498751374i</v>
      </c>
      <c r="Y304" s="227" t="str">
        <f t="shared" si="105"/>
        <v>36.1546826791918-98.8528291932455i</v>
      </c>
      <c r="Z304" s="227" t="str">
        <f t="shared" si="106"/>
        <v>18.4781396680966-51.576734251228i</v>
      </c>
      <c r="AA304" s="227" t="str">
        <f t="shared" si="107"/>
        <v>-0.644608954661431-2.22893197385016i</v>
      </c>
      <c r="AB304" s="227">
        <f t="shared" si="117"/>
        <v>7.3107749946163159</v>
      </c>
      <c r="AC304" s="227">
        <f t="shared" si="118"/>
        <v>-106.12991252436264</v>
      </c>
      <c r="AD304" s="229">
        <f t="shared" si="119"/>
        <v>-11.136979576125745</v>
      </c>
      <c r="AE304" s="229">
        <f t="shared" si="120"/>
        <v>166.98736581066115</v>
      </c>
      <c r="AF304" s="227">
        <f t="shared" si="108"/>
        <v>-3.8262045815094288</v>
      </c>
      <c r="AG304" s="227">
        <f t="shared" si="109"/>
        <v>60.857453286298508</v>
      </c>
      <c r="AH304" s="229" t="str">
        <f t="shared" si="110"/>
        <v>0.270304224801621-0.0624674318458675i</v>
      </c>
    </row>
    <row r="305" spans="9:34" x14ac:dyDescent="0.2">
      <c r="I305" s="227">
        <v>301</v>
      </c>
      <c r="J305" s="227">
        <f t="shared" si="98"/>
        <v>3.9347868805618038</v>
      </c>
      <c r="K305" s="227">
        <f t="shared" si="97"/>
        <v>8605.7134412501382</v>
      </c>
      <c r="L305" s="227">
        <f t="shared" si="111"/>
        <v>54071.292251860745</v>
      </c>
      <c r="M305" s="227">
        <f t="shared" si="99"/>
        <v>2980.9401451677177</v>
      </c>
      <c r="N305" s="227">
        <f>SQRT((ABS(AC305)-171.5+'Small Signal'!C$59)^2)</f>
        <v>5.232669372487976</v>
      </c>
      <c r="O305" s="227">
        <f t="shared" si="112"/>
        <v>60.168582324140033</v>
      </c>
      <c r="P305" s="227">
        <f t="shared" si="113"/>
        <v>3.9949548056094883</v>
      </c>
      <c r="Q305" s="227">
        <f t="shared" ref="Q305:Q368" si="121">K305</f>
        <v>8605.7134412501382</v>
      </c>
      <c r="R305" s="227" t="str">
        <f t="shared" si="100"/>
        <v>0.0878666666666667+0.254135073583745i</v>
      </c>
      <c r="S305" s="227" t="str">
        <f t="shared" si="101"/>
        <v>0.0085-0.708284761570638i</v>
      </c>
      <c r="T305" s="227" t="str">
        <f t="shared" si="102"/>
        <v>0.0466302492408193-0.705303870206159i</v>
      </c>
      <c r="U305" s="227" t="str">
        <f t="shared" si="103"/>
        <v>-15.6348264122681-0.929627846834822i</v>
      </c>
      <c r="V305" s="227">
        <f t="shared" si="115"/>
        <v>23.89718801869472</v>
      </c>
      <c r="W305" s="227">
        <f t="shared" si="116"/>
        <v>-176.59726850030333</v>
      </c>
      <c r="X305" s="227" t="str">
        <f t="shared" si="104"/>
        <v>0.999473363172744-0.00675791302187534i</v>
      </c>
      <c r="Y305" s="227" t="str">
        <f t="shared" si="105"/>
        <v>34.2681566467893-96.688552307793i</v>
      </c>
      <c r="Z305" s="227" t="str">
        <f t="shared" si="106"/>
        <v>17.4956945985277-50.4452620129088i</v>
      </c>
      <c r="AA305" s="227" t="str">
        <f t="shared" si="107"/>
        <v>-0.655582596893317-2.18065238220142i</v>
      </c>
      <c r="AB305" s="227">
        <f t="shared" si="117"/>
        <v>7.1475155438548761</v>
      </c>
      <c r="AC305" s="227">
        <f t="shared" si="118"/>
        <v>-106.73266937248798</v>
      </c>
      <c r="AD305" s="229">
        <f t="shared" si="119"/>
        <v>-11.142470349464364</v>
      </c>
      <c r="AE305" s="229">
        <f t="shared" si="120"/>
        <v>166.90125169662801</v>
      </c>
      <c r="AF305" s="227">
        <f t="shared" si="108"/>
        <v>-3.9949548056094883</v>
      </c>
      <c r="AG305" s="227">
        <f t="shared" si="109"/>
        <v>60.168582324140033</v>
      </c>
      <c r="AH305" s="229" t="str">
        <f t="shared" si="110"/>
        <v>0.270039273633218-0.0628338886676703i</v>
      </c>
    </row>
    <row r="306" spans="9:34" x14ac:dyDescent="0.2">
      <c r="I306" s="227">
        <v>302</v>
      </c>
      <c r="J306" s="227">
        <f t="shared" si="98"/>
        <v>3.9445370030885871</v>
      </c>
      <c r="K306" s="227">
        <f t="shared" si="97"/>
        <v>8801.1009630229328</v>
      </c>
      <c r="L306" s="227">
        <f t="shared" si="111"/>
        <v>55298.948257869801</v>
      </c>
      <c r="M306" s="227">
        <f t="shared" si="99"/>
        <v>3180.7638225161236</v>
      </c>
      <c r="N306" s="227">
        <f>SQRT((ABS(AC306)-171.5+'Small Signal'!C$59)^2)</f>
        <v>5.8396024189484166</v>
      </c>
      <c r="O306" s="227">
        <f t="shared" si="112"/>
        <v>59.469225334839066</v>
      </c>
      <c r="P306" s="227">
        <f t="shared" si="113"/>
        <v>4.1628080808269425</v>
      </c>
      <c r="Q306" s="227">
        <f t="shared" si="121"/>
        <v>8801.1009630229328</v>
      </c>
      <c r="R306" s="227" t="str">
        <f t="shared" si="100"/>
        <v>0.0878666666666667+0.259905056811988i</v>
      </c>
      <c r="S306" s="227" t="str">
        <f t="shared" si="101"/>
        <v>0.0085-0.692560591963434i</v>
      </c>
      <c r="T306" s="227" t="str">
        <f t="shared" si="102"/>
        <v>0.0449604574075569-0.689734158666187i</v>
      </c>
      <c r="U306" s="227" t="str">
        <f t="shared" si="103"/>
        <v>-14.971196541797-0.591796912157357i</v>
      </c>
      <c r="V306" s="227">
        <f t="shared" si="115"/>
        <v>23.511910984160394</v>
      </c>
      <c r="W306" s="227">
        <f t="shared" si="116"/>
        <v>-177.73633181558236</v>
      </c>
      <c r="X306" s="227" t="str">
        <f t="shared" si="104"/>
        <v>0.999449177755297-0.00691134735206941i</v>
      </c>
      <c r="Y306" s="227" t="str">
        <f t="shared" si="105"/>
        <v>32.4893235288092-94.558262729539i</v>
      </c>
      <c r="Z306" s="227" t="str">
        <f t="shared" si="106"/>
        <v>16.5693761227754-49.3316292430785i</v>
      </c>
      <c r="AA306" s="227" t="str">
        <f t="shared" si="107"/>
        <v>-0.666087660638787-2.13336658085027i</v>
      </c>
      <c r="AB306" s="227">
        <f t="shared" si="117"/>
        <v>6.9852903591089541</v>
      </c>
      <c r="AC306" s="227">
        <f t="shared" si="118"/>
        <v>-107.33960241894842</v>
      </c>
      <c r="AD306" s="229">
        <f t="shared" si="119"/>
        <v>-11.148098439935897</v>
      </c>
      <c r="AE306" s="229">
        <f t="shared" si="120"/>
        <v>166.80882775378748</v>
      </c>
      <c r="AF306" s="227">
        <f t="shared" si="108"/>
        <v>-4.1628080808269425</v>
      </c>
      <c r="AG306" s="227">
        <f t="shared" si="109"/>
        <v>59.469225334839066</v>
      </c>
      <c r="AH306" s="229" t="str">
        <f t="shared" si="110"/>
        <v>0.26976271335163-0.0632284250198291i</v>
      </c>
    </row>
    <row r="307" spans="9:34" x14ac:dyDescent="0.2">
      <c r="I307" s="227">
        <v>303</v>
      </c>
      <c r="J307" s="227">
        <f t="shared" si="98"/>
        <v>3.9542871256153704</v>
      </c>
      <c r="K307" s="227">
        <f t="shared" si="97"/>
        <v>9000.9246403713387</v>
      </c>
      <c r="L307" s="227">
        <f t="shared" si="111"/>
        <v>56554.477451411898</v>
      </c>
      <c r="M307" s="227">
        <f t="shared" si="99"/>
        <v>3385.1243756709546</v>
      </c>
      <c r="N307" s="227">
        <f>SQRT((ABS(AC307)-171.5+'Small Signal'!C$59)^2)</f>
        <v>6.4507648415855101</v>
      </c>
      <c r="O307" s="227">
        <f t="shared" si="112"/>
        <v>58.759297414596062</v>
      </c>
      <c r="P307" s="227">
        <f t="shared" si="113"/>
        <v>4.3297346639359358</v>
      </c>
      <c r="Q307" s="227">
        <f t="shared" si="121"/>
        <v>9000.9246403713387</v>
      </c>
      <c r="R307" s="227" t="str">
        <f t="shared" si="100"/>
        <v>0.0878666666666667+0.265806044021636i</v>
      </c>
      <c r="S307" s="227" t="str">
        <f t="shared" si="101"/>
        <v>0.0085-0.677185504424982i</v>
      </c>
      <c r="T307" s="227" t="str">
        <f t="shared" si="102"/>
        <v>0.0433635827306882-0.674504370780782i</v>
      </c>
      <c r="U307" s="227" t="str">
        <f t="shared" si="103"/>
        <v>-14.3331787483374-0.285478985295989i</v>
      </c>
      <c r="V307" s="227">
        <f t="shared" si="115"/>
        <v>23.128572848130936</v>
      </c>
      <c r="W307" s="227">
        <f t="shared" si="116"/>
        <v>-178.85897058235807</v>
      </c>
      <c r="X307" s="227" t="str">
        <f t="shared" si="104"/>
        <v>0.999423881639953-0.00706826531598382i</v>
      </c>
      <c r="Y307" s="227" t="str">
        <f t="shared" si="105"/>
        <v>30.8115251616445-92.4635889153205i</v>
      </c>
      <c r="Z307" s="227" t="str">
        <f t="shared" si="106"/>
        <v>15.695710528093-48.2366764662535i</v>
      </c>
      <c r="AA307" s="227" t="str">
        <f t="shared" si="107"/>
        <v>-0.676143841727418-2.08705743693891i</v>
      </c>
      <c r="AB307" s="227">
        <f t="shared" si="117"/>
        <v>6.8241398840393401</v>
      </c>
      <c r="AC307" s="227">
        <f t="shared" si="118"/>
        <v>-107.95076484158551</v>
      </c>
      <c r="AD307" s="229">
        <f t="shared" si="119"/>
        <v>-11.153874547975276</v>
      </c>
      <c r="AE307" s="229">
        <f t="shared" si="120"/>
        <v>166.71006225618157</v>
      </c>
      <c r="AF307" s="227">
        <f t="shared" si="108"/>
        <v>-4.3297346639359358</v>
      </c>
      <c r="AG307" s="227">
        <f t="shared" si="109"/>
        <v>58.759297414596062</v>
      </c>
      <c r="AH307" s="229" t="str">
        <f t="shared" si="110"/>
        <v>0.269474060941876-0.0636510013318428i</v>
      </c>
    </row>
    <row r="308" spans="9:34" x14ac:dyDescent="0.2">
      <c r="I308" s="227">
        <v>304</v>
      </c>
      <c r="J308" s="227">
        <f t="shared" si="98"/>
        <v>3.9640372481421537</v>
      </c>
      <c r="K308" s="227">
        <f t="shared" si="97"/>
        <v>9205.2851935261697</v>
      </c>
      <c r="L308" s="227">
        <f t="shared" si="111"/>
        <v>57838.512676361424</v>
      </c>
      <c r="M308" s="227">
        <f t="shared" si="99"/>
        <v>3594.1248116549987</v>
      </c>
      <c r="N308" s="227">
        <f>SQRT((ABS(AC308)-171.5+'Small Signal'!C$59)^2)</f>
        <v>7.0662007746738595</v>
      </c>
      <c r="O308" s="227">
        <f t="shared" si="112"/>
        <v>58.03872080794514</v>
      </c>
      <c r="P308" s="227">
        <f t="shared" si="113"/>
        <v>4.4957047565179105</v>
      </c>
      <c r="Q308" s="227">
        <f t="shared" si="121"/>
        <v>9205.2851935261697</v>
      </c>
      <c r="R308" s="227" t="str">
        <f t="shared" si="100"/>
        <v>0.0878666666666667+0.271841009578899i</v>
      </c>
      <c r="S308" s="227" t="str">
        <f t="shared" si="101"/>
        <v>0.0085-0.662151749211177i</v>
      </c>
      <c r="T308" s="227" t="str">
        <f t="shared" si="102"/>
        <v>0.0418364577789994-0.659607331112914i</v>
      </c>
      <c r="U308" s="227" t="str">
        <f t="shared" si="103"/>
        <v>-13.7202027856368-0.00809186004148794i</v>
      </c>
      <c r="V308" s="227">
        <f t="shared" si="115"/>
        <v>22.747212117106642</v>
      </c>
      <c r="W308" s="227">
        <f t="shared" si="116"/>
        <v>-179.9662082709508</v>
      </c>
      <c r="X308" s="227" t="str">
        <f t="shared" si="104"/>
        <v>0.999397423818708-0.00722874600741642i</v>
      </c>
      <c r="Y308" s="227" t="str">
        <f t="shared" si="105"/>
        <v>29.2285172826798-90.4057882628052i</v>
      </c>
      <c r="Z308" s="227" t="str">
        <f t="shared" si="106"/>
        <v>14.871440388053-47.161051246941i</v>
      </c>
      <c r="AA308" s="227" t="str">
        <f t="shared" si="107"/>
        <v>-0.685770055736232-2.04170788959205i</v>
      </c>
      <c r="AB308" s="227">
        <f t="shared" si="117"/>
        <v>6.6641048646017067</v>
      </c>
      <c r="AC308" s="227">
        <f t="shared" si="118"/>
        <v>-108.56620077467386</v>
      </c>
      <c r="AD308" s="229">
        <f t="shared" si="119"/>
        <v>-11.159809621119617</v>
      </c>
      <c r="AE308" s="229">
        <f t="shared" si="120"/>
        <v>166.604921582619</v>
      </c>
      <c r="AF308" s="227">
        <f t="shared" si="108"/>
        <v>-4.4957047565179105</v>
      </c>
      <c r="AG308" s="227">
        <f t="shared" si="109"/>
        <v>58.03872080794514</v>
      </c>
      <c r="AH308" s="229" t="str">
        <f t="shared" si="110"/>
        <v>0.269172815678236-0.0641015769008045i</v>
      </c>
    </row>
    <row r="309" spans="9:34" x14ac:dyDescent="0.2">
      <c r="I309" s="227">
        <v>305</v>
      </c>
      <c r="J309" s="227">
        <f t="shared" si="98"/>
        <v>3.9737873706689371</v>
      </c>
      <c r="K309" s="227">
        <f t="shared" si="97"/>
        <v>9414.2856295102138</v>
      </c>
      <c r="L309" s="227">
        <f t="shared" si="111"/>
        <v>59151.701144930499</v>
      </c>
      <c r="M309" s="227">
        <f t="shared" si="99"/>
        <v>3807.8704762031803</v>
      </c>
      <c r="N309" s="227">
        <f>SQRT((ABS(AC309)-171.5+'Small Signal'!C$59)^2)</f>
        <v>7.6859449796109516</v>
      </c>
      <c r="O309" s="227">
        <f t="shared" si="112"/>
        <v>57.307425283376801</v>
      </c>
      <c r="P309" s="227">
        <f t="shared" si="113"/>
        <v>4.6606885586433</v>
      </c>
      <c r="Q309" s="227">
        <f t="shared" si="121"/>
        <v>9414.2856295102138</v>
      </c>
      <c r="R309" s="227" t="str">
        <f t="shared" si="100"/>
        <v>0.0878666666666667+0.278012995381173i</v>
      </c>
      <c r="S309" s="227" t="str">
        <f t="shared" si="101"/>
        <v>0.0085-0.647451748624946i</v>
      </c>
      <c r="T309" s="227" t="str">
        <f t="shared" si="102"/>
        <v>0.040376051275522-0.64503599959042i</v>
      </c>
      <c r="U309" s="227" t="str">
        <f t="shared" si="103"/>
        <v>-13.1316409313017+0.242740728400499i</v>
      </c>
      <c r="V309" s="227">
        <f t="shared" si="115"/>
        <v>22.367863718044468</v>
      </c>
      <c r="W309" s="227">
        <f t="shared" si="116"/>
        <v>-181.05900210939819</v>
      </c>
      <c r="X309" s="227" t="str">
        <f t="shared" si="104"/>
        <v>0.999369750941056-0.00739287031594197i</v>
      </c>
      <c r="Y309" s="227" t="str">
        <f t="shared" si="105"/>
        <v>27.7344497657885-88.3857989934817i</v>
      </c>
      <c r="Z309" s="227" t="str">
        <f t="shared" si="106"/>
        <v>14.0935141901769-46.1052352176521i</v>
      </c>
      <c r="AA309" s="227" t="str">
        <f t="shared" si="107"/>
        <v>-0.69498446575796-1.99730096697366i</v>
      </c>
      <c r="AB309" s="227">
        <f t="shared" si="117"/>
        <v>6.5052263122165401</v>
      </c>
      <c r="AC309" s="227">
        <f t="shared" si="118"/>
        <v>-109.18594497961095</v>
      </c>
      <c r="AD309" s="229">
        <f t="shared" si="119"/>
        <v>-11.16591487085984</v>
      </c>
      <c r="AE309" s="229">
        <f t="shared" si="120"/>
        <v>166.49337026298775</v>
      </c>
      <c r="AF309" s="227">
        <f t="shared" si="108"/>
        <v>-4.6606885586433</v>
      </c>
      <c r="AG309" s="227">
        <f t="shared" si="109"/>
        <v>57.307425283376801</v>
      </c>
      <c r="AH309" s="229" t="str">
        <f t="shared" si="110"/>
        <v>0.268858458694281-0.0645801089581674i</v>
      </c>
    </row>
    <row r="310" spans="9:34" x14ac:dyDescent="0.2">
      <c r="I310" s="227">
        <v>306</v>
      </c>
      <c r="J310" s="227">
        <f t="shared" si="98"/>
        <v>3.9835374931957204</v>
      </c>
      <c r="K310" s="227">
        <f t="shared" si="97"/>
        <v>9628.0312940583954</v>
      </c>
      <c r="L310" s="227">
        <f t="shared" si="111"/>
        <v>60494.704763892965</v>
      </c>
      <c r="M310" s="227">
        <f t="shared" si="99"/>
        <v>4026.4691068617094</v>
      </c>
      <c r="N310" s="227">
        <f>SQRT((ABS(AC310)-171.5+'Small Signal'!C$59)^2)</f>
        <v>8.3100225244652535</v>
      </c>
      <c r="O310" s="227">
        <f t="shared" si="112"/>
        <v>56.56534850415791</v>
      </c>
      <c r="P310" s="227">
        <f t="shared" si="113"/>
        <v>4.824656327094849</v>
      </c>
      <c r="Q310" s="227">
        <f t="shared" si="121"/>
        <v>9628.0312940583954</v>
      </c>
      <c r="R310" s="227" t="str">
        <f t="shared" si="100"/>
        <v>0.0878666666666667+0.284325112390297i</v>
      </c>
      <c r="S310" s="227" t="str">
        <f t="shared" si="101"/>
        <v>0.0085-0.633078093196748i</v>
      </c>
      <c r="T310" s="227" t="str">
        <f t="shared" si="102"/>
        <v>0.0389794623680413-0.630783470035248i</v>
      </c>
      <c r="U310" s="227" t="str">
        <f t="shared" si="103"/>
        <v>-12.5668224139743+0.469204513527261i</v>
      </c>
      <c r="V310" s="227">
        <f t="shared" si="115"/>
        <v>21.990559556561799</v>
      </c>
      <c r="W310" s="227">
        <f t="shared" si="116"/>
        <v>-182.13824591159079</v>
      </c>
      <c r="X310" s="227" t="str">
        <f t="shared" si="104"/>
        <v>0.999340807206405-0.00756072096768407i</v>
      </c>
      <c r="Y310" s="227" t="str">
        <f t="shared" si="105"/>
        <v>26.3238461623193-86.4042855045106i</v>
      </c>
      <c r="Z310" s="227" t="str">
        <f t="shared" si="106"/>
        <v>13.3590756098094-45.069567700435i</v>
      </c>
      <c r="AA310" s="227" t="str">
        <f t="shared" si="107"/>
        <v>-0.70380450949974-1.95381980189081i</v>
      </c>
      <c r="AB310" s="227">
        <f t="shared" si="117"/>
        <v>6.3475454625294523</v>
      </c>
      <c r="AC310" s="227">
        <f t="shared" si="118"/>
        <v>-109.81002252446525</v>
      </c>
      <c r="AD310" s="229">
        <f t="shared" si="119"/>
        <v>-11.172201789624301</v>
      </c>
      <c r="AE310" s="229">
        <f t="shared" si="120"/>
        <v>166.37537102862316</v>
      </c>
      <c r="AF310" s="227">
        <f t="shared" si="108"/>
        <v>-4.824656327094849</v>
      </c>
      <c r="AG310" s="227">
        <f t="shared" si="109"/>
        <v>56.56534850415791</v>
      </c>
      <c r="AH310" s="229" t="str">
        <f t="shared" si="110"/>
        <v>0.268530452564397-0.0650865516883385i</v>
      </c>
    </row>
    <row r="311" spans="9:34" x14ac:dyDescent="0.2">
      <c r="I311" s="227">
        <v>307</v>
      </c>
      <c r="J311" s="227">
        <f t="shared" si="98"/>
        <v>3.9932876157225037</v>
      </c>
      <c r="K311" s="227">
        <f t="shared" si="97"/>
        <v>9846.6299247169245</v>
      </c>
      <c r="L311" s="227">
        <f t="shared" si="111"/>
        <v>61868.200468216215</v>
      </c>
      <c r="M311" s="227">
        <f t="shared" si="99"/>
        <v>4250.0308872926425</v>
      </c>
      <c r="N311" s="227">
        <f>SQRT((ABS(AC311)-171.5+'Small Signal'!C$59)^2)</f>
        <v>8.9384484744989265</v>
      </c>
      <c r="O311" s="227">
        <f t="shared" si="112"/>
        <v>55.812436392442095</v>
      </c>
      <c r="P311" s="227">
        <f t="shared" si="113"/>
        <v>4.9875784381739123</v>
      </c>
      <c r="Q311" s="227">
        <f t="shared" si="121"/>
        <v>9846.6299247169245</v>
      </c>
      <c r="R311" s="227" t="str">
        <f t="shared" si="100"/>
        <v>0.0878666666666667+0.290780542200616i</v>
      </c>
      <c r="S311" s="227" t="str">
        <f t="shared" si="101"/>
        <v>0.0085-0.619023537949846i</v>
      </c>
      <c r="T311" s="227" t="str">
        <f t="shared" si="102"/>
        <v>0.0376439151300725-0.616842968627944i</v>
      </c>
      <c r="U311" s="227" t="str">
        <f t="shared" si="103"/>
        <v>-12.0250455374598+0.673309259052254i</v>
      </c>
      <c r="V311" s="227">
        <f t="shared" si="115"/>
        <v>21.615328996057855</v>
      </c>
      <c r="W311" s="227">
        <f t="shared" si="116"/>
        <v>-183.20477281623505</v>
      </c>
      <c r="X311" s="227" t="str">
        <f t="shared" si="104"/>
        <v>0.99931053425156-0.00773238256701299i</v>
      </c>
      <c r="Y311" s="227" t="str">
        <f t="shared" si="105"/>
        <v>24.9915830277099-84.4616779413734i</v>
      </c>
      <c r="Z311" s="227" t="str">
        <f t="shared" si="106"/>
        <v>12.665452679634-44.0542663146354i</v>
      </c>
      <c r="AA311" s="227" t="str">
        <f t="shared" si="107"/>
        <v>-0.712246925699632-1.91124764603268i</v>
      </c>
      <c r="AB311" s="227">
        <f t="shared" si="117"/>
        <v>6.1911037297183746</v>
      </c>
      <c r="AC311" s="227">
        <f t="shared" si="118"/>
        <v>-110.43844847449893</v>
      </c>
      <c r="AD311" s="229">
        <f t="shared" si="119"/>
        <v>-11.178682167892287</v>
      </c>
      <c r="AE311" s="229">
        <f t="shared" si="120"/>
        <v>166.25088486694102</v>
      </c>
      <c r="AF311" s="227">
        <f t="shared" si="108"/>
        <v>-4.9875784381739123</v>
      </c>
      <c r="AG311" s="227">
        <f t="shared" si="109"/>
        <v>55.812436392442095</v>
      </c>
      <c r="AH311" s="229" t="str">
        <f t="shared" si="110"/>
        <v>0.268188240899592-0.0656208551970384i</v>
      </c>
    </row>
    <row r="312" spans="9:34" x14ac:dyDescent="0.2">
      <c r="I312" s="227">
        <v>308</v>
      </c>
      <c r="J312" s="227">
        <f t="shared" si="98"/>
        <v>4.0030377382492865</v>
      </c>
      <c r="K312" s="227">
        <f t="shared" si="97"/>
        <v>10070.191705147858</v>
      </c>
      <c r="L312" s="227">
        <f t="shared" si="111"/>
        <v>63272.880562266764</v>
      </c>
      <c r="M312" s="227">
        <f t="shared" si="99"/>
        <v>4478.6685028114744</v>
      </c>
      <c r="N312" s="227">
        <f>SQRT((ABS(AC312)-171.5+'Small Signal'!C$59)^2)</f>
        <v>9.5712275958915569</v>
      </c>
      <c r="O312" s="227">
        <f t="shared" si="112"/>
        <v>55.04864348466613</v>
      </c>
      <c r="P312" s="227">
        <f t="shared" si="113"/>
        <v>5.1494254551041605</v>
      </c>
      <c r="Q312" s="227">
        <f t="shared" si="121"/>
        <v>10070.191705147858</v>
      </c>
      <c r="R312" s="227" t="str">
        <f t="shared" si="100"/>
        <v>0.0878666666666667+0.297382538642654i</v>
      </c>
      <c r="S312" s="227" t="str">
        <f t="shared" si="101"/>
        <v>0.0085-0.605280998748534i</v>
      </c>
      <c r="T312" s="227" t="str">
        <f t="shared" si="102"/>
        <v>0.0363667532839714-0.603207852314992i</v>
      </c>
      <c r="U312" s="227" t="str">
        <f t="shared" si="103"/>
        <v>-11.5055878272867+0.856902438624i</v>
      </c>
      <c r="V312" s="227">
        <f t="shared" si="115"/>
        <v>21.242199266250232</v>
      </c>
      <c r="W312" s="227">
        <f t="shared" si="116"/>
        <v>-184.2593579238509</v>
      </c>
      <c r="X312" s="227" t="str">
        <f t="shared" si="104"/>
        <v>0.999278871033042-0.00790794163919008i</v>
      </c>
      <c r="Y312" s="227" t="str">
        <f t="shared" si="105"/>
        <v>23.7328693976895-82.558206672354i</v>
      </c>
      <c r="Z312" s="227" t="str">
        <f t="shared" si="106"/>
        <v>12.0101470437414-43.0594449264691i</v>
      </c>
      <c r="AA312" s="227" t="str">
        <f t="shared" si="107"/>
        <v>-0.720327779851603-1.86956788292804i</v>
      </c>
      <c r="AB312" s="227">
        <f t="shared" si="117"/>
        <v>6.035942656326637</v>
      </c>
      <c r="AC312" s="227">
        <f t="shared" si="118"/>
        <v>-111.07122759589156</v>
      </c>
      <c r="AD312" s="229">
        <f t="shared" si="119"/>
        <v>-11.185368111430797</v>
      </c>
      <c r="AE312" s="229">
        <f t="shared" si="120"/>
        <v>166.11987108055769</v>
      </c>
      <c r="AF312" s="227">
        <f t="shared" si="108"/>
        <v>-5.1494254551041605</v>
      </c>
      <c r="AG312" s="227">
        <f t="shared" si="109"/>
        <v>55.04864348466613</v>
      </c>
      <c r="AH312" s="229" t="str">
        <f t="shared" si="110"/>
        <v>0.267831247960708-0.0661829644274096i</v>
      </c>
    </row>
    <row r="313" spans="9:34" x14ac:dyDescent="0.2">
      <c r="I313" s="227">
        <v>309</v>
      </c>
      <c r="J313" s="227">
        <f t="shared" si="98"/>
        <v>4.0127878607760703</v>
      </c>
      <c r="K313" s="227">
        <f t="shared" si="97"/>
        <v>10298.829320666689</v>
      </c>
      <c r="L313" s="227">
        <f t="shared" si="111"/>
        <v>64709.453068763265</v>
      </c>
      <c r="M313" s="227">
        <f t="shared" si="99"/>
        <v>4712.4971971856967</v>
      </c>
      <c r="N313" s="227">
        <f>SQRT((ABS(AC313)-171.5+'Small Signal'!C$59)^2)</f>
        <v>10.208354075008089</v>
      </c>
      <c r="O313" s="227">
        <f t="shared" si="112"/>
        <v>54.273933276121454</v>
      </c>
      <c r="P313" s="227">
        <f t="shared" si="113"/>
        <v>5.3101682000179959</v>
      </c>
      <c r="Q313" s="227">
        <f t="shared" si="121"/>
        <v>10298.829320666689</v>
      </c>
      <c r="R313" s="227" t="str">
        <f t="shared" si="100"/>
        <v>0.0878666666666667+0.304134429423187i</v>
      </c>
      <c r="S313" s="227" t="str">
        <f t="shared" si="101"/>
        <v>0.0085-0.591843548727392i</v>
      </c>
      <c r="T313" s="227" t="str">
        <f t="shared" si="102"/>
        <v>0.0351454351380479-0.589871607165862i</v>
      </c>
      <c r="U313" s="227" t="str">
        <f t="shared" si="103"/>
        <v>-11.007714483323+1.02168202609343i</v>
      </c>
      <c r="V313" s="227">
        <f t="shared" si="115"/>
        <v>20.871195808767236</v>
      </c>
      <c r="W313" s="227">
        <f t="shared" si="116"/>
        <v>-185.30272082415721</v>
      </c>
      <c r="X313" s="227" t="str">
        <f t="shared" si="104"/>
        <v>0.999245753703991-0.00808748667398046i</v>
      </c>
      <c r="Y313" s="227" t="str">
        <f t="shared" si="105"/>
        <v>22.5432266847274-80.6939322772789i</v>
      </c>
      <c r="Z313" s="227" t="str">
        <f t="shared" si="106"/>
        <v>11.3908234365958-42.0851292600979i</v>
      </c>
      <c r="AA313" s="227" t="str">
        <f t="shared" si="107"/>
        <v>-0.728062489233408-1.82876403970049i</v>
      </c>
      <c r="AB313" s="227">
        <f t="shared" si="117"/>
        <v>5.8821038586301668</v>
      </c>
      <c r="AC313" s="227">
        <f t="shared" si="118"/>
        <v>-111.70835407500809</v>
      </c>
      <c r="AD313" s="229">
        <f t="shared" si="119"/>
        <v>-11.192272058648163</v>
      </c>
      <c r="AE313" s="229">
        <f t="shared" si="120"/>
        <v>165.98228735112954</v>
      </c>
      <c r="AF313" s="227">
        <f t="shared" si="108"/>
        <v>-5.3101682000179959</v>
      </c>
      <c r="AG313" s="227">
        <f t="shared" si="109"/>
        <v>54.273933276121454</v>
      </c>
      <c r="AH313" s="229" t="str">
        <f t="shared" si="110"/>
        <v>0.267458878292362-0.0667728180218931i</v>
      </c>
    </row>
    <row r="314" spans="9:34" x14ac:dyDescent="0.2">
      <c r="I314" s="227">
        <v>310</v>
      </c>
      <c r="J314" s="227">
        <f t="shared" si="98"/>
        <v>4.0225379833028541</v>
      </c>
      <c r="K314" s="227">
        <f t="shared" si="97"/>
        <v>10532.658015040912</v>
      </c>
      <c r="L314" s="227">
        <f t="shared" si="111"/>
        <v>66178.642085652362</v>
      </c>
      <c r="M314" s="227">
        <f t="shared" si="99"/>
        <v>4951.6348307228427</v>
      </c>
      <c r="N314" s="227">
        <f>SQRT((ABS(AC314)-171.5+'Small Signal'!C$59)^2)</f>
        <v>10.849811255638656</v>
      </c>
      <c r="O314" s="227">
        <f t="shared" si="112"/>
        <v>53.488278552516334</v>
      </c>
      <c r="P314" s="227">
        <f t="shared" si="113"/>
        <v>5.4697778304724531</v>
      </c>
      <c r="Q314" s="227">
        <f t="shared" si="121"/>
        <v>10532.658015040912</v>
      </c>
      <c r="R314" s="227" t="str">
        <f t="shared" si="100"/>
        <v>0.0878666666666667+0.311039617802566i</v>
      </c>
      <c r="S314" s="227" t="str">
        <f t="shared" si="101"/>
        <v>0.0085-0.578704414799841i</v>
      </c>
      <c r="T314" s="227" t="str">
        <f t="shared" si="102"/>
        <v>0.033977528729787-0.576827846686339i</v>
      </c>
      <c r="U314" s="227" t="str">
        <f t="shared" si="103"/>
        <v>-10.5306853847084+1.16920840742657i</v>
      </c>
      <c r="V314" s="227">
        <f t="shared" si="115"/>
        <v>20.502342566657607</v>
      </c>
      <c r="W314" s="227">
        <f t="shared" si="116"/>
        <v>-186.33552801028546</v>
      </c>
      <c r="X314" s="227" t="str">
        <f t="shared" si="104"/>
        <v>0.999211115485427-0.00827110817025586i</v>
      </c>
      <c r="Y314" s="227" t="str">
        <f t="shared" si="105"/>
        <v>21.418469190885-78.8687715980753i</v>
      </c>
      <c r="Z314" s="227" t="str">
        <f t="shared" si="106"/>
        <v>10.8052994884809-41.1312704559781i</v>
      </c>
      <c r="AA314" s="227" t="str">
        <f t="shared" si="107"/>
        <v>-0.735465847234746-1.78881979769738i</v>
      </c>
      <c r="AB314" s="227">
        <f t="shared" si="117"/>
        <v>5.7296289675800915</v>
      </c>
      <c r="AC314" s="227">
        <f t="shared" si="118"/>
        <v>-112.34981125563866</v>
      </c>
      <c r="AD314" s="229">
        <f t="shared" si="119"/>
        <v>-11.199406798052545</v>
      </c>
      <c r="AE314" s="229">
        <f t="shared" si="120"/>
        <v>165.83808980815499</v>
      </c>
      <c r="AF314" s="227">
        <f t="shared" si="108"/>
        <v>-5.4697778304724531</v>
      </c>
      <c r="AG314" s="227">
        <f t="shared" si="109"/>
        <v>53.488278552516334</v>
      </c>
      <c r="AH314" s="229" t="str">
        <f t="shared" si="110"/>
        <v>0.267070516381317-0.0673903471279847i</v>
      </c>
    </row>
    <row r="315" spans="9:34" x14ac:dyDescent="0.2">
      <c r="I315" s="227">
        <v>311</v>
      </c>
      <c r="J315" s="227">
        <f t="shared" si="98"/>
        <v>4.0322881058296378</v>
      </c>
      <c r="K315" s="227">
        <f t="shared" si="97"/>
        <v>10771.795648578058</v>
      </c>
      <c r="L315" s="227">
        <f t="shared" si="111"/>
        <v>67681.188151086651</v>
      </c>
      <c r="M315" s="227">
        <f t="shared" si="99"/>
        <v>5196.201939677464</v>
      </c>
      <c r="N315" s="227">
        <f>SQRT((ABS(AC315)-171.5+'Small Signal'!C$59)^2)</f>
        <v>11.495571396718901</v>
      </c>
      <c r="O315" s="227">
        <f t="shared" si="112"/>
        <v>52.691661706274601</v>
      </c>
      <c r="P315" s="227">
        <f t="shared" si="113"/>
        <v>5.6282259204118708</v>
      </c>
      <c r="Q315" s="227">
        <f t="shared" si="121"/>
        <v>10771.795648578058</v>
      </c>
      <c r="R315" s="227" t="str">
        <f t="shared" si="100"/>
        <v>0.0878666666666667+0.318101584310107i</v>
      </c>
      <c r="S315" s="227" t="str">
        <f t="shared" si="101"/>
        <v>0.0085-0.565856974244189i</v>
      </c>
      <c r="T315" s="227" t="str">
        <f t="shared" si="102"/>
        <v>0.0328607071674917-0.564070310094076i</v>
      </c>
      <c r="U315" s="227" t="str">
        <f t="shared" si="103"/>
        <v>-10.0737608602557+1.3009154387874i</v>
      </c>
      <c r="V315" s="227">
        <f t="shared" si="115"/>
        <v>20.135662223968332</v>
      </c>
      <c r="W315" s="227">
        <f t="shared" si="116"/>
        <v>-187.35839517946258</v>
      </c>
      <c r="X315" s="227" t="str">
        <f t="shared" si="104"/>
        <v>0.999174886531593-0.00845889868161018i</v>
      </c>
      <c r="Y315" s="227" t="str">
        <f t="shared" si="105"/>
        <v>20.3546853742356-77.0825203383936i</v>
      </c>
      <c r="Z315" s="227" t="str">
        <f t="shared" si="106"/>
        <v>10.2515359283228-40.1977568307299i</v>
      </c>
      <c r="AA315" s="227" t="str">
        <f t="shared" si="107"/>
        <v>-0.742552046985613-1.74971900206356i</v>
      </c>
      <c r="AB315" s="227">
        <f t="shared" si="117"/>
        <v>5.5785595653916831</v>
      </c>
      <c r="AC315" s="227">
        <f t="shared" si="118"/>
        <v>-112.9955713967189</v>
      </c>
      <c r="AD315" s="229">
        <f t="shared" si="119"/>
        <v>-11.206785485803554</v>
      </c>
      <c r="AE315" s="229">
        <f t="shared" si="120"/>
        <v>165.6872331029935</v>
      </c>
      <c r="AF315" s="227">
        <f t="shared" si="108"/>
        <v>-5.6282259204118708</v>
      </c>
      <c r="AG315" s="227">
        <f t="shared" si="109"/>
        <v>52.691661706274601</v>
      </c>
      <c r="AH315" s="229" t="str">
        <f t="shared" si="110"/>
        <v>0.266665526343209-0.0680354741460519i</v>
      </c>
    </row>
    <row r="316" spans="9:34" x14ac:dyDescent="0.2">
      <c r="I316" s="227">
        <v>312</v>
      </c>
      <c r="J316" s="227">
        <f t="shared" si="98"/>
        <v>4.0420382283564207</v>
      </c>
      <c r="K316" s="227">
        <f t="shared" si="97"/>
        <v>11016.362757532679</v>
      </c>
      <c r="L316" s="227">
        <f t="shared" si="111"/>
        <v>69217.84861668972</v>
      </c>
      <c r="M316" s="227">
        <f t="shared" si="99"/>
        <v>5446.3217970070082</v>
      </c>
      <c r="N316" s="227">
        <f>SQRT((ABS(AC316)-171.5+'Small Signal'!C$59)^2)</f>
        <v>12.145595453090266</v>
      </c>
      <c r="O316" s="227">
        <f t="shared" si="112"/>
        <v>51.884075035273781</v>
      </c>
      <c r="P316" s="227">
        <f t="shared" si="113"/>
        <v>5.7854845454475923</v>
      </c>
      <c r="Q316" s="227">
        <f t="shared" si="121"/>
        <v>11016.362757532679</v>
      </c>
      <c r="R316" s="227" t="str">
        <f t="shared" si="100"/>
        <v>0.0878666666666667+0.325323888498442i</v>
      </c>
      <c r="S316" s="227" t="str">
        <f t="shared" si="101"/>
        <v>0.0085-0.553294751365492i</v>
      </c>
      <c r="T316" s="227" t="str">
        <f t="shared" si="102"/>
        <v>0.0317927441628924-0.551592860561966i</v>
      </c>
      <c r="U316" s="227" t="str">
        <f t="shared" si="103"/>
        <v>-9.63620640833169+1.41812068460126i</v>
      </c>
      <c r="V316" s="227">
        <f t="shared" si="115"/>
        <v>19.771176400905276</v>
      </c>
      <c r="W316" s="227">
        <f t="shared" si="116"/>
        <v>-188.37188942229656</v>
      </c>
      <c r="X316" s="227" t="str">
        <f t="shared" si="104"/>
        <v>0.999136993789116-0.00865095286301071i</v>
      </c>
      <c r="Y316" s="227" t="str">
        <f t="shared" si="105"/>
        <v>19.3482199595912-75.3348726441404i</v>
      </c>
      <c r="Z316" s="227" t="str">
        <f t="shared" si="106"/>
        <v>9.72762723065066-39.2844240638235i</v>
      </c>
      <c r="AA316" s="227" t="str">
        <f t="shared" si="107"/>
        <v>-0.749334704287477-1.71144567032867i</v>
      </c>
      <c r="AB316" s="227">
        <f t="shared" si="117"/>
        <v>5.4289371178920041</v>
      </c>
      <c r="AC316" s="227">
        <f t="shared" si="118"/>
        <v>-113.64559545309027</v>
      </c>
      <c r="AD316" s="229">
        <f t="shared" si="119"/>
        <v>-11.214421663339596</v>
      </c>
      <c r="AE316" s="229">
        <f t="shared" si="120"/>
        <v>165.52967048836405</v>
      </c>
      <c r="AF316" s="227">
        <f t="shared" si="108"/>
        <v>-5.7854845454475923</v>
      </c>
      <c r="AG316" s="227">
        <f t="shared" si="109"/>
        <v>51.884075035273781</v>
      </c>
      <c r="AH316" s="229" t="str">
        <f t="shared" si="110"/>
        <v>0.266243251641946-0.0687081114175342i</v>
      </c>
    </row>
    <row r="317" spans="9:34" x14ac:dyDescent="0.2">
      <c r="I317" s="227">
        <v>313</v>
      </c>
      <c r="J317" s="227">
        <f t="shared" si="98"/>
        <v>4.0517883508832035</v>
      </c>
      <c r="K317" s="227">
        <f t="shared" si="97"/>
        <v>11266.482614862223</v>
      </c>
      <c r="L317" s="227">
        <f t="shared" si="111"/>
        <v>70789.398029296572</v>
      </c>
      <c r="M317" s="227">
        <f t="shared" si="99"/>
        <v>5702.120474506849</v>
      </c>
      <c r="N317" s="227">
        <f>SQRT((ABS(AC317)-171.5+'Small Signal'!C$59)^2)</f>
        <v>12.799832881904578</v>
      </c>
      <c r="O317" s="227">
        <f t="shared" si="112"/>
        <v>51.065521021692931</v>
      </c>
      <c r="P317" s="227">
        <f t="shared" si="113"/>
        <v>5.9415263722896601</v>
      </c>
      <c r="Q317" s="227">
        <f t="shared" si="121"/>
        <v>11266.482614862223</v>
      </c>
      <c r="R317" s="227" t="str">
        <f t="shared" si="100"/>
        <v>0.0878666666666667+0.332710170737694i</v>
      </c>
      <c r="S317" s="227" t="str">
        <f t="shared" si="101"/>
        <v>0.0085-0.54101141423149i</v>
      </c>
      <c r="T317" s="227" t="str">
        <f t="shared" si="102"/>
        <v>0.0307715097474844-0.539389483434456i</v>
      </c>
      <c r="U317" s="227" t="str">
        <f t="shared" si="103"/>
        <v>-9.21729652469922+1.52203487549194i</v>
      </c>
      <c r="V317" s="227">
        <f t="shared" si="115"/>
        <v>19.408905809520277</v>
      </c>
      <c r="W317" s="227">
        <f t="shared" si="116"/>
        <v>-189.37653130468692</v>
      </c>
      <c r="X317" s="227" t="str">
        <f t="shared" si="104"/>
        <v>0.9990973608497-0.00884736751850863i</v>
      </c>
      <c r="Y317" s="227" t="str">
        <f t="shared" si="105"/>
        <v>18.3956569481367-73.6254380464358i</v>
      </c>
      <c r="Z317" s="227" t="str">
        <f t="shared" si="106"/>
        <v>9.2317927346762-38.3910640100901i</v>
      </c>
      <c r="AA317" s="227" t="str">
        <f t="shared" si="107"/>
        <v>-0.755826879851891-1.67398400007182i</v>
      </c>
      <c r="AB317" s="227">
        <f t="shared" si="117"/>
        <v>5.2808029027713488</v>
      </c>
      <c r="AC317" s="227">
        <f t="shared" si="118"/>
        <v>-114.29983288190458</v>
      </c>
      <c r="AD317" s="229">
        <f t="shared" si="119"/>
        <v>-11.222329275061009</v>
      </c>
      <c r="AE317" s="229">
        <f t="shared" si="120"/>
        <v>165.36535390359751</v>
      </c>
      <c r="AF317" s="227">
        <f t="shared" si="108"/>
        <v>-5.9415263722896601</v>
      </c>
      <c r="AG317" s="227">
        <f t="shared" si="109"/>
        <v>51.065521021692931</v>
      </c>
      <c r="AH317" s="229" t="str">
        <f t="shared" si="110"/>
        <v>0.265803014846421-0.0694081598519808i</v>
      </c>
    </row>
    <row r="318" spans="9:34" x14ac:dyDescent="0.2">
      <c r="I318" s="227">
        <v>314</v>
      </c>
      <c r="J318" s="227">
        <f t="shared" si="98"/>
        <v>4.0615384734099873</v>
      </c>
      <c r="K318" s="227">
        <f t="shared" si="97"/>
        <v>11522.281292362064</v>
      </c>
      <c r="L318" s="227">
        <f t="shared" si="111"/>
        <v>72396.62852135954</v>
      </c>
      <c r="M318" s="227">
        <f t="shared" si="99"/>
        <v>5963.7269063562444</v>
      </c>
      <c r="N318" s="227">
        <f>SQRT((ABS(AC318)-171.5+'Small Signal'!C$59)^2)</f>
        <v>13.458221477272346</v>
      </c>
      <c r="O318" s="227">
        <f t="shared" si="112"/>
        <v>50.23601258864899</v>
      </c>
      <c r="P318" s="227">
        <f t="shared" si="113"/>
        <v>6.0963247521213297</v>
      </c>
      <c r="Q318" s="227">
        <f t="shared" si="121"/>
        <v>11522.281292362064</v>
      </c>
      <c r="R318" s="227" t="str">
        <f t="shared" si="100"/>
        <v>0.0878666666666667+0.34026415405039i</v>
      </c>
      <c r="S318" s="227" t="str">
        <f t="shared" si="101"/>
        <v>0.0085-0.529000771481042i</v>
      </c>
      <c r="T318" s="227" t="str">
        <f t="shared" si="102"/>
        <v>0.0297949661655805-0.5274542844216i</v>
      </c>
      <c r="U318" s="227" t="str">
        <f t="shared" si="103"/>
        <v>-8.81631777454063+1.61377062962569i</v>
      </c>
      <c r="V318" s="227">
        <f t="shared" si="115"/>
        <v>19.048870374363496</v>
      </c>
      <c r="W318" s="227">
        <f t="shared" si="116"/>
        <v>-190.37279684778898</v>
      </c>
      <c r="X318" s="227" t="str">
        <f t="shared" si="104"/>
        <v>0.999055907796051-0.00904824165003253i</v>
      </c>
      <c r="Y318" s="227" t="str">
        <f t="shared" si="105"/>
        <v>17.4938035526627-71.953756103107i</v>
      </c>
      <c r="Z318" s="227" t="str">
        <f t="shared" si="106"/>
        <v>8.76236824897716-37.5174323133534i</v>
      </c>
      <c r="AA318" s="227" t="str">
        <f t="shared" si="107"/>
        <v>-0.762041100852838-1.63731837572491i</v>
      </c>
      <c r="AB318" s="227">
        <f t="shared" si="117"/>
        <v>5.1341979339264743</v>
      </c>
      <c r="AC318" s="227">
        <f t="shared" si="118"/>
        <v>-114.95822147727235</v>
      </c>
      <c r="AD318" s="229">
        <f t="shared" si="119"/>
        <v>-11.230522686047804</v>
      </c>
      <c r="AE318" s="229">
        <f t="shared" si="120"/>
        <v>165.19423406592134</v>
      </c>
      <c r="AF318" s="227">
        <f t="shared" si="108"/>
        <v>-6.0963247521213297</v>
      </c>
      <c r="AG318" s="227">
        <f t="shared" si="109"/>
        <v>50.23601258864899</v>
      </c>
      <c r="AH318" s="229" t="str">
        <f t="shared" si="110"/>
        <v>0.265344117429447-0.0701355074915536i</v>
      </c>
    </row>
    <row r="319" spans="9:34" x14ac:dyDescent="0.2">
      <c r="I319" s="227">
        <v>315</v>
      </c>
      <c r="J319" s="227">
        <f t="shared" si="98"/>
        <v>4.0712885959367711</v>
      </c>
      <c r="K319" s="227">
        <f t="shared" ref="K319:K382" si="122">10^(J319)</f>
        <v>11783.887724211459</v>
      </c>
      <c r="L319" s="227">
        <f t="shared" si="111"/>
        <v>74040.350210219331</v>
      </c>
      <c r="M319" s="227">
        <f t="shared" si="99"/>
        <v>6231.2729541070594</v>
      </c>
      <c r="N319" s="227">
        <f>SQRT((ABS(AC319)-171.5+'Small Signal'!C$59)^2)</f>
        <v>14.120687235752968</v>
      </c>
      <c r="O319" s="227">
        <f t="shared" si="112"/>
        <v>49.395573332313802</v>
      </c>
      <c r="P319" s="227">
        <f t="shared" si="113"/>
        <v>6.2498538176561347</v>
      </c>
      <c r="Q319" s="227">
        <f t="shared" si="121"/>
        <v>11783.887724211459</v>
      </c>
      <c r="R319" s="227" t="str">
        <f t="shared" si="100"/>
        <v>0.0878666666666667+0.347989645988031i</v>
      </c>
      <c r="S319" s="227" t="str">
        <f t="shared" si="101"/>
        <v>0.0085-0.517256769203388i</v>
      </c>
      <c r="T319" s="227" t="str">
        <f t="shared" si="102"/>
        <v>0.0288611639372821-0.515781487775213i</v>
      </c>
      <c r="U319" s="227" t="str">
        <f t="shared" si="103"/>
        <v>-8.43257122553387+1.69435048279098i</v>
      </c>
      <c r="V319" s="227">
        <f t="shared" si="115"/>
        <v>18.691089322090612</v>
      </c>
      <c r="W319" s="227">
        <f t="shared" si="116"/>
        <v>-191.36111941247543</v>
      </c>
      <c r="X319" s="227" t="str">
        <f t="shared" si="104"/>
        <v>0.999012551040734-0.00925367650728993i</v>
      </c>
      <c r="Y319" s="227" t="str">
        <f t="shared" si="105"/>
        <v>16.6396750638511-70.3193090341241i</v>
      </c>
      <c r="Z319" s="227" t="str">
        <f t="shared" si="106"/>
        <v>8.31779814425044-36.6632549752251i</v>
      </c>
      <c r="AA319" s="227" t="str">
        <f t="shared" si="107"/>
        <v>-0.7679893818013-1.60143337457251i</v>
      </c>
      <c r="AB319" s="227">
        <f t="shared" si="117"/>
        <v>4.989162882126168</v>
      </c>
      <c r="AC319" s="227">
        <f t="shared" si="118"/>
        <v>-115.62068723575297</v>
      </c>
      <c r="AD319" s="229">
        <f t="shared" si="119"/>
        <v>-11.239016699782303</v>
      </c>
      <c r="AE319" s="229">
        <f t="shared" si="120"/>
        <v>165.01626056806677</v>
      </c>
      <c r="AF319" s="227">
        <f t="shared" si="108"/>
        <v>-6.2498538176561347</v>
      </c>
      <c r="AG319" s="227">
        <f t="shared" si="109"/>
        <v>49.395573332313802</v>
      </c>
      <c r="AH319" s="229" t="str">
        <f t="shared" si="110"/>
        <v>0.264865839614339-0.0708900280118542i</v>
      </c>
    </row>
    <row r="320" spans="9:34" x14ac:dyDescent="0.2">
      <c r="I320" s="227">
        <v>316</v>
      </c>
      <c r="J320" s="227">
        <f t="shared" si="98"/>
        <v>4.0810387184635548</v>
      </c>
      <c r="K320" s="227">
        <f t="shared" si="122"/>
        <v>12051.433771962274</v>
      </c>
      <c r="L320" s="227">
        <f t="shared" si="111"/>
        <v>75721.391606441219</v>
      </c>
      <c r="M320" s="227">
        <f t="shared" si="99"/>
        <v>6504.8934731480467</v>
      </c>
      <c r="N320" s="227">
        <f>SQRT((ABS(AC320)-171.5+'Small Signal'!C$59)^2)</f>
        <v>14.787144255228242</v>
      </c>
      <c r="O320" s="227">
        <f t="shared" si="112"/>
        <v>48.544237727262384</v>
      </c>
      <c r="P320" s="227">
        <f t="shared" si="113"/>
        <v>6.4020885835791219</v>
      </c>
      <c r="Q320" s="227">
        <f t="shared" si="121"/>
        <v>12051.433771962274</v>
      </c>
      <c r="R320" s="227" t="str">
        <f t="shared" si="100"/>
        <v>0.0878666666666667+0.355890540550274i</v>
      </c>
      <c r="S320" s="227" t="str">
        <f t="shared" si="101"/>
        <v>0.0085-0.505773487886715i</v>
      </c>
      <c r="T320" s="227" t="str">
        <f t="shared" si="102"/>
        <v>0.0279682380847913-0.504365434451234i</v>
      </c>
      <c r="U320" s="227" t="str">
        <f t="shared" si="103"/>
        <v>-8.06537434209341+1.76471427296536i</v>
      </c>
      <c r="V320" s="227">
        <f t="shared" si="115"/>
        <v>18.335581243623295</v>
      </c>
      <c r="W320" s="227">
        <f t="shared" si="116"/>
        <v>-192.3418914954147</v>
      </c>
      <c r="X320" s="227" t="str">
        <f t="shared" si="104"/>
        <v>0.998967203157618-0.00946377563880178i</v>
      </c>
      <c r="Y320" s="227" t="str">
        <f t="shared" si="105"/>
        <v>15.8304806371506-68.7215326101756i</v>
      </c>
      <c r="Z320" s="227" t="str">
        <f t="shared" si="106"/>
        <v>7.89662792834488-35.8282340142075i</v>
      </c>
      <c r="AA320" s="227" t="str">
        <f t="shared" si="107"/>
        <v>-0.773683244751309-1.56631377200241i</v>
      </c>
      <c r="AB320" s="227">
        <f t="shared" si="117"/>
        <v>4.8457379922682655</v>
      </c>
      <c r="AC320" s="227">
        <f t="shared" si="118"/>
        <v>-116.28714425522824</v>
      </c>
      <c r="AD320" s="229">
        <f t="shared" si="119"/>
        <v>-11.247826575847387</v>
      </c>
      <c r="AE320" s="229">
        <f t="shared" si="120"/>
        <v>164.83138198249063</v>
      </c>
      <c r="AF320" s="227">
        <f t="shared" si="108"/>
        <v>-6.4020885835791219</v>
      </c>
      <c r="AG320" s="227">
        <f t="shared" si="109"/>
        <v>48.544237727262384</v>
      </c>
      <c r="AH320" s="229" t="str">
        <f t="shared" si="110"/>
        <v>0.264367440274791-0.0716715791581582i</v>
      </c>
    </row>
    <row r="321" spans="9:34" x14ac:dyDescent="0.2">
      <c r="I321" s="227">
        <v>317</v>
      </c>
      <c r="J321" s="227">
        <f t="shared" si="98"/>
        <v>4.0907888409903386</v>
      </c>
      <c r="K321" s="227">
        <f t="shared" si="122"/>
        <v>12325.054291003262</v>
      </c>
      <c r="L321" s="227">
        <f t="shared" si="111"/>
        <v>77440.600031422407</v>
      </c>
      <c r="M321" s="227">
        <f t="shared" si="99"/>
        <v>6784.7263806779583</v>
      </c>
      <c r="N321" s="227">
        <f>SQRT((ABS(AC321)-171.5+'Small Signal'!C$59)^2)</f>
        <v>15.45749466963214</v>
      </c>
      <c r="O321" s="227">
        <f t="shared" si="112"/>
        <v>47.682051302878634</v>
      </c>
      <c r="P321" s="227">
        <f t="shared" si="113"/>
        <v>6.5530050500216728</v>
      </c>
      <c r="Q321" s="227">
        <f t="shared" si="121"/>
        <v>12325.054291003262</v>
      </c>
      <c r="R321" s="227" t="str">
        <f t="shared" si="100"/>
        <v>0.0878666666666667+0.363970820147685i</v>
      </c>
      <c r="S321" s="227" t="str">
        <f t="shared" si="101"/>
        <v>0.0085-0.494545139434426i</v>
      </c>
      <c r="T321" s="227" t="str">
        <f t="shared" si="102"/>
        <v>0.0271144045156977-0.493200580261959i</v>
      </c>
      <c r="U321" s="227" t="str">
        <f t="shared" si="103"/>
        <v>-7.71406242639735+1.82572592454345i</v>
      </c>
      <c r="V321" s="227">
        <f t="shared" si="115"/>
        <v>17.982364132111368</v>
      </c>
      <c r="W321" s="227">
        <f t="shared" si="116"/>
        <v>-193.31546644430858</v>
      </c>
      <c r="X321" s="227" t="str">
        <f t="shared" si="104"/>
        <v>0.998919772705592-0.00967864494409564i</v>
      </c>
      <c r="Y321" s="227" t="str">
        <f t="shared" si="105"/>
        <v>15.0636099780629-67.1598255213382i</v>
      </c>
      <c r="Z321" s="227" t="str">
        <f t="shared" si="106"/>
        <v>7.49749729171747-35.012052333417i</v>
      </c>
      <c r="AA321" s="227" t="str">
        <f t="shared" si="107"/>
        <v>-0.779133738848479-1.53194454605844i</v>
      </c>
      <c r="AB321" s="227">
        <f t="shared" si="117"/>
        <v>4.7039629975437371</v>
      </c>
      <c r="AC321" s="227">
        <f t="shared" si="118"/>
        <v>-116.95749466963214</v>
      </c>
      <c r="AD321" s="229">
        <f t="shared" si="119"/>
        <v>-11.25696804756541</v>
      </c>
      <c r="AE321" s="229">
        <f t="shared" si="120"/>
        <v>164.63954597251077</v>
      </c>
      <c r="AF321" s="227">
        <f t="shared" si="108"/>
        <v>-6.5530050500216728</v>
      </c>
      <c r="AG321" s="227">
        <f t="shared" si="109"/>
        <v>47.682051302878634</v>
      </c>
      <c r="AH321" s="229" t="str">
        <f t="shared" si="110"/>
        <v>0.263848156894121-0.0724800011164347i</v>
      </c>
    </row>
    <row r="322" spans="9:34" x14ac:dyDescent="0.2">
      <c r="I322" s="227">
        <v>318</v>
      </c>
      <c r="J322" s="227">
        <f t="shared" si="98"/>
        <v>4.1005389635171214</v>
      </c>
      <c r="K322" s="227">
        <f t="shared" si="122"/>
        <v>12604.887198533173</v>
      </c>
      <c r="L322" s="227">
        <f t="shared" si="111"/>
        <v>79198.842044479694</v>
      </c>
      <c r="M322" s="227">
        <f t="shared" si="99"/>
        <v>7070.9127252222233</v>
      </c>
      <c r="N322" s="227">
        <f>SQRT((ABS(AC322)-171.5+'Small Signal'!C$59)^2)</f>
        <v>16.131628621895572</v>
      </c>
      <c r="O322" s="227">
        <f t="shared" si="112"/>
        <v>46.809070788763364</v>
      </c>
      <c r="P322" s="227">
        <f t="shared" si="113"/>
        <v>6.7025803086678142</v>
      </c>
      <c r="Q322" s="227">
        <f t="shared" si="121"/>
        <v>12604.887198533173</v>
      </c>
      <c r="R322" s="227" t="str">
        <f t="shared" si="100"/>
        <v>0.0878666666666667+0.372234557609055i</v>
      </c>
      <c r="S322" s="227" t="str">
        <f t="shared" si="101"/>
        <v>0.0085-0.483566064247715i</v>
      </c>
      <c r="T322" s="227" t="str">
        <f t="shared" si="102"/>
        <v>0.0262979565570935-0.48228149402173i</v>
      </c>
      <c r="U322" s="227" t="str">
        <f t="shared" si="103"/>
        <v>-7.37798967933794+1.87817967611084i</v>
      </c>
      <c r="V322" s="227">
        <f t="shared" si="115"/>
        <v>17.631455399650385</v>
      </c>
      <c r="W322" s="227">
        <f t="shared" si="116"/>
        <v>-194.28216010002367</v>
      </c>
      <c r="X322" s="227" t="str">
        <f t="shared" si="104"/>
        <v>0.998870164044176-0.00989839272708374i</v>
      </c>
      <c r="Y322" s="227" t="str">
        <f t="shared" si="105"/>
        <v>14.336620895329-65.6335574243962i</v>
      </c>
      <c r="Z322" s="227" t="str">
        <f t="shared" si="106"/>
        <v>7.11913360714758-34.2143779004241i</v>
      </c>
      <c r="AA322" s="227" t="str">
        <f t="shared" si="107"/>
        <v>-0.784351459233042-1.49831088134451i</v>
      </c>
      <c r="AB322" s="227">
        <f t="shared" si="117"/>
        <v>4.5638770308679657</v>
      </c>
      <c r="AC322" s="227">
        <f t="shared" si="118"/>
        <v>-117.63162862189557</v>
      </c>
      <c r="AD322" s="229">
        <f t="shared" si="119"/>
        <v>-11.26645733953578</v>
      </c>
      <c r="AE322" s="229">
        <f t="shared" si="120"/>
        <v>164.44069941065894</v>
      </c>
      <c r="AF322" s="227">
        <f t="shared" si="108"/>
        <v>-6.7025803086678142</v>
      </c>
      <c r="AG322" s="227">
        <f t="shared" si="109"/>
        <v>46.809070788763364</v>
      </c>
      <c r="AH322" s="229" t="str">
        <f t="shared" si="110"/>
        <v>0.263307205590415-0.0733151148188675i</v>
      </c>
    </row>
    <row r="323" spans="9:34" x14ac:dyDescent="0.2">
      <c r="I323" s="227">
        <v>319</v>
      </c>
      <c r="J323" s="227">
        <f t="shared" si="98"/>
        <v>4.1102890860439043</v>
      </c>
      <c r="K323" s="227">
        <f t="shared" si="122"/>
        <v>12891.073543077438</v>
      </c>
      <c r="L323" s="227">
        <f t="shared" si="111"/>
        <v>80997.003879635653</v>
      </c>
      <c r="M323" s="227">
        <f t="shared" si="99"/>
        <v>7363.5967577278489</v>
      </c>
      <c r="N323" s="227">
        <f>SQRT((ABS(AC323)-171.5+'Small Signal'!C$59)^2)</f>
        <v>16.809424277324069</v>
      </c>
      <c r="O323" s="227">
        <f t="shared" si="112"/>
        <v>45.925364227225884</v>
      </c>
      <c r="P323" s="227">
        <f t="shared" si="113"/>
        <v>6.8507926510521475</v>
      </c>
      <c r="Q323" s="227">
        <f t="shared" si="121"/>
        <v>12891.073543077438</v>
      </c>
      <c r="R323" s="227" t="str">
        <f t="shared" si="100"/>
        <v>0.0878666666666667+0.380685918234288i</v>
      </c>
      <c r="S323" s="227" t="str">
        <f t="shared" si="101"/>
        <v>0.0085-0.472830728372837i</v>
      </c>
      <c r="T323" s="227" t="str">
        <f t="shared" si="102"/>
        <v>0.0255172616345638-0.471602855689092i</v>
      </c>
      <c r="U323" s="227" t="str">
        <f t="shared" si="103"/>
        <v>-7.05652994377298+1.92280579386909i</v>
      </c>
      <c r="V323" s="227">
        <f t="shared" si="115"/>
        <v>17.282871875437156</v>
      </c>
      <c r="W323" s="227">
        <f t="shared" si="116"/>
        <v>-195.24225237337001</v>
      </c>
      <c r="X323" s="227" t="str">
        <f t="shared" si="104"/>
        <v>0.998818277140672-0.0101231297506532i</v>
      </c>
      <c r="Y323" s="227" t="str">
        <f t="shared" si="105"/>
        <v>13.6472276857713-64.1420758422445i</v>
      </c>
      <c r="Z323" s="227" t="str">
        <f t="shared" si="106"/>
        <v>6.7603458645871-33.4348673295994i</v>
      </c>
      <c r="AA323" s="227" t="str">
        <f t="shared" si="107"/>
        <v>-0.789346565309871-1.46539817232495i</v>
      </c>
      <c r="AB323" s="227">
        <f t="shared" si="117"/>
        <v>4.4255185339765273</v>
      </c>
      <c r="AC323" s="227">
        <f t="shared" si="118"/>
        <v>-118.30942427732407</v>
      </c>
      <c r="AD323" s="229">
        <f t="shared" si="119"/>
        <v>-11.276311185028675</v>
      </c>
      <c r="AE323" s="229">
        <f t="shared" si="120"/>
        <v>164.23478850454995</v>
      </c>
      <c r="AF323" s="227">
        <f t="shared" si="108"/>
        <v>-6.8507926510521475</v>
      </c>
      <c r="AG323" s="227">
        <f t="shared" si="109"/>
        <v>45.925364227225884</v>
      </c>
      <c r="AH323" s="229" t="str">
        <f t="shared" si="110"/>
        <v>0.262743781214348-0.0741767201839666i</v>
      </c>
    </row>
    <row r="324" spans="9:34" x14ac:dyDescent="0.2">
      <c r="I324" s="227">
        <v>320</v>
      </c>
      <c r="J324" s="227">
        <f t="shared" ref="J324:J387" si="123">1+I324*(LOG(fsw)-1)/500</f>
        <v>4.1200392085706881</v>
      </c>
      <c r="K324" s="227">
        <f t="shared" si="122"/>
        <v>13183.757575583064</v>
      </c>
      <c r="L324" s="227">
        <f t="shared" si="111"/>
        <v>82835.991892321064</v>
      </c>
      <c r="M324" s="227">
        <f t="shared" ref="M324:M387" si="124">SQRT((Fco_target-K325)^2)</f>
        <v>7662.926004272279</v>
      </c>
      <c r="N324" s="227">
        <f>SQRT((ABS(AC324)-171.5+'Small Signal'!C$59)^2)</f>
        <v>17.490747879452229</v>
      </c>
      <c r="O324" s="227">
        <f t="shared" si="112"/>
        <v>45.031011051121894</v>
      </c>
      <c r="P324" s="227">
        <f t="shared" si="113"/>
        <v>6.9976216785528091</v>
      </c>
      <c r="Q324" s="227">
        <f t="shared" si="121"/>
        <v>13183.757575583064</v>
      </c>
      <c r="R324" s="227" t="str">
        <f t="shared" ref="R324:R387" si="125">IMSUM(COMPLEX(DCRss,Lss*L324),COMPLEX(Rdsonss,0),COMPLEX(40/3*Risense,0))</f>
        <v>0.0878666666666667+0.389329161893909i</v>
      </c>
      <c r="S324" s="227" t="str">
        <f t="shared" ref="S324:S387" si="126">IMSUM(COMPLEX(ESRss,0),IMDIV(COMPLEX(1,0),COMPLEX(0,L324*Cbulkss)))</f>
        <v>0.0085-0.462333720711756i</v>
      </c>
      <c r="T324" s="227" t="str">
        <f t="shared" ref="T324:T387" si="127">IMDIV(IMPRODUCT(S324,COMPLEX(Ross,0)),IMSUM(S324,COMPLEX(Ross,0)))</f>
        <v>0.0247707580903179-0.461159454508445i</v>
      </c>
      <c r="U324" s="227" t="str">
        <f t="shared" ref="U324:U387" si="128">IMPRODUCT(COMPLEX(Vinss,0),COMPLEX(M^2,0),IMDIV(IMSUB(COMPLEX(1,0),IMDIV(IMPRODUCT(R324,COMPLEX(M^2,0)),COMPLEX(Ross,0))),IMSUM(COMPLEX(1,0),IMDIV(IMPRODUCT(R324,COMPLEX(M^2,0)),T324))))</f>
        <v>-6.74907718322136+1.9602758107227i</v>
      </c>
      <c r="V324" s="227">
        <f t="shared" si="115"/>
        <v>16.936629787821925</v>
      </c>
      <c r="W324" s="227">
        <f t="shared" si="116"/>
        <v>-196.19598876415478</v>
      </c>
      <c r="X324" s="227" t="str">
        <f t="shared" ref="X324:X387" si="129">IMSUM(COMPLEX(1,L324/(wn*q0)),IMPOWER(COMPLEX(0,L324/wn),2))</f>
        <v>0.99876400736845-0.0103529692924957i</v>
      </c>
      <c r="Y324" s="227" t="str">
        <f t="shared" ref="Y324:Y387" si="130">IMPRODUCT(COMPLEX(2*Ioutss*M^2,0),IMDIV(IMSUM(COMPLEX(1,0),IMDIV(COMPLEX(Ross,0),IMPRODUCT(COMPLEX(2,0),S324))),IMSUM(COMPLEX(1,0),IMDIV(IMPRODUCT(R324,COMPLEX(M^2,0)),T324))))</f>
        <v>12.9932903108668-62.6847120667447i</v>
      </c>
      <c r="Z324" s="227" t="str">
        <f t="shared" ref="Z324:Z387" si="131">IMPRODUCT(COMPLEX(Fm*40/3*Risense,0),Y324,X324)</f>
        <v>6.42001902013308-32.6731689458428i</v>
      </c>
      <c r="AA324" s="227" t="str">
        <f t="shared" ref="AA324:AA387" si="132">IMDIV(IMPRODUCT(COMPLEX(Fm,0),U324),IMSUM(COMPLEX(1,0),Z324))</f>
        <v>-0.79412879839941-1.43319202606478i</v>
      </c>
      <c r="AB324" s="227">
        <f t="shared" si="117"/>
        <v>4.2889251646315039</v>
      </c>
      <c r="AC324" s="227">
        <f t="shared" si="118"/>
        <v>-118.99074787945223</v>
      </c>
      <c r="AD324" s="229">
        <f t="shared" si="119"/>
        <v>-11.286546843184313</v>
      </c>
      <c r="AE324" s="229">
        <f t="shared" si="120"/>
        <v>164.02175893057412</v>
      </c>
      <c r="AF324" s="227">
        <f t="shared" ref="AF324:AF387" si="133">AD324+AB324</f>
        <v>-6.9976216785528091</v>
      </c>
      <c r="AG324" s="227">
        <f t="shared" ref="AG324:AG387" si="134">AE324+AC324</f>
        <v>45.031011051121894</v>
      </c>
      <c r="AH324" s="229" t="str">
        <f t="shared" ref="AH324:AH387" si="135">IMDIV(IMPRODUCT(COMPLEX(gea*Rea*Rslss/(Rslss+Rshss),0),COMPLEX(1,L324*Ccompss*Rcompss),COMPLEX(1,k_3*L324*Cffss*Rshss)),IMPRODUCT(COMPLEX(1,L324*Rea*Ccompss),COMPLEX(1,L324*Rcompss*Chfss),COMPLEX(1,k_3*L324*Rffss*Cffss)))</f>
        <v>0.262157057526941-0.0750645942917761i</v>
      </c>
    </row>
    <row r="325" spans="9:34" x14ac:dyDescent="0.2">
      <c r="I325" s="227">
        <v>321</v>
      </c>
      <c r="J325" s="227">
        <f t="shared" si="123"/>
        <v>4.1297893310974718</v>
      </c>
      <c r="K325" s="227">
        <f t="shared" si="122"/>
        <v>13483.086822127494</v>
      </c>
      <c r="L325" s="227">
        <f t="shared" ref="L325:L388" si="136">2*PI()*K325</f>
        <v>84716.733016218175</v>
      </c>
      <c r="M325" s="227">
        <f t="shared" si="124"/>
        <v>7969.0513404233761</v>
      </c>
      <c r="N325" s="227">
        <f>SQRT((ABS(AC325)-171.5+'Small Signal'!C$59)^2)</f>
        <v>18.175453850200739</v>
      </c>
      <c r="O325" s="227">
        <f t="shared" ref="O325:O388" si="137">ABS(AG325)</f>
        <v>44.126102125510187</v>
      </c>
      <c r="P325" s="227">
        <f t="shared" ref="P325:P388" si="138">ABS(AF325)</f>
        <v>7.1430484135414565</v>
      </c>
      <c r="Q325" s="227">
        <f t="shared" si="121"/>
        <v>13483.086822127494</v>
      </c>
      <c r="R325" s="227" t="str">
        <f t="shared" si="125"/>
        <v>0.0878666666666667+0.398168645176225i</v>
      </c>
      <c r="S325" s="227" t="str">
        <f t="shared" si="126"/>
        <v>0.0085-0.452069750294712i</v>
      </c>
      <c r="T325" s="227" t="str">
        <f t="shared" si="127"/>
        <v>0.0240569521349178-0.450946187153822i</v>
      </c>
      <c r="U325" s="227" t="str">
        <f t="shared" si="128"/>
        <v>-6.45504574121549+1.99120732875371i</v>
      </c>
      <c r="V325" s="227">
        <f t="shared" ref="V325:V388" si="139">20*LOG(IMABS(U325))</f>
        <v>16.592744732514983</v>
      </c>
      <c r="W325" s="227">
        <f t="shared" ref="W325:W388" si="140">IF(DEGREES(IMARGUMENT(U325))&gt;0,DEGREES(IMARGUMENT(U325))-360, DEGREES(IMARGUMENT(U325)))</f>
        <v>-197.14358182987633</v>
      </c>
      <c r="X325" s="227" t="str">
        <f t="shared" si="129"/>
        <v>0.998707245295978-0.0105880272022043i</v>
      </c>
      <c r="Y325" s="227" t="str">
        <f t="shared" si="130"/>
        <v>12.3728043230551-61.2607861970493i</v>
      </c>
      <c r="Z325" s="227" t="str">
        <f t="shared" si="131"/>
        <v>6.09710873705432-31.9289253984814i</v>
      </c>
      <c r="AA325" s="227" t="str">
        <f t="shared" si="132"/>
        <v>-0.798707498783514-1.40167826445031i</v>
      </c>
      <c r="AB325" s="227">
        <f t="shared" ref="AB325:AB388" si="141">20*LOG(IMABS(AA325))</f>
        <v>4.1541337024201406</v>
      </c>
      <c r="AC325" s="227">
        <f t="shared" ref="AC325:AC388" si="142">IF(DEGREES(IMARGUMENT(AA325))&gt;0,DEGREES(IMARGUMENT(AA325))-360, DEGREES(IMARGUMENT(AA325)))</f>
        <v>-119.67545385020074</v>
      </c>
      <c r="AD325" s="229">
        <f t="shared" ref="AD325:AD388" si="143">20*LOG(IMABS(AH325))</f>
        <v>-11.297182115961597</v>
      </c>
      <c r="AE325" s="229">
        <f t="shared" ref="AE325:AE388" si="144">180+DEGREES(IMARGUMENT(AH325))</f>
        <v>163.80155597571093</v>
      </c>
      <c r="AF325" s="227">
        <f t="shared" si="133"/>
        <v>-7.1430484135414565</v>
      </c>
      <c r="AG325" s="227">
        <f t="shared" si="134"/>
        <v>44.126102125510187</v>
      </c>
      <c r="AH325" s="229" t="str">
        <f t="shared" si="135"/>
        <v>0.261546187464894-0.0759784894951937i</v>
      </c>
    </row>
    <row r="326" spans="9:34" x14ac:dyDescent="0.2">
      <c r="I326" s="227">
        <v>322</v>
      </c>
      <c r="J326" s="227">
        <f t="shared" si="123"/>
        <v>4.1395394536242547</v>
      </c>
      <c r="K326" s="227">
        <f t="shared" si="122"/>
        <v>13789.212158278591</v>
      </c>
      <c r="L326" s="227">
        <f t="shared" si="136"/>
        <v>86640.175230478155</v>
      </c>
      <c r="M326" s="227">
        <f t="shared" si="124"/>
        <v>8282.1270672876853</v>
      </c>
      <c r="N326" s="227">
        <f>SQRT((ABS(AC326)-171.5+'Small Signal'!C$59)^2)</f>
        <v>18.863384935923293</v>
      </c>
      <c r="O326" s="227">
        <f t="shared" si="137"/>
        <v>43.210739751834879</v>
      </c>
      <c r="P326" s="227">
        <f t="shared" si="138"/>
        <v>7.287055411110452</v>
      </c>
      <c r="Q326" s="227">
        <f t="shared" si="121"/>
        <v>13789.212158278591</v>
      </c>
      <c r="R326" s="227" t="str">
        <f t="shared" si="125"/>
        <v>0.0878666666666667+0.407208823583247i</v>
      </c>
      <c r="S326" s="227" t="str">
        <f t="shared" si="126"/>
        <v>0.0085-0.442033643613329i</v>
      </c>
      <c r="T326" s="227" t="str">
        <f t="shared" si="127"/>
        <v>0.0233744149272567-0.440958055877229i</v>
      </c>
      <c r="U326" s="227" t="str">
        <f t="shared" si="128"/>
        <v>-6.17387041972465+2.01616842043754i</v>
      </c>
      <c r="V326" s="227">
        <f t="shared" si="139"/>
        <v>16.251231629028624</v>
      </c>
      <c r="W326" s="227">
        <f t="shared" si="140"/>
        <v>-198.08521261108712</v>
      </c>
      <c r="X326" s="227" t="str">
        <f t="shared" si="129"/>
        <v>0.998647876466162-0.0108284219596668i</v>
      </c>
      <c r="Y326" s="227" t="str">
        <f t="shared" si="130"/>
        <v>11.7838914988842-59.8696114284165i</v>
      </c>
      <c r="Z326" s="227" t="str">
        <f t="shared" si="131"/>
        <v>5.7906364963554-31.2017758852564i</v>
      </c>
      <c r="AA326" s="227" t="str">
        <f t="shared" si="132"/>
        <v>-0.803091622160997-1.37084292592807i</v>
      </c>
      <c r="AB326" s="227">
        <f t="shared" si="141"/>
        <v>4.0211799536661514</v>
      </c>
      <c r="AC326" s="227">
        <f t="shared" si="142"/>
        <v>-120.36338493592329</v>
      </c>
      <c r="AD326" s="229">
        <f t="shared" si="143"/>
        <v>-11.308235364776603</v>
      </c>
      <c r="AE326" s="229">
        <f t="shared" si="144"/>
        <v>163.57412468775817</v>
      </c>
      <c r="AF326" s="227">
        <f t="shared" si="133"/>
        <v>-7.287055411110452</v>
      </c>
      <c r="AG326" s="227">
        <f t="shared" si="134"/>
        <v>43.210739751834879</v>
      </c>
      <c r="AH326" s="229" t="str">
        <f t="shared" si="135"/>
        <v>0.260910303501431-0.0769181314689318i</v>
      </c>
    </row>
    <row r="327" spans="9:34" x14ac:dyDescent="0.2">
      <c r="I327" s="227">
        <v>323</v>
      </c>
      <c r="J327" s="227">
        <f t="shared" si="123"/>
        <v>4.1492895761510376</v>
      </c>
      <c r="K327" s="227">
        <f t="shared" si="122"/>
        <v>14102.2878851429</v>
      </c>
      <c r="L327" s="227">
        <f t="shared" si="136"/>
        <v>88607.288037546547</v>
      </c>
      <c r="M327" s="227">
        <f t="shared" si="124"/>
        <v>8602.3109892850371</v>
      </c>
      <c r="N327" s="227">
        <f>SQRT((ABS(AC327)-171.5+'Small Signal'!C$59)^2)</f>
        <v>19.55437240064586</v>
      </c>
      <c r="O327" s="227">
        <f t="shared" si="137"/>
        <v>42.285037633618884</v>
      </c>
      <c r="P327" s="227">
        <f t="shared" si="138"/>
        <v>7.4296268707535758</v>
      </c>
      <c r="Q327" s="227">
        <f t="shared" si="121"/>
        <v>14102.2878851429</v>
      </c>
      <c r="R327" s="227" t="str">
        <f t="shared" si="125"/>
        <v>0.0878666666666667+0.416454253776469i</v>
      </c>
      <c r="S327" s="227" t="str">
        <f t="shared" si="126"/>
        <v>0.0085-0.432220342012919i</v>
      </c>
      <c r="T327" s="227" t="str">
        <f t="shared" si="127"/>
        <v>0.0227217797776325-0.43119016666378i</v>
      </c>
      <c r="U327" s="227" t="str">
        <f t="shared" si="128"/>
        <v>-5.90500640924687+2.03568166156147i</v>
      </c>
      <c r="V327" s="227">
        <f t="shared" si="139"/>
        <v>15.912104667286062</v>
      </c>
      <c r="W327" s="227">
        <f t="shared" si="140"/>
        <v>-199.02103202000956</v>
      </c>
      <c r="X327" s="227" t="str">
        <f t="shared" si="129"/>
        <v>0.998585781165544-0.0110742747347857i</v>
      </c>
      <c r="Y327" s="227" t="str">
        <f t="shared" si="130"/>
        <v>11.2247911361531-58.5104976917057i</v>
      </c>
      <c r="Z327" s="227" t="str">
        <f t="shared" si="131"/>
        <v>5.49968505440982-30.4913580385885i</v>
      </c>
      <c r="AA327" s="227" t="str">
        <f t="shared" si="132"/>
        <v>-0.807289755528048-1.34067226679808i</v>
      </c>
      <c r="AB327" s="227">
        <f t="shared" si="141"/>
        <v>3.8900986560099051</v>
      </c>
      <c r="AC327" s="227">
        <f t="shared" si="142"/>
        <v>-121.05437240064586</v>
      </c>
      <c r="AD327" s="229">
        <f t="shared" si="143"/>
        <v>-11.319725526763481</v>
      </c>
      <c r="AE327" s="229">
        <f t="shared" si="144"/>
        <v>163.33941003426474</v>
      </c>
      <c r="AF327" s="227">
        <f t="shared" si="133"/>
        <v>-7.4296268707535758</v>
      </c>
      <c r="AG327" s="227">
        <f t="shared" si="134"/>
        <v>42.285037633618884</v>
      </c>
      <c r="AH327" s="229" t="str">
        <f t="shared" si="135"/>
        <v>0.260248518111013-0.0778832171982642i</v>
      </c>
    </row>
    <row r="328" spans="9:34" x14ac:dyDescent="0.2">
      <c r="I328" s="227">
        <v>324</v>
      </c>
      <c r="J328" s="227">
        <f t="shared" si="123"/>
        <v>4.1590396986778213</v>
      </c>
      <c r="K328" s="227">
        <f t="shared" si="122"/>
        <v>14422.471807140251</v>
      </c>
      <c r="L328" s="227">
        <f t="shared" si="136"/>
        <v>90619.06295183544</v>
      </c>
      <c r="M328" s="227">
        <f t="shared" si="124"/>
        <v>8929.7644936891993</v>
      </c>
      <c r="N328" s="227">
        <f>SQRT((ABS(AC328)-171.5+'Small Signal'!C$59)^2)</f>
        <v>20.248236267489006</v>
      </c>
      <c r="O328" s="227">
        <f t="shared" si="137"/>
        <v>41.349120802953365</v>
      </c>
      <c r="P328" s="227">
        <f t="shared" si="138"/>
        <v>7.5707487473421882</v>
      </c>
      <c r="Q328" s="227">
        <f t="shared" si="121"/>
        <v>14422.471807140251</v>
      </c>
      <c r="R328" s="227" t="str">
        <f t="shared" si="125"/>
        <v>0.0878666666666667+0.425909595873627i</v>
      </c>
      <c r="S328" s="227" t="str">
        <f t="shared" si="126"/>
        <v>0.0085-0.422624899142701i</v>
      </c>
      <c r="T328" s="227" t="str">
        <f t="shared" si="127"/>
        <v>0.0220977394689488-0.421637727395692i</v>
      </c>
      <c r="U328" s="227" t="str">
        <f t="shared" si="128"/>
        <v>-5.64792909818712+2.05022782645055i</v>
      </c>
      <c r="V328" s="227">
        <f t="shared" si="139"/>
        <v>15.57537724619203</v>
      </c>
      <c r="W328" s="227">
        <f t="shared" si="140"/>
        <v>-199.95116219849638</v>
      </c>
      <c r="X328" s="227" t="str">
        <f t="shared" si="129"/>
        <v>0.998520834182914-0.0113257094485526i</v>
      </c>
      <c r="Y328" s="227" t="str">
        <f t="shared" si="130"/>
        <v>10.6938519729082-57.1827547307511i</v>
      </c>
      <c r="Z328" s="227" t="str">
        <f t="shared" si="131"/>
        <v>5.22339422557493-29.797309519534i</v>
      </c>
      <c r="AA328" s="227" t="str">
        <f t="shared" si="132"/>
        <v>-0.811310132498893-1.31115276209503i</v>
      </c>
      <c r="AB328" s="227">
        <f t="shared" si="141"/>
        <v>3.7609233832431026</v>
      </c>
      <c r="AC328" s="227">
        <f t="shared" si="142"/>
        <v>-121.74823626748901</v>
      </c>
      <c r="AD328" s="229">
        <f t="shared" si="143"/>
        <v>-11.331672130585291</v>
      </c>
      <c r="AE328" s="229">
        <f t="shared" si="144"/>
        <v>163.09735707044237</v>
      </c>
      <c r="AF328" s="227">
        <f t="shared" si="133"/>
        <v>-7.5707487473421882</v>
      </c>
      <c r="AG328" s="227">
        <f t="shared" si="134"/>
        <v>41.349120802953365</v>
      </c>
      <c r="AH328" s="229" t="str">
        <f t="shared" si="135"/>
        <v>0.259559924346569-0.0788734129103612i</v>
      </c>
    </row>
    <row r="329" spans="9:34" x14ac:dyDescent="0.2">
      <c r="I329" s="227">
        <v>325</v>
      </c>
      <c r="J329" s="227">
        <f t="shared" si="123"/>
        <v>4.1687898212046051</v>
      </c>
      <c r="K329" s="227">
        <f t="shared" si="122"/>
        <v>14749.925311544413</v>
      </c>
      <c r="L329" s="227">
        <f t="shared" si="136"/>
        <v>92676.513999492134</v>
      </c>
      <c r="M329" s="227">
        <f t="shared" si="124"/>
        <v>9264.6526319744335</v>
      </c>
      <c r="N329" s="227">
        <f>SQRT((ABS(AC329)-171.5+'Small Signal'!C$59)^2)</f>
        <v>20.944785608926381</v>
      </c>
      <c r="O329" s="227">
        <f t="shared" si="137"/>
        <v>40.403125507392659</v>
      </c>
      <c r="P329" s="227">
        <f t="shared" si="138"/>
        <v>7.7104088607037387</v>
      </c>
      <c r="Q329" s="227">
        <f t="shared" si="121"/>
        <v>14749.925311544413</v>
      </c>
      <c r="R329" s="227" t="str">
        <f t="shared" si="125"/>
        <v>0.0878666666666667+0.435579615797613i</v>
      </c>
      <c r="S329" s="227" t="str">
        <f t="shared" si="126"/>
        <v>0.0085-0.413242478462617i</v>
      </c>
      <c r="T329" s="227" t="str">
        <f t="shared" si="127"/>
        <v>0.0215010436912542-0.41229604602697i</v>
      </c>
      <c r="U329" s="227" t="str">
        <f t="shared" si="128"/>
        <v>-5.40213378488629+2.0602492738202i</v>
      </c>
      <c r="V329" s="227">
        <f t="shared" si="139"/>
        <v>15.241061905841892</v>
      </c>
      <c r="W329" s="227">
        <f t="shared" si="140"/>
        <v>-200.87569785087229</v>
      </c>
      <c r="X329" s="227" t="str">
        <f t="shared" si="129"/>
        <v>0.998452904556827-0.0115828528355105i</v>
      </c>
      <c r="Y329" s="227" t="str">
        <f t="shared" si="130"/>
        <v>10.1895246873683-55.8856946934898i</v>
      </c>
      <c r="Z329" s="227" t="str">
        <f t="shared" si="131"/>
        <v>4.96095696835024-29.1192693589452i</v>
      </c>
      <c r="AA329" s="227" t="str">
        <f t="shared" si="132"/>
        <v>-0.815160648082449-1.28227110608898i</v>
      </c>
      <c r="AB329" s="227">
        <f t="shared" si="141"/>
        <v>3.6336864510107936</v>
      </c>
      <c r="AC329" s="227">
        <f t="shared" si="142"/>
        <v>-122.44478560892638</v>
      </c>
      <c r="AD329" s="229">
        <f t="shared" si="143"/>
        <v>-11.344095311714533</v>
      </c>
      <c r="AE329" s="229">
        <f t="shared" si="144"/>
        <v>162.84791111631904</v>
      </c>
      <c r="AF329" s="227">
        <f t="shared" si="133"/>
        <v>-7.7104088607037387</v>
      </c>
      <c r="AG329" s="227">
        <f t="shared" si="134"/>
        <v>40.403125507392659</v>
      </c>
      <c r="AH329" s="229" t="str">
        <f t="shared" si="135"/>
        <v>0.258843596538245-0.0798883519517592i</v>
      </c>
    </row>
    <row r="330" spans="9:34" x14ac:dyDescent="0.2">
      <c r="I330" s="227">
        <v>326</v>
      </c>
      <c r="J330" s="227">
        <f t="shared" si="123"/>
        <v>4.1785399437313888</v>
      </c>
      <c r="K330" s="227">
        <f t="shared" si="122"/>
        <v>15084.813449829649</v>
      </c>
      <c r="L330" s="227">
        <f t="shared" si="136"/>
        <v>94780.678229514655</v>
      </c>
      <c r="M330" s="227">
        <f t="shared" si="124"/>
        <v>9607.1442030090402</v>
      </c>
      <c r="N330" s="227">
        <f>SQRT((ABS(AC330)-171.5+'Small Signal'!C$59)^2)</f>
        <v>21.643818886167267</v>
      </c>
      <c r="O330" s="227">
        <f t="shared" si="137"/>
        <v>39.447199057209033</v>
      </c>
      <c r="P330" s="227">
        <f t="shared" si="138"/>
        <v>7.8485970030854126</v>
      </c>
      <c r="Q330" s="227">
        <f t="shared" si="121"/>
        <v>15084.813449829649</v>
      </c>
      <c r="R330" s="227" t="str">
        <f t="shared" si="125"/>
        <v>0.0878666666666667+0.445469187678719i</v>
      </c>
      <c r="S330" s="227" t="str">
        <f t="shared" si="126"/>
        <v>0.0085-0.404068350805487i</v>
      </c>
      <c r="T330" s="227" t="str">
        <f t="shared" si="127"/>
        <v>0.0209304965850066-0.403160528770466i</v>
      </c>
      <c r="U330" s="227" t="str">
        <f t="shared" si="128"/>
        <v>-5.16713531203066+2.0661530493857i</v>
      </c>
      <c r="V330" s="227">
        <f t="shared" si="139"/>
        <v>14.909170254936337</v>
      </c>
      <c r="W330" s="227">
        <f t="shared" si="140"/>
        <v>-201.79470755660626</v>
      </c>
      <c r="X330" s="227" t="str">
        <f t="shared" si="129"/>
        <v>0.99838185531153-0.0118458345076332i</v>
      </c>
      <c r="Y330" s="227" t="str">
        <f t="shared" si="130"/>
        <v>9.71035493939356-54.6186343028216i</v>
      </c>
      <c r="Z330" s="227" t="str">
        <f t="shared" si="131"/>
        <v>4.71161575445742-28.4568790801862i</v>
      </c>
      <c r="AA330" s="227" t="str">
        <f t="shared" si="132"/>
        <v>-0.818848872930808-1.25401421243498i</v>
      </c>
      <c r="AB330" s="227">
        <f t="shared" si="141"/>
        <v>3.5084188240134644</v>
      </c>
      <c r="AC330" s="227">
        <f t="shared" si="142"/>
        <v>-123.14381888616727</v>
      </c>
      <c r="AD330" s="229">
        <f t="shared" si="143"/>
        <v>-11.357015827098877</v>
      </c>
      <c r="AE330" s="229">
        <f t="shared" si="144"/>
        <v>162.5910179433763</v>
      </c>
      <c r="AF330" s="227">
        <f t="shared" si="133"/>
        <v>-7.8485970030854126</v>
      </c>
      <c r="AG330" s="227">
        <f t="shared" si="134"/>
        <v>39.447199057209033</v>
      </c>
      <c r="AH330" s="229" t="str">
        <f t="shared" si="135"/>
        <v>0.258098591122866-0.0809276326162972i</v>
      </c>
    </row>
    <row r="331" spans="9:34" x14ac:dyDescent="0.2">
      <c r="I331" s="227">
        <v>327</v>
      </c>
      <c r="J331" s="227">
        <f t="shared" si="123"/>
        <v>4.1882900662581726</v>
      </c>
      <c r="K331" s="227">
        <f t="shared" si="122"/>
        <v>15427.305020864254</v>
      </c>
      <c r="L331" s="227">
        <f t="shared" si="136"/>
        <v>96932.616236472139</v>
      </c>
      <c r="M331" s="227">
        <f t="shared" si="124"/>
        <v>9957.4118381374719</v>
      </c>
      <c r="N331" s="227">
        <f>SQRT((ABS(AC331)-171.5+'Small Signal'!C$59)^2)</f>
        <v>22.345124337548256</v>
      </c>
      <c r="O331" s="227">
        <f t="shared" si="137"/>
        <v>38.481499633346559</v>
      </c>
      <c r="P331" s="227">
        <f t="shared" si="138"/>
        <v>7.9853050437596345</v>
      </c>
      <c r="Q331" s="227">
        <f t="shared" si="121"/>
        <v>15427.305020864254</v>
      </c>
      <c r="R331" s="227" t="str">
        <f t="shared" si="125"/>
        <v>0.0878666666666667+0.455583296311419i</v>
      </c>
      <c r="S331" s="227" t="str">
        <f t="shared" si="126"/>
        <v>0.0085-0.395097891993298i</v>
      </c>
      <c r="T331" s="227" t="str">
        <f t="shared" si="127"/>
        <v>0.0203849543886249-0.394226678298843i</v>
      </c>
      <c r="U331" s="227" t="str">
        <f t="shared" si="128"/>
        <v>-4.94246764007349+2.06831372928189i</v>
      </c>
      <c r="V331" s="227">
        <f t="shared" si="139"/>
        <v>14.579712894873257</v>
      </c>
      <c r="W331" s="227">
        <f t="shared" si="140"/>
        <v>-202.70823506712864</v>
      </c>
      <c r="X331" s="227" t="str">
        <f t="shared" si="129"/>
        <v>0.998307543180752-0.0121147870196566i</v>
      </c>
      <c r="Y331" s="227" t="str">
        <f t="shared" si="130"/>
        <v>9.25497691590374-53.3808966645744i</v>
      </c>
      <c r="Z331" s="227" t="str">
        <f t="shared" si="131"/>
        <v>4.47465920116419-27.8097836332726i</v>
      </c>
      <c r="AA331" s="227" t="str">
        <f t="shared" si="132"/>
        <v>-0.822382067075416-1.22636921399964i</v>
      </c>
      <c r="AB331" s="227">
        <f t="shared" si="141"/>
        <v>3.3851500253594526</v>
      </c>
      <c r="AC331" s="227">
        <f t="shared" si="142"/>
        <v>-123.84512433754826</v>
      </c>
      <c r="AD331" s="229">
        <f t="shared" si="143"/>
        <v>-11.370455069119087</v>
      </c>
      <c r="AE331" s="229">
        <f t="shared" si="144"/>
        <v>162.32662397089481</v>
      </c>
      <c r="AF331" s="227">
        <f t="shared" si="133"/>
        <v>-7.9853050437596345</v>
      </c>
      <c r="AG331" s="227">
        <f t="shared" si="134"/>
        <v>38.481499633346559</v>
      </c>
      <c r="AH331" s="229" t="str">
        <f t="shared" si="135"/>
        <v>0.257323947613588-0.081990815928729i</v>
      </c>
    </row>
    <row r="332" spans="9:34" x14ac:dyDescent="0.2">
      <c r="I332" s="227">
        <v>328</v>
      </c>
      <c r="J332" s="227">
        <f t="shared" si="123"/>
        <v>4.1980401887849554</v>
      </c>
      <c r="K332" s="227">
        <f t="shared" si="122"/>
        <v>15777.572655992688</v>
      </c>
      <c r="L332" s="227">
        <f t="shared" si="136"/>
        <v>99133.412695091654</v>
      </c>
      <c r="M332" s="227">
        <f t="shared" si="124"/>
        <v>10315.632088194572</v>
      </c>
      <c r="N332" s="227">
        <f>SQRT((ABS(AC332)-171.5+'Small Signal'!C$59)^2)</f>
        <v>23.04848041542607</v>
      </c>
      <c r="O332" s="227">
        <f t="shared" si="137"/>
        <v>37.506196056777469</v>
      </c>
      <c r="P332" s="227">
        <f t="shared" si="138"/>
        <v>8.1205270300142605</v>
      </c>
      <c r="Q332" s="227">
        <f t="shared" si="121"/>
        <v>15777.572655992688</v>
      </c>
      <c r="R332" s="227" t="str">
        <f t="shared" si="125"/>
        <v>0.0878666666666667+0.465927039666931i</v>
      </c>
      <c r="S332" s="227" t="str">
        <f t="shared" si="126"/>
        <v>0.0085-0.386326580506411i</v>
      </c>
      <c r="T332" s="227" t="str">
        <f t="shared" si="127"/>
        <v>0.019863323186054-0.385490091960842i</v>
      </c>
      <c r="U332" s="227" t="str">
        <f t="shared" si="128"/>
        <v>-4.7276833736555+2.06707602639268i</v>
      </c>
      <c r="V332" s="227">
        <f t="shared" si="139"/>
        <v>14.252699341896173</v>
      </c>
      <c r="W332" s="227">
        <f t="shared" si="140"/>
        <v>-203.61630059047241</v>
      </c>
      <c r="X332" s="227" t="str">
        <f t="shared" si="129"/>
        <v>0.998229818318826-0.0123898459358912i</v>
      </c>
      <c r="Y332" s="227" t="str">
        <f t="shared" si="130"/>
        <v>8.8221073445642-52.1718127624242i</v>
      </c>
      <c r="Z332" s="227" t="str">
        <f t="shared" si="131"/>
        <v>4.249418948182-27.1776321663831i</v>
      </c>
      <c r="AA332" s="227" t="str">
        <f t="shared" si="132"/>
        <v>-0.825767193166944-1.19932346239033i</v>
      </c>
      <c r="AB332" s="227">
        <f t="shared" si="141"/>
        <v>3.263908048724542</v>
      </c>
      <c r="AC332" s="227">
        <f t="shared" si="142"/>
        <v>-124.54848041542607</v>
      </c>
      <c r="AD332" s="229">
        <f t="shared" si="143"/>
        <v>-11.384435078738802</v>
      </c>
      <c r="AE332" s="229">
        <f t="shared" si="144"/>
        <v>162.05467647220354</v>
      </c>
      <c r="AF332" s="227">
        <f t="shared" si="133"/>
        <v>-8.1205270300142605</v>
      </c>
      <c r="AG332" s="227">
        <f t="shared" si="134"/>
        <v>37.506196056777469</v>
      </c>
      <c r="AH332" s="229" t="str">
        <f t="shared" si="135"/>
        <v>0.256518689719403-0.0830774233901765i</v>
      </c>
    </row>
    <row r="333" spans="9:34" x14ac:dyDescent="0.2">
      <c r="I333" s="227">
        <v>329</v>
      </c>
      <c r="J333" s="227">
        <f t="shared" si="123"/>
        <v>4.2077903113117383</v>
      </c>
      <c r="K333" s="227">
        <f t="shared" si="122"/>
        <v>16135.792906049788</v>
      </c>
      <c r="L333" s="227">
        <f t="shared" si="136"/>
        <v>101384.17690698462</v>
      </c>
      <c r="M333" s="227">
        <f t="shared" si="124"/>
        <v>10681.985512495248</v>
      </c>
      <c r="N333" s="227">
        <f>SQRT((ABS(AC333)-171.5+'Small Signal'!C$59)^2)</f>
        <v>23.753656270629577</v>
      </c>
      <c r="O333" s="227">
        <f t="shared" si="137"/>
        <v>36.52146752036866</v>
      </c>
      <c r="P333" s="227">
        <f t="shared" si="138"/>
        <v>8.2542592837624369</v>
      </c>
      <c r="Q333" s="227">
        <f t="shared" si="121"/>
        <v>16135.792906049788</v>
      </c>
      <c r="R333" s="227" t="str">
        <f t="shared" si="125"/>
        <v>0.0878666666666667+0.476505631462828i</v>
      </c>
      <c r="S333" s="227" t="str">
        <f t="shared" si="126"/>
        <v>0.0085-0.377749995204499i</v>
      </c>
      <c r="T333" s="227" t="str">
        <f t="shared" si="127"/>
        <v>0.0193645567502296-0.376946460014039i</v>
      </c>
      <c r="U333" s="227" t="str">
        <f t="shared" si="128"/>
        <v>-4.52235325275827+2.06275717986055i</v>
      </c>
      <c r="V333" s="227">
        <f t="shared" si="139"/>
        <v>13.928137948591072</v>
      </c>
      <c r="W333" s="227">
        <f t="shared" si="140"/>
        <v>-204.51890206675228</v>
      </c>
      <c r="X333" s="227" t="str">
        <f t="shared" si="129"/>
        <v>0.998148523998528-0.0126711498985536i</v>
      </c>
      <c r="Y333" s="227" t="str">
        <f t="shared" si="130"/>
        <v>8.41053994206168-50.990722683082i</v>
      </c>
      <c r="Z333" s="227" t="str">
        <f t="shared" si="131"/>
        <v>4.03526676152007-26.5600786572828i</v>
      </c>
      <c r="AA333" s="227" t="str">
        <f t="shared" si="132"/>
        <v>-0.82901092923475-1.17286452721137i</v>
      </c>
      <c r="AB333" s="227">
        <f t="shared" si="141"/>
        <v>3.1447192739793426</v>
      </c>
      <c r="AC333" s="227">
        <f t="shared" si="142"/>
        <v>-125.25365627062958</v>
      </c>
      <c r="AD333" s="229">
        <f t="shared" si="143"/>
        <v>-11.398978557741779</v>
      </c>
      <c r="AE333" s="229">
        <f t="shared" si="144"/>
        <v>161.77512379099824</v>
      </c>
      <c r="AF333" s="227">
        <f t="shared" si="133"/>
        <v>-8.2542592837624369</v>
      </c>
      <c r="AG333" s="227">
        <f t="shared" si="134"/>
        <v>36.52146752036866</v>
      </c>
      <c r="AH333" s="229" t="str">
        <f t="shared" si="135"/>
        <v>0.255681826624176-0.0841869346925794i</v>
      </c>
    </row>
    <row r="334" spans="9:34" x14ac:dyDescent="0.2">
      <c r="I334" s="227">
        <v>330</v>
      </c>
      <c r="J334" s="227">
        <f t="shared" si="123"/>
        <v>4.2175404338385221</v>
      </c>
      <c r="K334" s="227">
        <f t="shared" si="122"/>
        <v>16502.146330350464</v>
      </c>
      <c r="L334" s="227">
        <f t="shared" si="136"/>
        <v>103686.04335978556</v>
      </c>
      <c r="M334" s="227">
        <f t="shared" si="124"/>
        <v>11056.656769844376</v>
      </c>
      <c r="N334" s="227">
        <f>SQRT((ABS(AC334)-171.5+'Small Signal'!C$59)^2)</f>
        <v>24.460412283101576</v>
      </c>
      <c r="O334" s="227">
        <f t="shared" si="137"/>
        <v>35.527503284757799</v>
      </c>
      <c r="P334" s="227">
        <f t="shared" si="138"/>
        <v>8.3865004930016305</v>
      </c>
      <c r="Q334" s="227">
        <f t="shared" si="121"/>
        <v>16502.146330350464</v>
      </c>
      <c r="R334" s="227" t="str">
        <f t="shared" si="125"/>
        <v>0.0878666666666667+0.487324403790992i</v>
      </c>
      <c r="S334" s="227" t="str">
        <f t="shared" si="126"/>
        <v>0.0085-0.369363813098101i</v>
      </c>
      <c r="T334" s="227" t="str">
        <f t="shared" si="127"/>
        <v>0.0188876544784906-0.368591563875271i</v>
      </c>
      <c r="U334" s="227" t="str">
        <f t="shared" si="128"/>
        <v>-4.32606561840907+2.05564914634558i</v>
      </c>
      <c r="V334" s="227">
        <f t="shared" si="139"/>
        <v>13.606035825944669</v>
      </c>
      <c r="W334" s="227">
        <f t="shared" si="140"/>
        <v>-205.41601643683379</v>
      </c>
      <c r="X334" s="227" t="str">
        <f t="shared" si="129"/>
        <v>0.998063496295052-0.0129588406976479i</v>
      </c>
      <c r="Y334" s="227" t="str">
        <f t="shared" si="130"/>
        <v>8.01914026530453-49.8369766093709i</v>
      </c>
      <c r="Z334" s="227" t="str">
        <f t="shared" si="131"/>
        <v>3.83161184773571-25.9567824242365i</v>
      </c>
      <c r="AA334" s="227" t="str">
        <f t="shared" si="132"/>
        <v>-0.832119680981793-1.14698019506993i</v>
      </c>
      <c r="AB334" s="227">
        <f t="shared" si="141"/>
        <v>3.0276083869398844</v>
      </c>
      <c r="AC334" s="227">
        <f t="shared" si="142"/>
        <v>-125.96041228310158</v>
      </c>
      <c r="AD334" s="229">
        <f t="shared" si="143"/>
        <v>-11.414108879941516</v>
      </c>
      <c r="AE334" s="229">
        <f t="shared" si="144"/>
        <v>161.48791556785937</v>
      </c>
      <c r="AF334" s="227">
        <f t="shared" si="133"/>
        <v>-8.3865004930016305</v>
      </c>
      <c r="AG334" s="227">
        <f t="shared" si="134"/>
        <v>35.527503284757799</v>
      </c>
      <c r="AH334" s="229" t="str">
        <f t="shared" si="135"/>
        <v>0.254812354435047-0.085318785410415i</v>
      </c>
    </row>
    <row r="335" spans="9:34" x14ac:dyDescent="0.2">
      <c r="I335" s="227">
        <v>331</v>
      </c>
      <c r="J335" s="227">
        <f t="shared" si="123"/>
        <v>4.2272905563653058</v>
      </c>
      <c r="K335" s="227">
        <f t="shared" si="122"/>
        <v>16876.817587699592</v>
      </c>
      <c r="L335" s="227">
        <f t="shared" si="136"/>
        <v>106040.17229898411</v>
      </c>
      <c r="M335" s="227">
        <f t="shared" si="124"/>
        <v>11439.834711613417</v>
      </c>
      <c r="N335" s="227">
        <f>SQRT((ABS(AC335)-171.5+'Small Signal'!C$59)^2)</f>
        <v>25.168500636930631</v>
      </c>
      <c r="O335" s="227">
        <f t="shared" si="137"/>
        <v>34.524502340128535</v>
      </c>
      <c r="P335" s="227">
        <f t="shared" si="138"/>
        <v>8.5172517973598438</v>
      </c>
      <c r="Q335" s="227">
        <f t="shared" si="121"/>
        <v>16876.817587699592</v>
      </c>
      <c r="R335" s="227" t="str">
        <f t="shared" si="125"/>
        <v>0.0878666666666667+0.498388809805225i</v>
      </c>
      <c r="S335" s="227" t="str">
        <f t="shared" si="126"/>
        <v>0.0085-0.361163807169639i</v>
      </c>
      <c r="T335" s="227" t="str">
        <f t="shared" si="127"/>
        <v>0.0184316594161332-0.360421274389678i</v>
      </c>
      <c r="U335" s="227" t="str">
        <f t="shared" si="128"/>
        <v>-4.13842586112205+2.04602061002545i</v>
      </c>
      <c r="V335" s="227">
        <f t="shared" si="139"/>
        <v>13.286398767092013</v>
      </c>
      <c r="W335" s="227">
        <f t="shared" si="140"/>
        <v>-206.30760090588575</v>
      </c>
      <c r="X335" s="227" t="str">
        <f t="shared" si="129"/>
        <v>0.99797456375546-0.0132530633424347i</v>
      </c>
      <c r="Y335" s="227" t="str">
        <f t="shared" si="130"/>
        <v>7.6468409358854-48.7099356138463i</v>
      </c>
      <c r="Z335" s="227" t="str">
        <f t="shared" si="131"/>
        <v>3.63789836307135-25.3674085333984i</v>
      </c>
      <c r="AA335" s="227" t="str">
        <f t="shared" si="132"/>
        <v>-0.835099593630787-1.12165846835271i</v>
      </c>
      <c r="AB335" s="227">
        <f t="shared" si="141"/>
        <v>2.9125983038839083</v>
      </c>
      <c r="AC335" s="227">
        <f t="shared" si="142"/>
        <v>-126.66850063693063</v>
      </c>
      <c r="AD335" s="229">
        <f t="shared" si="143"/>
        <v>-11.429850101243753</v>
      </c>
      <c r="AE335" s="229">
        <f t="shared" si="144"/>
        <v>161.19300297705917</v>
      </c>
      <c r="AF335" s="227">
        <f t="shared" si="133"/>
        <v>-8.5172517973598438</v>
      </c>
      <c r="AG335" s="227">
        <f t="shared" si="134"/>
        <v>34.524502340128535</v>
      </c>
      <c r="AH335" s="229" t="str">
        <f t="shared" si="135"/>
        <v>0.253909257809894-0.0864723646791004i</v>
      </c>
    </row>
    <row r="336" spans="9:34" x14ac:dyDescent="0.2">
      <c r="I336" s="227">
        <v>332</v>
      </c>
      <c r="J336" s="227">
        <f t="shared" si="123"/>
        <v>4.2370406788920896</v>
      </c>
      <c r="K336" s="227">
        <f t="shared" si="122"/>
        <v>17259.995529468633</v>
      </c>
      <c r="L336" s="227">
        <f t="shared" si="136"/>
        <v>108447.75031274266</v>
      </c>
      <c r="M336" s="227">
        <f t="shared" si="124"/>
        <v>11831.712476930014</v>
      </c>
      <c r="N336" s="227">
        <f>SQRT((ABS(AC336)-171.5+'Small Signal'!C$59)^2)</f>
        <v>25.877665937533109</v>
      </c>
      <c r="O336" s="227">
        <f t="shared" si="137"/>
        <v>33.512673036167044</v>
      </c>
      <c r="P336" s="227">
        <f t="shared" si="138"/>
        <v>8.6465168669791197</v>
      </c>
      <c r="Q336" s="227">
        <f t="shared" si="121"/>
        <v>17259.995529468633</v>
      </c>
      <c r="R336" s="227" t="str">
        <f t="shared" si="125"/>
        <v>0.0878666666666667+0.50970442646989i</v>
      </c>
      <c r="S336" s="227" t="str">
        <f t="shared" si="126"/>
        <v>0.0085-0.353145844242797i</v>
      </c>
      <c r="T336" s="227" t="str">
        <f t="shared" si="127"/>
        <v>0.0179956563644526-0.352431550119249i</v>
      </c>
      <c r="U336" s="227" t="str">
        <f t="shared" si="128"/>
        <v>-3.95905585887571+2.03411882687135i</v>
      </c>
      <c r="V336" s="227">
        <f t="shared" si="139"/>
        <v>12.969231173803342</v>
      </c>
      <c r="W336" s="227">
        <f t="shared" si="140"/>
        <v>-207.19359420285912</v>
      </c>
      <c r="X336" s="227" t="str">
        <f t="shared" si="129"/>
        <v>0.997881547052962-0.0135539661345221i</v>
      </c>
      <c r="Y336" s="227" t="str">
        <f t="shared" si="130"/>
        <v>7.29263721009855-47.6089722813082i</v>
      </c>
      <c r="Z336" s="227" t="str">
        <f t="shared" si="131"/>
        <v>3.45360310299362-24.7916281174269i</v>
      </c>
      <c r="AA336" s="227" t="str">
        <f t="shared" si="132"/>
        <v>-0.837956563337018-1.09688756379323i</v>
      </c>
      <c r="AB336" s="227">
        <f t="shared" si="141"/>
        <v>2.7997101014554144</v>
      </c>
      <c r="AC336" s="227">
        <f t="shared" si="142"/>
        <v>-127.37766593753311</v>
      </c>
      <c r="AD336" s="229">
        <f t="shared" si="143"/>
        <v>-11.446226968434534</v>
      </c>
      <c r="AE336" s="229">
        <f t="shared" si="144"/>
        <v>160.89033897370015</v>
      </c>
      <c r="AF336" s="227">
        <f t="shared" si="133"/>
        <v>-8.6465168669791197</v>
      </c>
      <c r="AG336" s="227">
        <f t="shared" si="134"/>
        <v>33.512673036167044</v>
      </c>
      <c r="AH336" s="229" t="str">
        <f t="shared" si="135"/>
        <v>0.252971511773439-0.087647012870722i</v>
      </c>
    </row>
    <row r="337" spans="9:34" x14ac:dyDescent="0.2">
      <c r="I337" s="227">
        <v>333</v>
      </c>
      <c r="J337" s="227">
        <f t="shared" si="123"/>
        <v>4.2467908014188724</v>
      </c>
      <c r="K337" s="227">
        <f t="shared" si="122"/>
        <v>17651.87329478523</v>
      </c>
      <c r="L337" s="227">
        <f t="shared" si="136"/>
        <v>110909.99092999026</v>
      </c>
      <c r="M337" s="227">
        <f t="shared" si="124"/>
        <v>12232.487590029115</v>
      </c>
      <c r="N337" s="227">
        <f>SQRT((ABS(AC337)-171.5+'Small Signal'!C$59)^2)</f>
        <v>26.587645868343316</v>
      </c>
      <c r="O337" s="227">
        <f t="shared" si="137"/>
        <v>32.492232682833531</v>
      </c>
      <c r="P337" s="227">
        <f t="shared" si="138"/>
        <v>8.7743019740059562</v>
      </c>
      <c r="Q337" s="227">
        <f t="shared" si="121"/>
        <v>17651.87329478523</v>
      </c>
      <c r="R337" s="227" t="str">
        <f t="shared" si="125"/>
        <v>0.0878666666666667+0.521276957370954i</v>
      </c>
      <c r="S337" s="227" t="str">
        <f t="shared" si="126"/>
        <v>0.0085-0.345305882899227i</v>
      </c>
      <c r="T337" s="227" t="str">
        <f t="shared" si="127"/>
        <v>0.0175787700697577-0.344618435651693i</v>
      </c>
      <c r="U337" s="227" t="str">
        <f t="shared" si="128"/>
        <v>-3.78759341024918+2.02017131739341i</v>
      </c>
      <c r="V337" s="227">
        <f t="shared" si="139"/>
        <v>12.65453598667958</v>
      </c>
      <c r="W337" s="227">
        <f t="shared" si="140"/>
        <v>-208.07391783631033</v>
      </c>
      <c r="X337" s="227" t="str">
        <f t="shared" si="129"/>
        <v>0.997784258625315-0.0138617007426166i</v>
      </c>
      <c r="Y337" s="227" t="str">
        <f t="shared" si="130"/>
        <v>6.95558286869476-46.533471184796i</v>
      </c>
      <c r="Z337" s="227" t="str">
        <f t="shared" si="131"/>
        <v>3.27823335864046-24.2291186181108i</v>
      </c>
      <c r="AA337" s="227" t="str">
        <f t="shared" si="132"/>
        <v>-0.840696248183537-1.07265591084813i</v>
      </c>
      <c r="AB337" s="227">
        <f t="shared" si="141"/>
        <v>2.6889629525535192</v>
      </c>
      <c r="AC337" s="227">
        <f t="shared" si="142"/>
        <v>-128.08764586834332</v>
      </c>
      <c r="AD337" s="229">
        <f t="shared" si="143"/>
        <v>-11.463264926559475</v>
      </c>
      <c r="AE337" s="229">
        <f t="shared" si="144"/>
        <v>160.57987855117685</v>
      </c>
      <c r="AF337" s="227">
        <f t="shared" si="133"/>
        <v>-8.7743019740059562</v>
      </c>
      <c r="AG337" s="227">
        <f t="shared" si="134"/>
        <v>32.492232682833531</v>
      </c>
      <c r="AH337" s="229" t="str">
        <f t="shared" si="135"/>
        <v>0.251998083731327-0.0888420192790294i</v>
      </c>
    </row>
    <row r="338" spans="9:34" x14ac:dyDescent="0.2">
      <c r="I338" s="227">
        <v>334</v>
      </c>
      <c r="J338" s="227">
        <f t="shared" si="123"/>
        <v>4.2565409239456553</v>
      </c>
      <c r="K338" s="227">
        <f t="shared" si="122"/>
        <v>18052.648407884331</v>
      </c>
      <c r="L338" s="227">
        <f t="shared" si="136"/>
        <v>113428.13523209777</v>
      </c>
      <c r="M338" s="227">
        <f t="shared" si="124"/>
        <v>12642.36205981392</v>
      </c>
      <c r="N338" s="227">
        <f>SQRT((ABS(AC338)-171.5+'Small Signal'!C$59)^2)</f>
        <v>27.298171883949465</v>
      </c>
      <c r="O338" s="227">
        <f t="shared" si="137"/>
        <v>31.463407124941511</v>
      </c>
      <c r="P338" s="227">
        <f t="shared" si="138"/>
        <v>8.9006160559898788</v>
      </c>
      <c r="Q338" s="227">
        <f t="shared" si="121"/>
        <v>18052.648407884331</v>
      </c>
      <c r="R338" s="227" t="str">
        <f t="shared" si="125"/>
        <v>0.0878666666666667+0.53311223559086i</v>
      </c>
      <c r="S338" s="227" t="str">
        <f t="shared" si="126"/>
        <v>0.0085-0.337639971441478i</v>
      </c>
      <c r="T338" s="227" t="str">
        <f t="shared" si="127"/>
        <v>0.0171801634899829-0.336978059930264i</v>
      </c>
      <c r="U338" s="227" t="str">
        <f t="shared" si="128"/>
        <v>-3.62369166733984+2.00438742081527i</v>
      </c>
      <c r="V338" s="227">
        <f t="shared" si="139"/>
        <v>12.342314619940799</v>
      </c>
      <c r="W338" s="227">
        <f t="shared" si="140"/>
        <v>-208.9484773463806</v>
      </c>
      <c r="X338" s="227" t="str">
        <f t="shared" si="129"/>
        <v>0.997682502296614-0.014176422278971i</v>
      </c>
      <c r="Y338" s="227" t="str">
        <f t="shared" si="130"/>
        <v>6.63478640236797-45.4828292363928i</v>
      </c>
      <c r="Z338" s="227" t="str">
        <f t="shared" si="131"/>
        <v>3.11132492763076-23.6795639640971i</v>
      </c>
      <c r="AA338" s="227" t="str">
        <f t="shared" si="132"/>
        <v>-0.843324078773672-1.04895214989956i</v>
      </c>
      <c r="AB338" s="227">
        <f t="shared" si="141"/>
        <v>2.5803740687642875</v>
      </c>
      <c r="AC338" s="227">
        <f t="shared" si="142"/>
        <v>-128.79817188394946</v>
      </c>
      <c r="AD338" s="229">
        <f t="shared" si="143"/>
        <v>-11.480990124754166</v>
      </c>
      <c r="AE338" s="229">
        <f t="shared" si="144"/>
        <v>160.26157900889098</v>
      </c>
      <c r="AF338" s="227">
        <f t="shared" si="133"/>
        <v>-8.9006160559898788</v>
      </c>
      <c r="AG338" s="227">
        <f t="shared" si="134"/>
        <v>31.463407124941511</v>
      </c>
      <c r="AH338" s="229" t="str">
        <f t="shared" si="135"/>
        <v>0.250987935691094-0.0900566198269759i</v>
      </c>
    </row>
    <row r="339" spans="9:34" x14ac:dyDescent="0.2">
      <c r="I339" s="227">
        <v>335</v>
      </c>
      <c r="J339" s="227">
        <f t="shared" si="123"/>
        <v>4.2662910464724391</v>
      </c>
      <c r="K339" s="227">
        <f t="shared" si="122"/>
        <v>18462.522877669137</v>
      </c>
      <c r="L339" s="227">
        <f t="shared" si="136"/>
        <v>116003.4524784377</v>
      </c>
      <c r="M339" s="227">
        <f t="shared" si="124"/>
        <v>13061.542481677618</v>
      </c>
      <c r="N339" s="227">
        <f>SQRT((ABS(AC339)-171.5+'Small Signal'!C$59)^2)</f>
        <v>28.008969936245734</v>
      </c>
      <c r="O339" s="227">
        <f t="shared" si="137"/>
        <v>30.426430293843367</v>
      </c>
      <c r="P339" s="227">
        <f t="shared" si="138"/>
        <v>9.0254707705247466</v>
      </c>
      <c r="Q339" s="227">
        <f t="shared" si="121"/>
        <v>18462.522877669137</v>
      </c>
      <c r="R339" s="227" t="str">
        <f t="shared" si="125"/>
        <v>0.0878666666666667+0.545216226648657i</v>
      </c>
      <c r="S339" s="227" t="str">
        <f t="shared" si="126"/>
        <v>0.0085-0.330144245901166i</v>
      </c>
      <c r="T339" s="227" t="str">
        <f t="shared" si="127"/>
        <v>0.0167990361356533-0.329506634605185i</v>
      </c>
      <c r="U339" s="227" t="str">
        <f t="shared" si="128"/>
        <v>-3.46701857224034+1.98695972250786i</v>
      </c>
      <c r="V339" s="227">
        <f t="shared" si="139"/>
        <v>12.032566901611826</v>
      </c>
      <c r="W339" s="227">
        <f t="shared" si="140"/>
        <v>-209.81716355217375</v>
      </c>
      <c r="X339" s="227" t="str">
        <f t="shared" si="129"/>
        <v>0.997576072881718-0.0144982893775681i</v>
      </c>
      <c r="Y339" s="227" t="str">
        <f t="shared" si="130"/>
        <v>6.32940747068869-44.4564559313212i</v>
      </c>
      <c r="Z339" s="227" t="str">
        <f t="shared" si="131"/>
        <v>2.95244026759235-23.14265469333i</v>
      </c>
      <c r="AA339" s="227" t="str">
        <f t="shared" si="132"/>
        <v>-0.845845268436-1.02576513029966i</v>
      </c>
      <c r="AB339" s="227">
        <f t="shared" si="141"/>
        <v>2.4739586498538757</v>
      </c>
      <c r="AC339" s="227">
        <f t="shared" si="142"/>
        <v>-129.50896993624573</v>
      </c>
      <c r="AD339" s="229">
        <f t="shared" si="143"/>
        <v>-11.499429420378622</v>
      </c>
      <c r="AE339" s="229">
        <f t="shared" si="144"/>
        <v>159.9354002300891</v>
      </c>
      <c r="AF339" s="227">
        <f t="shared" si="133"/>
        <v>-9.0254707705247466</v>
      </c>
      <c r="AG339" s="227">
        <f t="shared" si="134"/>
        <v>30.426430293843367</v>
      </c>
      <c r="AH339" s="229" t="str">
        <f t="shared" si="135"/>
        <v>0.249940026698456-0.0912899948114826i</v>
      </c>
    </row>
    <row r="340" spans="9:34" x14ac:dyDescent="0.2">
      <c r="I340" s="227">
        <v>336</v>
      </c>
      <c r="J340" s="227">
        <f t="shared" si="123"/>
        <v>4.2760411689992228</v>
      </c>
      <c r="K340" s="227">
        <f t="shared" si="122"/>
        <v>18881.703299532834</v>
      </c>
      <c r="L340" s="227">
        <f t="shared" si="136"/>
        <v>118637.24074614901</v>
      </c>
      <c r="M340" s="227">
        <f t="shared" si="124"/>
        <v>13490.240141636998</v>
      </c>
      <c r="N340" s="227">
        <f>SQRT((ABS(AC340)-171.5+'Small Signal'!C$59)^2)</f>
        <v>28.719761229816299</v>
      </c>
      <c r="O340" s="227">
        <f t="shared" si="137"/>
        <v>29.381543739801344</v>
      </c>
      <c r="P340" s="227">
        <f t="shared" si="138"/>
        <v>9.1488805405114295</v>
      </c>
      <c r="Q340" s="227">
        <f t="shared" si="121"/>
        <v>18881.703299532834</v>
      </c>
      <c r="R340" s="227" t="str">
        <f t="shared" si="125"/>
        <v>0.0878666666666667+0.5575950315069i</v>
      </c>
      <c r="S340" s="227" t="str">
        <f t="shared" si="126"/>
        <v>0.0085-0.32281492809136i</v>
      </c>
      <c r="T340" s="227" t="str">
        <f t="shared" si="127"/>
        <v>0.0164346224820903-0.322200452407176i</v>
      </c>
      <c r="U340" s="227" t="str">
        <f t="shared" si="128"/>
        <v>-3.31725630013582+1.96806536547699i</v>
      </c>
      <c r="V340" s="227">
        <f t="shared" si="139"/>
        <v>11.725291019821411</v>
      </c>
      <c r="W340" s="227">
        <f t="shared" si="140"/>
        <v>-210.67985379324884</v>
      </c>
      <c r="X340" s="227" t="str">
        <f t="shared" si="129"/>
        <v>0.997464755772504-0.0148274642740792i</v>
      </c>
      <c r="Y340" s="227" t="str">
        <f t="shared" si="130"/>
        <v>6.03865361383128-43.4537735013503i</v>
      </c>
      <c r="Z340" s="227" t="str">
        <f t="shared" si="131"/>
        <v>2.8011667816181-22.6180880285247i</v>
      </c>
      <c r="AA340" s="227" t="str">
        <f t="shared" si="132"/>
        <v>-0.84826482305656-1.00308390827198i</v>
      </c>
      <c r="AB340" s="227">
        <f t="shared" si="141"/>
        <v>2.3697298407915248</v>
      </c>
      <c r="AC340" s="227">
        <f t="shared" si="142"/>
        <v>-130.2197612298163</v>
      </c>
      <c r="AD340" s="229">
        <f t="shared" si="143"/>
        <v>-11.518610381302954</v>
      </c>
      <c r="AE340" s="229">
        <f t="shared" si="144"/>
        <v>159.60130496961764</v>
      </c>
      <c r="AF340" s="227">
        <f t="shared" si="133"/>
        <v>-9.1488805405114295</v>
      </c>
      <c r="AG340" s="227">
        <f t="shared" si="134"/>
        <v>29.381543739801344</v>
      </c>
      <c r="AH340" s="229" t="str">
        <f t="shared" si="135"/>
        <v>0.248853315496665-0.0925412667015439i</v>
      </c>
    </row>
    <row r="341" spans="9:34" x14ac:dyDescent="0.2">
      <c r="I341" s="227">
        <v>337</v>
      </c>
      <c r="J341" s="227">
        <f t="shared" si="123"/>
        <v>4.2857912915260057</v>
      </c>
      <c r="K341" s="227">
        <f t="shared" si="122"/>
        <v>19310.400959492214</v>
      </c>
      <c r="L341" s="227">
        <f t="shared" si="136"/>
        <v>121330.82758442806</v>
      </c>
      <c r="M341" s="227">
        <f t="shared" si="124"/>
        <v>13928.671122830125</v>
      </c>
      <c r="N341" s="227">
        <f>SQRT((ABS(AC341)-171.5+'Small Signal'!C$59)^2)</f>
        <v>29.430263002458702</v>
      </c>
      <c r="O341" s="227">
        <f t="shared" si="137"/>
        <v>28.328996148854316</v>
      </c>
      <c r="P341" s="227">
        <f t="shared" si="138"/>
        <v>9.2708625894727668</v>
      </c>
      <c r="Q341" s="227">
        <f t="shared" si="121"/>
        <v>19310.400959492214</v>
      </c>
      <c r="R341" s="227" t="str">
        <f t="shared" si="125"/>
        <v>0.0878666666666667+0.570254889646812i</v>
      </c>
      <c r="S341" s="227" t="str">
        <f t="shared" si="126"/>
        <v>0.0085-0.315648323702201i</v>
      </c>
      <c r="T341" s="227" t="str">
        <f t="shared" si="127"/>
        <v>0.0160861904498644-0.315055885543513i</v>
      </c>
      <c r="U341" s="227" t="str">
        <f t="shared" si="128"/>
        <v>-3.1741007114768+1.94786725575271i</v>
      </c>
      <c r="V341" s="227">
        <f t="shared" si="139"/>
        <v>11.420483475842673</v>
      </c>
      <c r="W341" s="227">
        <f t="shared" si="140"/>
        <v>-211.53641316345721</v>
      </c>
      <c r="X341" s="227" t="str">
        <f t="shared" si="129"/>
        <v>0.997348326505128-0.0151641128876387i</v>
      </c>
      <c r="Y341" s="227" t="str">
        <f t="shared" si="130"/>
        <v>5.76177719797175-42.4742169913758i</v>
      </c>
      <c r="Z341" s="227" t="str">
        <f t="shared" si="131"/>
        <v>2.65711522566035-22.1055679128812i</v>
      </c>
      <c r="AA341" s="227" t="str">
        <f t="shared" si="132"/>
        <v>-0.850587550552748-0.980897744683396i</v>
      </c>
      <c r="AB341" s="227">
        <f t="shared" si="141"/>
        <v>2.2676986967139747</v>
      </c>
      <c r="AC341" s="227">
        <f t="shared" si="142"/>
        <v>-130.9302630024587</v>
      </c>
      <c r="AD341" s="229">
        <f t="shared" si="143"/>
        <v>-11.538561286186741</v>
      </c>
      <c r="AE341" s="229">
        <f t="shared" si="144"/>
        <v>159.25925915131302</v>
      </c>
      <c r="AF341" s="227">
        <f t="shared" si="133"/>
        <v>-9.2708625894727668</v>
      </c>
      <c r="AG341" s="227">
        <f t="shared" si="134"/>
        <v>28.328996148854316</v>
      </c>
      <c r="AH341" s="229" t="str">
        <f t="shared" si="135"/>
        <v>0.247726763415834-0.093809498007252i</v>
      </c>
    </row>
    <row r="342" spans="9:34" x14ac:dyDescent="0.2">
      <c r="I342" s="227">
        <v>338</v>
      </c>
      <c r="J342" s="227">
        <f t="shared" si="123"/>
        <v>4.2955414140527886</v>
      </c>
      <c r="K342" s="227">
        <f t="shared" si="122"/>
        <v>19748.831940685341</v>
      </c>
      <c r="L342" s="227">
        <f t="shared" si="136"/>
        <v>124085.57068367305</v>
      </c>
      <c r="M342" s="227">
        <f t="shared" si="124"/>
        <v>14377.056414432092</v>
      </c>
      <c r="N342" s="227">
        <f>SQRT((ABS(AC342)-171.5+'Small Signal'!C$59)^2)</f>
        <v>30.140189326471528</v>
      </c>
      <c r="O342" s="227">
        <f t="shared" si="137"/>
        <v>27.269042848186871</v>
      </c>
      <c r="P342" s="227">
        <f t="shared" si="138"/>
        <v>9.3914369664052888</v>
      </c>
      <c r="Q342" s="227">
        <f t="shared" si="121"/>
        <v>19748.831940685341</v>
      </c>
      <c r="R342" s="227" t="str">
        <f t="shared" si="125"/>
        <v>0.0878666666666667+0.583202182213263i</v>
      </c>
      <c r="S342" s="227" t="str">
        <f t="shared" si="126"/>
        <v>0.0085-0.3086408204388i</v>
      </c>
      <c r="T342" s="227" t="str">
        <f t="shared" si="127"/>
        <v>0.0157530399506255-0.308069384117013i</v>
      </c>
      <c r="U342" s="227" t="str">
        <f t="shared" si="128"/>
        <v>-3.03726081517398+1.92651517066448i</v>
      </c>
      <c r="V342" s="227">
        <f t="shared" si="139"/>
        <v>11.118139044415621</v>
      </c>
      <c r="W342" s="227">
        <f t="shared" si="140"/>
        <v>-212.38669573491779</v>
      </c>
      <c r="X342" s="227" t="str">
        <f t="shared" si="129"/>
        <v>0.997226550307403-0.0155084049044744i</v>
      </c>
      <c r="Y342" s="227" t="str">
        <f t="shared" si="130"/>
        <v>5.49807257667385-41.5172342711724i</v>
      </c>
      <c r="Z342" s="227" t="str">
        <f t="shared" si="131"/>
        <v>2.51991822862785-21.604805012271i</v>
      </c>
      <c r="AA342" s="227" t="str">
        <f t="shared" si="132"/>
        <v>-0.852818070003202-0.959196102699502i</v>
      </c>
      <c r="AB342" s="227">
        <f t="shared" si="141"/>
        <v>2.1678741561843413</v>
      </c>
      <c r="AC342" s="227">
        <f t="shared" si="142"/>
        <v>-131.64018932647153</v>
      </c>
      <c r="AD342" s="229">
        <f t="shared" si="143"/>
        <v>-11.55931112258963</v>
      </c>
      <c r="AE342" s="229">
        <f t="shared" si="144"/>
        <v>158.9092321746584</v>
      </c>
      <c r="AF342" s="227">
        <f t="shared" si="133"/>
        <v>-9.3914369664052888</v>
      </c>
      <c r="AG342" s="227">
        <f t="shared" si="134"/>
        <v>27.269042848186871</v>
      </c>
      <c r="AH342" s="229" t="str">
        <f t="shared" si="135"/>
        <v>0.246559337498117-0.0950936892387962i</v>
      </c>
    </row>
    <row r="343" spans="9:34" x14ac:dyDescent="0.2">
      <c r="I343" s="227">
        <v>339</v>
      </c>
      <c r="J343" s="227">
        <f t="shared" si="123"/>
        <v>4.3052915365795723</v>
      </c>
      <c r="K343" s="227">
        <f t="shared" si="122"/>
        <v>20197.217232287308</v>
      </c>
      <c r="L343" s="227">
        <f t="shared" si="136"/>
        <v>126902.85855982197</v>
      </c>
      <c r="M343" s="227">
        <f t="shared" si="124"/>
        <v>14835.62202304367</v>
      </c>
      <c r="N343" s="227">
        <f>SQRT((ABS(AC343)-171.5+'Small Signal'!C$59)^2)</f>
        <v>30.849251926117489</v>
      </c>
      <c r="O343" s="227">
        <f t="shared" si="137"/>
        <v>26.201945304130646</v>
      </c>
      <c r="P343" s="227">
        <f t="shared" si="138"/>
        <v>9.5106265597163393</v>
      </c>
      <c r="Q343" s="227">
        <f t="shared" si="121"/>
        <v>20197.217232287308</v>
      </c>
      <c r="R343" s="227" t="str">
        <f t="shared" si="125"/>
        <v>0.0878666666666667+0.596443435231163i</v>
      </c>
      <c r="S343" s="227" t="str">
        <f t="shared" si="126"/>
        <v>0.0085-0.301788886200478i</v>
      </c>
      <c r="T343" s="227" t="str">
        <f t="shared" si="127"/>
        <v>0.0154345014955549-0.301237474568245i</v>
      </c>
      <c r="U343" s="227" t="str">
        <f t="shared" si="128"/>
        <v>-2.90645824433021+1.90414677819763i</v>
      </c>
      <c r="V343" s="227">
        <f t="shared" si="139"/>
        <v>10.81825074179925</v>
      </c>
      <c r="W343" s="227">
        <f t="shared" si="140"/>
        <v>-213.23054576955468</v>
      </c>
      <c r="X343" s="227" t="str">
        <f t="shared" si="129"/>
        <v>0.997099181625399-0.0158605138634376i</v>
      </c>
      <c r="Y343" s="227" t="str">
        <f t="shared" si="130"/>
        <v>5.24687345192261-40.5822859926956i</v>
      </c>
      <c r="Z343" s="227" t="str">
        <f t="shared" si="131"/>
        <v>2.38922891665083-21.1155166892855i</v>
      </c>
      <c r="AA343" s="227" t="str">
        <f t="shared" si="132"/>
        <v>-0.854960820447663-0.937968645335079i</v>
      </c>
      <c r="AB343" s="227">
        <f t="shared" si="141"/>
        <v>2.0702630230302779</v>
      </c>
      <c r="AC343" s="227">
        <f t="shared" si="142"/>
        <v>-132.34925192611749</v>
      </c>
      <c r="AD343" s="229">
        <f t="shared" si="143"/>
        <v>-11.580889582746618</v>
      </c>
      <c r="AE343" s="229">
        <f t="shared" si="144"/>
        <v>158.55119723024814</v>
      </c>
      <c r="AF343" s="227">
        <f t="shared" si="133"/>
        <v>-9.5106265597163393</v>
      </c>
      <c r="AG343" s="227">
        <f t="shared" si="134"/>
        <v>26.201945304130646</v>
      </c>
      <c r="AH343" s="229" t="str">
        <f t="shared" si="135"/>
        <v>0.245350013863439-0.0963927769759657i</v>
      </c>
    </row>
    <row r="344" spans="9:34" x14ac:dyDescent="0.2">
      <c r="I344" s="227">
        <v>340</v>
      </c>
      <c r="J344" s="227">
        <f t="shared" si="123"/>
        <v>4.3150416591063561</v>
      </c>
      <c r="K344" s="227">
        <f t="shared" si="122"/>
        <v>20655.782840898886</v>
      </c>
      <c r="L344" s="227">
        <f t="shared" si="136"/>
        <v>129784.11125422809</v>
      </c>
      <c r="M344" s="227">
        <f t="shared" si="124"/>
        <v>15304.599086608814</v>
      </c>
      <c r="N344" s="227">
        <f>SQRT((ABS(AC344)-171.5+'Small Signal'!C$59)^2)</f>
        <v>31.557161006485842</v>
      </c>
      <c r="O344" s="227">
        <f t="shared" si="137"/>
        <v>25.127970617015194</v>
      </c>
      <c r="P344" s="227">
        <f t="shared" si="138"/>
        <v>9.6284570998611958</v>
      </c>
      <c r="Q344" s="227">
        <f t="shared" si="121"/>
        <v>20655.782840898886</v>
      </c>
      <c r="R344" s="227" t="str">
        <f t="shared" si="125"/>
        <v>0.0878666666666667+0.609985322894872i</v>
      </c>
      <c r="S344" s="227" t="str">
        <f t="shared" si="126"/>
        <v>0.0085-0.295089067300431i</v>
      </c>
      <c r="T344" s="227" t="str">
        <f t="shared" si="127"/>
        <v>0.015129934863795-0.294556758141221i</v>
      </c>
      <c r="U344" s="227" t="str">
        <f t="shared" si="128"/>
        <v>-2.7814267456645+1.88088857490719i</v>
      </c>
      <c r="V344" s="227">
        <f t="shared" si="139"/>
        <v>10.520809801909559</v>
      </c>
      <c r="W344" s="227">
        <f t="shared" si="140"/>
        <v>-214.06779891529291</v>
      </c>
      <c r="X344" s="227" t="str">
        <f t="shared" si="129"/>
        <v>0.9969659636283-0.0162206172434742i</v>
      </c>
      <c r="Y344" s="227" t="str">
        <f t="shared" si="130"/>
        <v>5.00755041971623-39.6688455018875i</v>
      </c>
      <c r="Z344" s="227" t="str">
        <f t="shared" si="131"/>
        <v>2.26471963363444-20.637426953797i</v>
      </c>
      <c r="AA344" s="227" t="str">
        <f t="shared" si="132"/>
        <v>-0.857020069370523-0.917205232910607i</v>
      </c>
      <c r="AB344" s="227">
        <f t="shared" si="141"/>
        <v>1.9748699569775339</v>
      </c>
      <c r="AC344" s="227">
        <f t="shared" si="142"/>
        <v>-133.05716100648584</v>
      </c>
      <c r="AD344" s="229">
        <f t="shared" si="143"/>
        <v>-11.603327056838729</v>
      </c>
      <c r="AE344" s="229">
        <f t="shared" si="144"/>
        <v>158.18513162350104</v>
      </c>
      <c r="AF344" s="227">
        <f t="shared" si="133"/>
        <v>-9.6284570998611958</v>
      </c>
      <c r="AG344" s="227">
        <f t="shared" si="134"/>
        <v>25.127970617015194</v>
      </c>
      <c r="AH344" s="229" t="str">
        <f t="shared" si="135"/>
        <v>0.244097781319043-0.0977056320701375i</v>
      </c>
    </row>
    <row r="345" spans="9:34" x14ac:dyDescent="0.2">
      <c r="I345" s="227">
        <v>341</v>
      </c>
      <c r="J345" s="227">
        <f t="shared" si="123"/>
        <v>4.3247917816331398</v>
      </c>
      <c r="K345" s="227">
        <f t="shared" si="122"/>
        <v>21124.75990446403</v>
      </c>
      <c r="L345" s="227">
        <f t="shared" si="136"/>
        <v>132730.78104942484</v>
      </c>
      <c r="M345" s="227">
        <f t="shared" si="124"/>
        <v>15784.223990918814</v>
      </c>
      <c r="N345" s="227">
        <f>SQRT((ABS(AC345)-171.5+'Small Signal'!C$59)^2)</f>
        <v>32.263626088859894</v>
      </c>
      <c r="O345" s="227">
        <f t="shared" si="137"/>
        <v>24.047391017097482</v>
      </c>
      <c r="P345" s="227">
        <f t="shared" si="138"/>
        <v>9.7449571503673837</v>
      </c>
      <c r="Q345" s="227">
        <f t="shared" si="121"/>
        <v>21124.75990446403</v>
      </c>
      <c r="R345" s="227" t="str">
        <f t="shared" si="125"/>
        <v>0.0878666666666667+0.623834670932297i</v>
      </c>
      <c r="S345" s="227" t="str">
        <f t="shared" si="126"/>
        <v>0.0085-0.288537986724908i</v>
      </c>
      <c r="T345" s="227" t="str">
        <f t="shared" si="127"/>
        <v>0.0148387278283167-0.288023909372749i</v>
      </c>
      <c r="U345" s="227" t="str">
        <f t="shared" si="128"/>
        <v>-2.66191168348002+1.8568567492103i</v>
      </c>
      <c r="V345" s="227">
        <f t="shared" si="139"/>
        <v>10.225805660806785</v>
      </c>
      <c r="W345" s="227">
        <f t="shared" si="140"/>
        <v>-214.89828338376108</v>
      </c>
      <c r="X345" s="227" t="str">
        <f t="shared" si="129"/>
        <v>0.996826627690516-0.0165888965530822i</v>
      </c>
      <c r="Y345" s="227" t="str">
        <f t="shared" si="130"/>
        <v>4.77950868629225-38.7763987127298i</v>
      </c>
      <c r="Z345" s="227" t="str">
        <f t="shared" si="131"/>
        <v>2.1460807508299-20.1702663940502i</v>
      </c>
      <c r="AA345" s="227" t="str">
        <f t="shared" si="132"/>
        <v>-0.858999920881399-0.896895920424778i</v>
      </c>
      <c r="AB345" s="227">
        <f t="shared" si="141"/>
        <v>1.8816974732211182</v>
      </c>
      <c r="AC345" s="227">
        <f t="shared" si="142"/>
        <v>-133.76362608885989</v>
      </c>
      <c r="AD345" s="229">
        <f t="shared" si="143"/>
        <v>-11.626654623588502</v>
      </c>
      <c r="AE345" s="229">
        <f t="shared" si="144"/>
        <v>157.81101710595738</v>
      </c>
      <c r="AF345" s="227">
        <f t="shared" si="133"/>
        <v>-9.7449571503673837</v>
      </c>
      <c r="AG345" s="227">
        <f t="shared" si="134"/>
        <v>24.047391017097482</v>
      </c>
      <c r="AH345" s="229" t="str">
        <f t="shared" si="135"/>
        <v>0.242801645214485-0.0990310580021273i</v>
      </c>
    </row>
    <row r="346" spans="9:34" x14ac:dyDescent="0.2">
      <c r="I346" s="227">
        <v>342</v>
      </c>
      <c r="J346" s="227">
        <f t="shared" si="123"/>
        <v>4.3345419041599236</v>
      </c>
      <c r="K346" s="227">
        <f t="shared" si="122"/>
        <v>21604.38480877403</v>
      </c>
      <c r="L346" s="227">
        <f t="shared" si="136"/>
        <v>135744.35320114283</v>
      </c>
      <c r="M346" s="227">
        <f t="shared" si="124"/>
        <v>16274.738488761377</v>
      </c>
      <c r="N346" s="227">
        <f>SQRT((ABS(AC346)-171.5+'Small Signal'!C$59)^2)</f>
        <v>32.968356847632151</v>
      </c>
      <c r="O346" s="227">
        <f t="shared" si="137"/>
        <v>22.960483365752111</v>
      </c>
      <c r="P346" s="227">
        <f t="shared" si="138"/>
        <v>9.8601580870041374</v>
      </c>
      <c r="Q346" s="227">
        <f t="shared" si="121"/>
        <v>21604.38480877403</v>
      </c>
      <c r="R346" s="227" t="str">
        <f t="shared" si="125"/>
        <v>0.0878666666666667+0.637998460045371i</v>
      </c>
      <c r="S346" s="227" t="str">
        <f t="shared" si="126"/>
        <v>0.0085-0.282132342431045i</v>
      </c>
      <c r="T346" s="227" t="str">
        <f t="shared" si="127"/>
        <v>0.0145602949367939-0.28163567460561i</v>
      </c>
      <c r="U346" s="227" t="str">
        <f t="shared" si="128"/>
        <v>-2.5476695587756+1.83215797628172i</v>
      </c>
      <c r="V346" s="227">
        <f t="shared" si="139"/>
        <v>9.9332259497040489</v>
      </c>
      <c r="W346" s="227">
        <f t="shared" si="140"/>
        <v>-215.7218211061537</v>
      </c>
      <c r="X346" s="227" t="str">
        <f t="shared" si="129"/>
        <v>0.996680892850022-0.0169655374218004i</v>
      </c>
      <c r="Y346" s="227" t="str">
        <f t="shared" si="130"/>
        <v>4.56218594214054-37.9044439501994i</v>
      </c>
      <c r="Z346" s="227" t="str">
        <f t="shared" si="131"/>
        <v>2.03301955871541-19.7137720917377i</v>
      </c>
      <c r="AA346" s="227" t="str">
        <f t="shared" si="132"/>
        <v>-0.860904323606187-0.877030954852363i</v>
      </c>
      <c r="AB346" s="227">
        <f t="shared" si="141"/>
        <v>1.7907459510042214</v>
      </c>
      <c r="AC346" s="227">
        <f t="shared" si="142"/>
        <v>-134.46835684763215</v>
      </c>
      <c r="AD346" s="229">
        <f t="shared" si="143"/>
        <v>-11.65090403800836</v>
      </c>
      <c r="AE346" s="229">
        <f t="shared" si="144"/>
        <v>157.42884021338426</v>
      </c>
      <c r="AF346" s="227">
        <f t="shared" si="133"/>
        <v>-9.8601580870041374</v>
      </c>
      <c r="AG346" s="227">
        <f t="shared" si="134"/>
        <v>22.960483365752111</v>
      </c>
      <c r="AH346" s="229" t="str">
        <f t="shared" si="135"/>
        <v>0.241460631541871-0.10036778942062i</v>
      </c>
    </row>
    <row r="347" spans="9:34" x14ac:dyDescent="0.2">
      <c r="I347" s="227">
        <v>343</v>
      </c>
      <c r="J347" s="227">
        <f t="shared" si="123"/>
        <v>4.3442920266867064</v>
      </c>
      <c r="K347" s="227">
        <f t="shared" si="122"/>
        <v>22094.899306616593</v>
      </c>
      <c r="L347" s="227">
        <f t="shared" si="136"/>
        <v>138826.34668694579</v>
      </c>
      <c r="M347" s="227">
        <f t="shared" si="124"/>
        <v>16776.389821775334</v>
      </c>
      <c r="N347" s="227">
        <f>SQRT((ABS(AC347)-171.5+'Small Signal'!C$59)^2)</f>
        <v>33.671063943784844</v>
      </c>
      <c r="O347" s="227">
        <f t="shared" si="137"/>
        <v>21.867528666009974</v>
      </c>
      <c r="P347" s="227">
        <f t="shared" si="138"/>
        <v>9.9740940649355743</v>
      </c>
      <c r="Q347" s="227">
        <f t="shared" si="121"/>
        <v>22094.899306616593</v>
      </c>
      <c r="R347" s="227" t="str">
        <f t="shared" si="125"/>
        <v>0.0878666666666667+0.652483829428645i</v>
      </c>
      <c r="S347" s="227" t="str">
        <f t="shared" si="126"/>
        <v>0.0085-0.275868905682489i</v>
      </c>
      <c r="T347" s="227" t="str">
        <f t="shared" si="127"/>
        <v>0.0142940763451477-0.275388870525656i</v>
      </c>
      <c r="U347" s="227" t="str">
        <f t="shared" si="128"/>
        <v>-2.43846754388995+1.80689015023313i</v>
      </c>
      <c r="V347" s="227">
        <f t="shared" si="139"/>
        <v>9.6430564965783887</v>
      </c>
      <c r="W347" s="227">
        <f t="shared" si="140"/>
        <v>-216.53822886377415</v>
      </c>
      <c r="X347" s="227" t="str">
        <f t="shared" si="129"/>
        <v>0.996528465241817-0.017350729693774i</v>
      </c>
      <c r="Y347" s="227" t="str">
        <f t="shared" si="130"/>
        <v>4.35505038196007-37.0524917678803i</v>
      </c>
      <c r="Z347" s="227" t="str">
        <f t="shared" si="131"/>
        <v>1.92525923500394-19.2676875240447i</v>
      </c>
      <c r="AA347" s="227" t="str">
        <f t="shared" si="132"/>
        <v>-0.862737078301073-0.857600772375778i</v>
      </c>
      <c r="AB347" s="227">
        <f t="shared" si="141"/>
        <v>1.7020136511951798</v>
      </c>
      <c r="AC347" s="227">
        <f t="shared" si="142"/>
        <v>-135.17106394378484</v>
      </c>
      <c r="AD347" s="229">
        <f t="shared" si="143"/>
        <v>-11.676107716130755</v>
      </c>
      <c r="AE347" s="229">
        <f t="shared" si="144"/>
        <v>157.03859260979482</v>
      </c>
      <c r="AF347" s="227">
        <f t="shared" si="133"/>
        <v>-9.9740940649355743</v>
      </c>
      <c r="AG347" s="227">
        <f t="shared" si="134"/>
        <v>21.867528666009974</v>
      </c>
      <c r="AH347" s="229" t="str">
        <f t="shared" si="135"/>
        <v>0.240073791279051-0.101714490887132i</v>
      </c>
    </row>
    <row r="348" spans="9:34" x14ac:dyDescent="0.2">
      <c r="I348" s="227">
        <v>344</v>
      </c>
      <c r="J348" s="227">
        <f t="shared" si="123"/>
        <v>4.3540421492134893</v>
      </c>
      <c r="K348" s="227">
        <f t="shared" si="122"/>
        <v>22596.55063963055</v>
      </c>
      <c r="L348" s="227">
        <f t="shared" si="136"/>
        <v>141978.31497186614</v>
      </c>
      <c r="M348" s="227">
        <f t="shared" si="124"/>
        <v>17289.430845071347</v>
      </c>
      <c r="N348" s="227">
        <f>SQRT((ABS(AC348)-171.5+'Small Signal'!C$59)^2)</f>
        <v>34.37145985001996</v>
      </c>
      <c r="O348" s="227">
        <f t="shared" si="137"/>
        <v>20.768811586343077</v>
      </c>
      <c r="P348" s="227">
        <f t="shared" si="138"/>
        <v>10.086801973770655</v>
      </c>
      <c r="Q348" s="227">
        <f t="shared" si="121"/>
        <v>22596.55063963055</v>
      </c>
      <c r="R348" s="227" t="str">
        <f t="shared" si="125"/>
        <v>0.0878666666666667+0.667298080367771i</v>
      </c>
      <c r="S348" s="227" t="str">
        <f t="shared" si="126"/>
        <v>0.0085-0.269744519421959i</v>
      </c>
      <c r="T348" s="227" t="str">
        <f t="shared" si="127"/>
        <v>0.0140395367015218-0.269280382722864i</v>
      </c>
      <c r="U348" s="227" t="str">
        <f t="shared" si="128"/>
        <v>-2.33408303289263+1.78114305876264i</v>
      </c>
      <c r="V348" s="227">
        <f t="shared" si="139"/>
        <v>9.3552813363751355</v>
      </c>
      <c r="W348" s="227">
        <f t="shared" si="140"/>
        <v>-217.34731938972718</v>
      </c>
      <c r="X348" s="227" t="str">
        <f t="shared" si="129"/>
        <v>0.996369037505355-0.0177446675234449i</v>
      </c>
      <c r="Y348" s="227" t="str">
        <f t="shared" si="130"/>
        <v>4.15759885963617-36.2200647451543i</v>
      </c>
      <c r="Z348" s="227" t="str">
        <f t="shared" si="131"/>
        <v>1.82253788307556-18.8317624552147i</v>
      </c>
      <c r="AA348" s="227" t="str">
        <f t="shared" si="132"/>
        <v>-0.864501845202453-0.838595995558128i</v>
      </c>
      <c r="AB348" s="227">
        <f t="shared" si="141"/>
        <v>1.6154967427816844</v>
      </c>
      <c r="AC348" s="227">
        <f t="shared" si="142"/>
        <v>-135.87145985001996</v>
      </c>
      <c r="AD348" s="229">
        <f t="shared" si="143"/>
        <v>-11.702298716552338</v>
      </c>
      <c r="AE348" s="229">
        <f t="shared" si="144"/>
        <v>156.64027143636304</v>
      </c>
      <c r="AF348" s="227">
        <f t="shared" si="133"/>
        <v>-10.086801973770655</v>
      </c>
      <c r="AG348" s="227">
        <f t="shared" si="134"/>
        <v>20.768811586343077</v>
      </c>
      <c r="AH348" s="229" t="str">
        <f t="shared" si="135"/>
        <v>0.238640204971131-0.10306975585455i</v>
      </c>
    </row>
    <row r="349" spans="9:34" x14ac:dyDescent="0.2">
      <c r="I349" s="227">
        <v>345</v>
      </c>
      <c r="J349" s="227">
        <f t="shared" si="123"/>
        <v>4.3637922717402731</v>
      </c>
      <c r="K349" s="227">
        <f t="shared" si="122"/>
        <v>23109.591662926563</v>
      </c>
      <c r="L349" s="227">
        <f t="shared" si="136"/>
        <v>145201.84679142004</v>
      </c>
      <c r="M349" s="227">
        <f t="shared" si="124"/>
        <v>17814.120154682445</v>
      </c>
      <c r="N349" s="227">
        <f>SQRT((ABS(AC349)-171.5+'Small Signal'!C$59)^2)</f>
        <v>35.069259662708248</v>
      </c>
      <c r="O349" s="227">
        <f t="shared" si="137"/>
        <v>19.664620001380456</v>
      </c>
      <c r="P349" s="227">
        <f t="shared" si="138"/>
        <v>10.198321380501268</v>
      </c>
      <c r="Q349" s="227">
        <f t="shared" si="121"/>
        <v>23109.591662926563</v>
      </c>
      <c r="R349" s="227" t="str">
        <f t="shared" si="125"/>
        <v>0.0878666666666667+0.682448679919674i</v>
      </c>
      <c r="S349" s="227" t="str">
        <f t="shared" si="126"/>
        <v>0.0085-0.263756096679953i</v>
      </c>
      <c r="T349" s="227" t="str">
        <f t="shared" si="127"/>
        <v>0.0137961640785428-0.263307164276401i</v>
      </c>
      <c r="U349" s="227" t="str">
        <f t="shared" si="128"/>
        <v>-2.23430320779307+1.75499900501077i</v>
      </c>
      <c r="V349" s="227">
        <f t="shared" si="139"/>
        <v>9.069882729713747</v>
      </c>
      <c r="W349" s="227">
        <f t="shared" si="140"/>
        <v>-218.14890243822308</v>
      </c>
      <c r="X349" s="227" t="str">
        <f t="shared" si="129"/>
        <v>0.996202288164784-0.0181475494734143i</v>
      </c>
      <c r="Y349" s="227" t="str">
        <f t="shared" si="130"/>
        <v>3.96935516817332-35.4066972682153i</v>
      </c>
      <c r="Z349" s="227" t="str">
        <f t="shared" si="131"/>
        <v>1.7246076355806-18.4057528198355i</v>
      </c>
      <c r="AA349" s="227" t="str">
        <f t="shared" si="132"/>
        <v>-0.866202151124987-0.820007430464907i</v>
      </c>
      <c r="AB349" s="227">
        <f t="shared" si="141"/>
        <v>1.5311893381260995</v>
      </c>
      <c r="AC349" s="227">
        <f t="shared" si="142"/>
        <v>-136.56925966270825</v>
      </c>
      <c r="AD349" s="229">
        <f t="shared" si="143"/>
        <v>-11.729510718627367</v>
      </c>
      <c r="AE349" s="229">
        <f t="shared" si="144"/>
        <v>156.2338796640887</v>
      </c>
      <c r="AF349" s="227">
        <f t="shared" si="133"/>
        <v>-10.198321380501268</v>
      </c>
      <c r="AG349" s="227">
        <f t="shared" si="134"/>
        <v>19.664620001380456</v>
      </c>
      <c r="AH349" s="229" t="str">
        <f t="shared" si="135"/>
        <v>0.237158987543148-0.104432105907243i</v>
      </c>
    </row>
    <row r="350" spans="9:34" x14ac:dyDescent="0.2">
      <c r="I350" s="227">
        <v>346</v>
      </c>
      <c r="J350" s="227">
        <f t="shared" si="123"/>
        <v>4.3735423942670568</v>
      </c>
      <c r="K350" s="227">
        <f t="shared" si="122"/>
        <v>23634.280972537661</v>
      </c>
      <c r="L350" s="227">
        <f t="shared" si="136"/>
        <v>148498.5669524027</v>
      </c>
      <c r="M350" s="227">
        <f t="shared" si="124"/>
        <v>18350.722217908387</v>
      </c>
      <c r="N350" s="227">
        <f>SQRT((ABS(AC350)-171.5+'Small Signal'!C$59)^2)</f>
        <v>35.764181895994</v>
      </c>
      <c r="O350" s="227">
        <f t="shared" si="137"/>
        <v>18.555244552941929</v>
      </c>
      <c r="P350" s="227">
        <f t="shared" si="138"/>
        <v>10.3086944603983</v>
      </c>
      <c r="Q350" s="227">
        <f t="shared" si="121"/>
        <v>23634.280972537661</v>
      </c>
      <c r="R350" s="227" t="str">
        <f t="shared" si="125"/>
        <v>0.0878666666666667+0.697943264676293i</v>
      </c>
      <c r="S350" s="227" t="str">
        <f t="shared" si="126"/>
        <v>0.0085-0.257900619018774i</v>
      </c>
      <c r="T350" s="227" t="str">
        <f t="shared" si="127"/>
        <v>0.0135634689518054-0.257466234363643i</v>
      </c>
      <c r="U350" s="227" t="str">
        <f t="shared" si="128"/>
        <v>-2.13892462051997+1.72853338094864i</v>
      </c>
      <c r="V350" s="227">
        <f t="shared" si="139"/>
        <v>8.786841189917773</v>
      </c>
      <c r="W350" s="227">
        <f t="shared" si="140"/>
        <v>-218.94278581801618</v>
      </c>
      <c r="X350" s="227" t="str">
        <f t="shared" si="129"/>
        <v>0.996027880980701-0.0185595786145269i</v>
      </c>
      <c r="Y350" s="227" t="str">
        <f t="shared" si="130"/>
        <v>3.78986843530454-34.6119352985297i</v>
      </c>
      <c r="Z350" s="227" t="str">
        <f t="shared" si="131"/>
        <v>1.63123381837038-17.9894205997234i</v>
      </c>
      <c r="AA350" s="227" t="str">
        <f t="shared" si="132"/>
        <v>-0.867841396319787-0.801826063740607i</v>
      </c>
      <c r="AB350" s="227">
        <f t="shared" si="141"/>
        <v>1.4490835367530233</v>
      </c>
      <c r="AC350" s="227">
        <f t="shared" si="142"/>
        <v>-137.264181895994</v>
      </c>
      <c r="AD350" s="229">
        <f t="shared" si="143"/>
        <v>-11.757777997151322</v>
      </c>
      <c r="AE350" s="229">
        <f t="shared" si="144"/>
        <v>155.81942644893593</v>
      </c>
      <c r="AF350" s="227">
        <f t="shared" si="133"/>
        <v>-10.3086944603983</v>
      </c>
      <c r="AG350" s="227">
        <f t="shared" si="134"/>
        <v>18.555244552941929</v>
      </c>
      <c r="AH350" s="229" t="str">
        <f t="shared" si="135"/>
        <v>0.235629293333969-0.105799990291481i</v>
      </c>
    </row>
    <row r="351" spans="9:34" x14ac:dyDescent="0.2">
      <c r="I351" s="227">
        <v>347</v>
      </c>
      <c r="J351" s="227">
        <f t="shared" si="123"/>
        <v>4.3832925167938397</v>
      </c>
      <c r="K351" s="227">
        <f t="shared" si="122"/>
        <v>24170.883035763603</v>
      </c>
      <c r="L351" s="227">
        <f t="shared" si="136"/>
        <v>151870.13715186619</v>
      </c>
      <c r="M351" s="227">
        <f t="shared" si="124"/>
        <v>18899.50750661912</v>
      </c>
      <c r="N351" s="227">
        <f>SQRT((ABS(AC351)-171.5+'Small Signal'!C$59)^2)</f>
        <v>36.455949253600579</v>
      </c>
      <c r="O351" s="227">
        <f t="shared" si="137"/>
        <v>17.440978234427348</v>
      </c>
      <c r="P351" s="227">
        <f t="shared" si="138"/>
        <v>10.417965916010498</v>
      </c>
      <c r="Q351" s="227">
        <f t="shared" si="121"/>
        <v>24170.883035763603</v>
      </c>
      <c r="R351" s="227" t="str">
        <f t="shared" si="125"/>
        <v>0.0878666666666667+0.713789644613771i</v>
      </c>
      <c r="S351" s="227" t="str">
        <f t="shared" si="126"/>
        <v>0.0085-0.252175135011096i</v>
      </c>
      <c r="T351" s="227" t="str">
        <f t="shared" si="127"/>
        <v>0.0133409832226101-0.251754676893122i</v>
      </c>
      <c r="U351" s="227" t="str">
        <f t="shared" si="128"/>
        <v>-2.04775279052782+1.70181519625206i</v>
      </c>
      <c r="V351" s="227">
        <f t="shared" si="139"/>
        <v>8.5061355181170697</v>
      </c>
      <c r="W351" s="227">
        <f t="shared" si="140"/>
        <v>-219.72877638663061</v>
      </c>
      <c r="X351" s="227" t="str">
        <f t="shared" si="129"/>
        <v>0.995845464272152-0.0189809626282285i</v>
      </c>
      <c r="Y351" s="227" t="str">
        <f t="shared" si="130"/>
        <v>3.61871162622634-33.8353361318466i</v>
      </c>
      <c r="Z351" s="227" t="str">
        <f t="shared" si="131"/>
        <v>1.54219417029271-17.5825336960111i</v>
      </c>
      <c r="AA351" s="227" t="str">
        <f t="shared" si="132"/>
        <v>-0.869422861104722-0.784043059646207i</v>
      </c>
      <c r="AB351" s="227">
        <f t="shared" si="141"/>
        <v>1.3691694773754979</v>
      </c>
      <c r="AC351" s="227">
        <f t="shared" si="142"/>
        <v>-137.95594925360058</v>
      </c>
      <c r="AD351" s="229">
        <f t="shared" si="143"/>
        <v>-11.787135393385997</v>
      </c>
      <c r="AE351" s="229">
        <f t="shared" si="144"/>
        <v>155.39692748802793</v>
      </c>
      <c r="AF351" s="227">
        <f t="shared" si="133"/>
        <v>-10.417965916010498</v>
      </c>
      <c r="AG351" s="227">
        <f t="shared" si="134"/>
        <v>17.440978234427348</v>
      </c>
      <c r="AH351" s="229" t="str">
        <f t="shared" si="135"/>
        <v>0.234050321338398-0.107171785765397i</v>
      </c>
    </row>
    <row r="352" spans="9:34" x14ac:dyDescent="0.2">
      <c r="I352" s="227">
        <v>348</v>
      </c>
      <c r="J352" s="227">
        <f t="shared" si="123"/>
        <v>4.3930426393206234</v>
      </c>
      <c r="K352" s="227">
        <f t="shared" si="122"/>
        <v>24719.668324474336</v>
      </c>
      <c r="L352" s="227">
        <f t="shared" si="136"/>
        <v>155318.25681468978</v>
      </c>
      <c r="M352" s="227">
        <f t="shared" si="124"/>
        <v>19460.752633584732</v>
      </c>
      <c r="N352" s="227">
        <f>SQRT((ABS(AC352)-171.5+'Small Signal'!C$59)^2)</f>
        <v>37.144289374141039</v>
      </c>
      <c r="O352" s="227">
        <f t="shared" si="137"/>
        <v>16.322116001211555</v>
      </c>
      <c r="P352" s="227">
        <f t="shared" si="138"/>
        <v>10.526182884483278</v>
      </c>
      <c r="Q352" s="227">
        <f t="shared" si="121"/>
        <v>24719.668324474336</v>
      </c>
      <c r="R352" s="227" t="str">
        <f t="shared" si="125"/>
        <v>0.0878666666666667+0.729995807029042i</v>
      </c>
      <c r="S352" s="227" t="str">
        <f t="shared" si="126"/>
        <v>0.0085-0.246576758752313i</v>
      </c>
      <c r="T352" s="227" t="str">
        <f t="shared" si="127"/>
        <v>0.0131282592830616-0.24616963916131i</v>
      </c>
      <c r="U352" s="227" t="str">
        <f t="shared" si="128"/>
        <v>-1.96060181780994+1.67490756627513i</v>
      </c>
      <c r="V352" s="227">
        <f t="shared" si="139"/>
        <v>8.227742846098165</v>
      </c>
      <c r="W352" s="227">
        <f t="shared" si="140"/>
        <v>-220.50668100219124</v>
      </c>
      <c r="X352" s="227" t="str">
        <f t="shared" si="129"/>
        <v>0.995654670207488-0.0194119139112465i</v>
      </c>
      <c r="Y352" s="227" t="str">
        <f t="shared" si="130"/>
        <v>3.45548014557792-33.0764681504025i</v>
      </c>
      <c r="Z352" s="227" t="str">
        <f t="shared" si="131"/>
        <v>1.4572781147391-17.1848657978084i</v>
      </c>
      <c r="AA352" s="227" t="str">
        <f t="shared" si="132"/>
        <v>-0.870949712278435-0.766649757062669i</v>
      </c>
      <c r="AB352" s="227">
        <f t="shared" si="141"/>
        <v>1.291435397800885</v>
      </c>
      <c r="AC352" s="227">
        <f t="shared" si="142"/>
        <v>-138.64428937414104</v>
      </c>
      <c r="AD352" s="229">
        <f t="shared" si="143"/>
        <v>-11.817618282284164</v>
      </c>
      <c r="AE352" s="229">
        <f t="shared" si="144"/>
        <v>154.96640537535259</v>
      </c>
      <c r="AF352" s="227">
        <f t="shared" si="133"/>
        <v>-10.526182884483278</v>
      </c>
      <c r="AG352" s="227">
        <f t="shared" si="134"/>
        <v>16.322116001211555</v>
      </c>
      <c r="AH352" s="229" t="str">
        <f t="shared" si="135"/>
        <v>0.232421320641353-0.108545796797965i</v>
      </c>
    </row>
    <row r="353" spans="9:34" x14ac:dyDescent="0.2">
      <c r="I353" s="227">
        <v>349</v>
      </c>
      <c r="J353" s="227">
        <f t="shared" si="123"/>
        <v>4.4027927618474063</v>
      </c>
      <c r="K353" s="227">
        <f t="shared" si="122"/>
        <v>25280.913451439948</v>
      </c>
      <c r="L353" s="227">
        <f t="shared" si="136"/>
        <v>158844.66395016626</v>
      </c>
      <c r="M353" s="227">
        <f t="shared" si="124"/>
        <v>20034.740491901357</v>
      </c>
      <c r="N353" s="227">
        <f>SQRT((ABS(AC353)-171.5+'Small Signal'!C$59)^2)</f>
        <v>37.828935546026401</v>
      </c>
      <c r="O353" s="227">
        <f t="shared" si="137"/>
        <v>15.198954409263337</v>
      </c>
      <c r="P353" s="227">
        <f t="shared" si="138"/>
        <v>10.633394833487618</v>
      </c>
      <c r="Q353" s="227">
        <f t="shared" si="121"/>
        <v>25280.913451439948</v>
      </c>
      <c r="R353" s="227" t="str">
        <f t="shared" si="125"/>
        <v>0.0878666666666667+0.746569920565781i</v>
      </c>
      <c r="S353" s="227" t="str">
        <f t="shared" si="126"/>
        <v>0.0085-0.241102668405912i</v>
      </c>
      <c r="T353" s="227" t="str">
        <f t="shared" si="127"/>
        <v>0.0129248691217146-0.240708330533139i</v>
      </c>
      <c r="U353" s="227" t="str">
        <f t="shared" si="128"/>
        <v>-1.87729401103526+1.64786816242757i</v>
      </c>
      <c r="V353" s="227">
        <f t="shared" si="139"/>
        <v>7.9516386865117195</v>
      </c>
      <c r="W353" s="227">
        <f t="shared" si="140"/>
        <v>-221.27630742989965</v>
      </c>
      <c r="X353" s="227" t="str">
        <f t="shared" si="129"/>
        <v>0.995455114062655-0.0198526496826475i</v>
      </c>
      <c r="Y353" s="227" t="str">
        <f t="shared" si="130"/>
        <v>3.29979053139979-32.3349105705671i</v>
      </c>
      <c r="Z353" s="227" t="str">
        <f t="shared" si="131"/>
        <v>1.37628607915266-16.7961962485975i</v>
      </c>
      <c r="AA353" s="227" t="str">
        <f t="shared" si="132"/>
        <v>-0.872425009329192-0.749637666465232i</v>
      </c>
      <c r="AB353" s="227">
        <f t="shared" si="141"/>
        <v>1.2158677022992601</v>
      </c>
      <c r="AC353" s="227">
        <f t="shared" si="142"/>
        <v>-139.3289355460264</v>
      </c>
      <c r="AD353" s="229">
        <f t="shared" si="143"/>
        <v>-11.849262535786877</v>
      </c>
      <c r="AE353" s="229">
        <f t="shared" si="144"/>
        <v>154.52788995528974</v>
      </c>
      <c r="AF353" s="227">
        <f t="shared" si="133"/>
        <v>-10.633394833487618</v>
      </c>
      <c r="AG353" s="227">
        <f t="shared" si="134"/>
        <v>15.198954409263337</v>
      </c>
      <c r="AH353" s="229" t="str">
        <f t="shared" si="135"/>
        <v>0.230741596024493-0.109920256146376i</v>
      </c>
    </row>
    <row r="354" spans="9:34" x14ac:dyDescent="0.2">
      <c r="I354" s="227">
        <v>350</v>
      </c>
      <c r="J354" s="227">
        <f t="shared" si="123"/>
        <v>4.4125428843741901</v>
      </c>
      <c r="K354" s="227">
        <f t="shared" si="122"/>
        <v>25854.901309756573</v>
      </c>
      <c r="L354" s="227">
        <f t="shared" si="136"/>
        <v>162451.13602804075</v>
      </c>
      <c r="M354" s="227">
        <f t="shared" si="124"/>
        <v>20621.760397581609</v>
      </c>
      <c r="N354" s="227">
        <f>SQRT((ABS(AC354)-171.5+'Small Signal'!C$59)^2)</f>
        <v>38.509627388429664</v>
      </c>
      <c r="O354" s="227">
        <f t="shared" si="137"/>
        <v>14.071791283705693</v>
      </c>
      <c r="P354" s="227">
        <f t="shared" si="138"/>
        <v>10.739653446115561</v>
      </c>
      <c r="Q354" s="227">
        <f t="shared" si="121"/>
        <v>25854.901309756573</v>
      </c>
      <c r="R354" s="227" t="str">
        <f t="shared" si="125"/>
        <v>0.0878666666666667+0.763520339331792i</v>
      </c>
      <c r="S354" s="227" t="str">
        <f t="shared" si="126"/>
        <v>0.0085-0.235750104781138i</v>
      </c>
      <c r="T354" s="227" t="str">
        <f t="shared" si="127"/>
        <v>0.0127304034680299-0.235368021146113i</v>
      </c>
      <c r="U354" s="227" t="str">
        <f t="shared" si="128"/>
        <v>-1.79765953047759+1.6207496279794i</v>
      </c>
      <c r="V354" s="227">
        <f t="shared" si="139"/>
        <v>7.6777969899893028</v>
      </c>
      <c r="W354" s="227">
        <f t="shared" si="140"/>
        <v>-222.03746520047576</v>
      </c>
      <c r="X354" s="227" t="str">
        <f t="shared" si="129"/>
        <v>0.995246393445424-0.0203033920933258i</v>
      </c>
      <c r="Y354" s="227" t="str">
        <f t="shared" si="130"/>
        <v>3.15127923437504-31.6102531878363i</v>
      </c>
      <c r="Z354" s="227" t="str">
        <f t="shared" si="131"/>
        <v>1.2990288590021-16.4163099113475i</v>
      </c>
      <c r="AA354" s="227" t="str">
        <f t="shared" si="132"/>
        <v>-0.873851710449916-0.732998466872436i</v>
      </c>
      <c r="AB354" s="227">
        <f t="shared" si="141"/>
        <v>1.1424510359659839</v>
      </c>
      <c r="AC354" s="227">
        <f t="shared" si="142"/>
        <v>-140.00962738842966</v>
      </c>
      <c r="AD354" s="229">
        <f t="shared" si="143"/>
        <v>-11.882104482081544</v>
      </c>
      <c r="AE354" s="229">
        <f t="shared" si="144"/>
        <v>154.08141867213536</v>
      </c>
      <c r="AF354" s="227">
        <f t="shared" si="133"/>
        <v>-10.739653446115561</v>
      </c>
      <c r="AG354" s="227">
        <f t="shared" si="134"/>
        <v>14.071791283705693</v>
      </c>
      <c r="AH354" s="229" t="str">
        <f t="shared" si="135"/>
        <v>0.229010513722086-0.111293325840758i</v>
      </c>
    </row>
    <row r="355" spans="9:34" x14ac:dyDescent="0.2">
      <c r="I355" s="227">
        <v>351</v>
      </c>
      <c r="J355" s="227">
        <f t="shared" si="123"/>
        <v>4.4222930069009738</v>
      </c>
      <c r="K355" s="227">
        <f t="shared" si="122"/>
        <v>26441.921215436825</v>
      </c>
      <c r="L355" s="227">
        <f t="shared" si="136"/>
        <v>166139.49087443284</v>
      </c>
      <c r="M355" s="227">
        <f t="shared" si="124"/>
        <v>21222.108235383326</v>
      </c>
      <c r="N355" s="227">
        <f>SQRT((ABS(AC355)-171.5+'Small Signal'!C$59)^2)</f>
        <v>39.18611149510869</v>
      </c>
      <c r="O355" s="227">
        <f t="shared" si="137"/>
        <v>12.940925418561307</v>
      </c>
      <c r="P355" s="227">
        <f t="shared" si="138"/>
        <v>10.845012495157642</v>
      </c>
      <c r="Q355" s="227">
        <f t="shared" si="121"/>
        <v>26441.921215436825</v>
      </c>
      <c r="R355" s="227" t="str">
        <f t="shared" si="125"/>
        <v>0.0878666666666667+0.780855607109834i</v>
      </c>
      <c r="S355" s="227" t="str">
        <f t="shared" si="126"/>
        <v>0.0085-0.230516369942236i</v>
      </c>
      <c r="T355" s="227" t="str">
        <f t="shared" si="127"/>
        <v>0.012544470973976-0.230146040637867i</v>
      </c>
      <c r="U355" s="227" t="str">
        <f t="shared" si="128"/>
        <v>-1.7215360453692+1.59359996205942i</v>
      </c>
      <c r="V355" s="227">
        <f t="shared" si="139"/>
        <v>7.4061902086702611</v>
      </c>
      <c r="W355" s="227">
        <f t="shared" si="140"/>
        <v>-222.78996641816829</v>
      </c>
      <c r="X355" s="227" t="str">
        <f t="shared" si="129"/>
        <v>0.995028087483994-0.0207643683379776i</v>
      </c>
      <c r="Y355" s="227" t="str">
        <f t="shared" si="130"/>
        <v>3.00960147617906-30.9020961207783i</v>
      </c>
      <c r="Z355" s="227" t="str">
        <f t="shared" si="131"/>
        <v>1.22532702300055-16.0449970331763i</v>
      </c>
      <c r="AA355" s="227" t="str">
        <f t="shared" si="132"/>
        <v>-0.875232678370346-0.716724002773885i</v>
      </c>
      <c r="AB355" s="227">
        <f t="shared" si="141"/>
        <v>1.0711683655667863</v>
      </c>
      <c r="AC355" s="227">
        <f t="shared" si="142"/>
        <v>-140.68611149510869</v>
      </c>
      <c r="AD355" s="229">
        <f t="shared" si="143"/>
        <v>-11.916180860724428</v>
      </c>
      <c r="AE355" s="229">
        <f t="shared" si="144"/>
        <v>153.62703691367</v>
      </c>
      <c r="AF355" s="227">
        <f t="shared" si="133"/>
        <v>-10.845012495157642</v>
      </c>
      <c r="AG355" s="227">
        <f t="shared" si="134"/>
        <v>12.940925418561307</v>
      </c>
      <c r="AH355" s="229" t="str">
        <f t="shared" si="135"/>
        <v>0.227227507299261-0.11266309860435i</v>
      </c>
    </row>
    <row r="356" spans="9:34" x14ac:dyDescent="0.2">
      <c r="I356" s="227">
        <v>352</v>
      </c>
      <c r="J356" s="227">
        <f t="shared" si="123"/>
        <v>4.4320431294277567</v>
      </c>
      <c r="K356" s="227">
        <f t="shared" si="122"/>
        <v>27042.269053238542</v>
      </c>
      <c r="L356" s="227">
        <f t="shared" si="136"/>
        <v>169911.58758810564</v>
      </c>
      <c r="M356" s="227">
        <f t="shared" si="124"/>
        <v>21836.086607948964</v>
      </c>
      <c r="N356" s="227">
        <f>SQRT((ABS(AC356)-171.5+'Small Signal'!C$59)^2)</f>
        <v>39.858142038312423</v>
      </c>
      <c r="O356" s="227">
        <f t="shared" si="137"/>
        <v>11.80665630837089</v>
      </c>
      <c r="P356" s="227">
        <f t="shared" si="138"/>
        <v>10.949527707244682</v>
      </c>
      <c r="Q356" s="227">
        <f t="shared" si="121"/>
        <v>27042.269053238542</v>
      </c>
      <c r="R356" s="227" t="str">
        <f t="shared" si="125"/>
        <v>0.0878666666666667+0.798584461664096i</v>
      </c>
      <c r="S356" s="227" t="str">
        <f t="shared" si="126"/>
        <v>0.0085-0.225398825848571i</v>
      </c>
      <c r="T356" s="227" t="str">
        <f t="shared" si="127"/>
        <v>0.012366697431181-0.225039776896998i</v>
      </c>
      <c r="U356" s="227" t="str">
        <f t="shared" si="128"/>
        <v>-1.64876840528127+1.5664628743809i</v>
      </c>
      <c r="V356" s="227">
        <f t="shared" si="139"/>
        <v>7.1367893655940478</v>
      </c>
      <c r="W356" s="227">
        <f t="shared" si="140"/>
        <v>-223.53362651629715</v>
      </c>
      <c r="X356" s="227" t="str">
        <f t="shared" si="129"/>
        <v>0.994799755978327-0.021235810769617i</v>
      </c>
      <c r="Y356" s="227" t="str">
        <f t="shared" si="130"/>
        <v>2.87443018124261-30.2100495552838i</v>
      </c>
      <c r="Z356" s="227" t="str">
        <f t="shared" si="131"/>
        <v>1.15501035659772-15.6820531102583i</v>
      </c>
      <c r="AA356" s="227" t="str">
        <f t="shared" si="132"/>
        <v>-0.876570686016763-0.70080628103944i</v>
      </c>
      <c r="AB356" s="227">
        <f t="shared" si="141"/>
        <v>1.0020010663095518</v>
      </c>
      <c r="AC356" s="227">
        <f t="shared" si="142"/>
        <v>-141.35814203831242</v>
      </c>
      <c r="AD356" s="229">
        <f t="shared" si="143"/>
        <v>-11.951528773554234</v>
      </c>
      <c r="AE356" s="229">
        <f t="shared" si="144"/>
        <v>153.16479834668331</v>
      </c>
      <c r="AF356" s="227">
        <f t="shared" si="133"/>
        <v>-10.949527707244682</v>
      </c>
      <c r="AG356" s="227">
        <f t="shared" si="134"/>
        <v>11.80665630837089</v>
      </c>
      <c r="AH356" s="229" t="str">
        <f t="shared" si="135"/>
        <v>0.225392083621884-0.114027599735975i</v>
      </c>
    </row>
    <row r="357" spans="9:34" x14ac:dyDescent="0.2">
      <c r="I357" s="227">
        <v>353</v>
      </c>
      <c r="J357" s="227">
        <f t="shared" si="123"/>
        <v>4.4417932519545396</v>
      </c>
      <c r="K357" s="227">
        <f t="shared" si="122"/>
        <v>27656.24742580418</v>
      </c>
      <c r="L357" s="227">
        <f t="shared" si="136"/>
        <v>173769.32747753608</v>
      </c>
      <c r="M357" s="227">
        <f t="shared" si="124"/>
        <v>22464.004988331213</v>
      </c>
      <c r="N357" s="227">
        <f>SQRT((ABS(AC357)-171.5+'Small Signal'!C$59)^2)</f>
        <v>40.525481330398151</v>
      </c>
      <c r="O357" s="227">
        <f t="shared" si="137"/>
        <v>10.669283911853427</v>
      </c>
      <c r="P357" s="227">
        <f t="shared" si="138"/>
        <v>11.053256617379525</v>
      </c>
      <c r="Q357" s="227">
        <f t="shared" si="121"/>
        <v>27656.24742580418</v>
      </c>
      <c r="R357" s="227" t="str">
        <f t="shared" si="125"/>
        <v>0.0878666666666667+0.81671583914442i</v>
      </c>
      <c r="S357" s="227" t="str">
        <f t="shared" si="126"/>
        <v>0.0085-0.22039489302493i</v>
      </c>
      <c r="T357" s="227" t="str">
        <f t="shared" si="127"/>
        <v>0.0121967250221071-0.220046674836952i</v>
      </c>
      <c r="U357" s="227" t="str">
        <f t="shared" si="128"/>
        <v>-1.57920832511484+1.53937811301475i</v>
      </c>
      <c r="V357" s="227">
        <f t="shared" si="139"/>
        <v>6.8695641293806622</v>
      </c>
      <c r="W357" s="227">
        <f t="shared" si="140"/>
        <v>-224.26826495862431</v>
      </c>
      <c r="X357" s="227" t="str">
        <f t="shared" si="129"/>
        <v>0.994560938512517-0.0217179570166931i</v>
      </c>
      <c r="Y357" s="227" t="str">
        <f t="shared" si="130"/>
        <v>2.7454549766776-29.533733490247i</v>
      </c>
      <c r="Z357" s="227" t="str">
        <f t="shared" si="131"/>
        <v>1.08791734100613-15.3272787535562i</v>
      </c>
      <c r="AA357" s="227" t="str">
        <f t="shared" si="132"/>
        <v>-0.877868422010189-0.685237467813039i</v>
      </c>
      <c r="AB357" s="227">
        <f t="shared" si="141"/>
        <v>0.93492901396491124</v>
      </c>
      <c r="AC357" s="227">
        <f t="shared" si="142"/>
        <v>-142.02548133039815</v>
      </c>
      <c r="AD357" s="229">
        <f t="shared" si="143"/>
        <v>-11.988185631344436</v>
      </c>
      <c r="AE357" s="229">
        <f t="shared" si="144"/>
        <v>152.69476524225158</v>
      </c>
      <c r="AF357" s="227">
        <f t="shared" si="133"/>
        <v>-11.053256617379525</v>
      </c>
      <c r="AG357" s="227">
        <f t="shared" si="134"/>
        <v>10.669283911853427</v>
      </c>
      <c r="AH357" s="229" t="str">
        <f t="shared" si="135"/>
        <v>0.223503828883497-0.115384789479921i</v>
      </c>
    </row>
    <row r="358" spans="9:34" x14ac:dyDescent="0.2">
      <c r="I358" s="227">
        <v>354</v>
      </c>
      <c r="J358" s="227">
        <f t="shared" si="123"/>
        <v>4.4515433744813233</v>
      </c>
      <c r="K358" s="227">
        <f t="shared" si="122"/>
        <v>28284.165806186429</v>
      </c>
      <c r="L358" s="227">
        <f t="shared" si="136"/>
        <v>177714.65501926182</v>
      </c>
      <c r="M358" s="227">
        <f t="shared" si="124"/>
        <v>23106.17987598111</v>
      </c>
      <c r="N358" s="227">
        <f>SQRT((ABS(AC358)-171.5+'Small Signal'!C$59)^2)</f>
        <v>41.1879003412364</v>
      </c>
      <c r="O358" s="227">
        <f t="shared" si="137"/>
        <v>9.5291084472134173</v>
      </c>
      <c r="P358" s="227">
        <f t="shared" si="138"/>
        <v>11.156258414443831</v>
      </c>
      <c r="Q358" s="227">
        <f t="shared" si="121"/>
        <v>28284.165806186429</v>
      </c>
      <c r="R358" s="227" t="str">
        <f t="shared" si="125"/>
        <v>0.0878666666666667+0.83525887859053i</v>
      </c>
      <c r="S358" s="227" t="str">
        <f t="shared" si="126"/>
        <v>0.0085-0.215502049261354i</v>
      </c>
      <c r="T358" s="227" t="str">
        <f t="shared" si="127"/>
        <v>0.0120342116037837-0.215164235192805i</v>
      </c>
      <c r="U358" s="227" t="str">
        <f t="shared" si="128"/>
        <v>-1.51271408327098+1.51238176733693i</v>
      </c>
      <c r="V358" s="227">
        <f t="shared" si="139"/>
        <v>6.6044828935928646</v>
      </c>
      <c r="W358" s="227">
        <f t="shared" si="140"/>
        <v>-224.99370588525133</v>
      </c>
      <c r="X358" s="227" t="str">
        <f t="shared" si="129"/>
        <v>0.994311153526387-0.0222110501028653i</v>
      </c>
      <c r="Y358" s="227" t="str">
        <f t="shared" si="130"/>
        <v>2.62238125551896-28.8727774856181i</v>
      </c>
      <c r="Z358" s="227" t="str">
        <f t="shared" si="131"/>
        <v>1.02389466523302-14.9804795558628i</v>
      </c>
      <c r="AA358" s="227" t="str">
        <f t="shared" si="132"/>
        <v>-0.879128496012986-0.670009885392838i</v>
      </c>
      <c r="AB358" s="227">
        <f t="shared" si="141"/>
        <v>0.86993068172474719</v>
      </c>
      <c r="AC358" s="227">
        <f t="shared" si="142"/>
        <v>-142.6879003412364</v>
      </c>
      <c r="AD358" s="229">
        <f t="shared" si="143"/>
        <v>-12.026189096168579</v>
      </c>
      <c r="AE358" s="229">
        <f t="shared" si="144"/>
        <v>152.21700878844982</v>
      </c>
      <c r="AF358" s="227">
        <f t="shared" si="133"/>
        <v>-11.156258414443831</v>
      </c>
      <c r="AG358" s="227">
        <f t="shared" si="134"/>
        <v>9.5291084472134173</v>
      </c>
      <c r="AH358" s="229" t="str">
        <f t="shared" si="135"/>
        <v>0.221562414650864-0.11673256590611i</v>
      </c>
    </row>
    <row r="359" spans="9:34" x14ac:dyDescent="0.2">
      <c r="I359" s="227">
        <v>355</v>
      </c>
      <c r="J359" s="227">
        <f t="shared" si="123"/>
        <v>4.4612934970081071</v>
      </c>
      <c r="K359" s="227">
        <f t="shared" si="122"/>
        <v>28926.340693836326</v>
      </c>
      <c r="L359" s="227">
        <f t="shared" si="136"/>
        <v>181749.55883798335</v>
      </c>
      <c r="M359" s="227">
        <f t="shared" si="124"/>
        <v>23762.934956278463</v>
      </c>
      <c r="N359" s="227">
        <f>SQRT((ABS(AC359)-171.5+'Small Signal'!C$59)^2)</f>
        <v>41.845179169905322</v>
      </c>
      <c r="O359" s="227">
        <f t="shared" si="137"/>
        <v>8.3864302181746382</v>
      </c>
      <c r="P359" s="227">
        <f t="shared" si="138"/>
        <v>11.258593778298223</v>
      </c>
      <c r="Q359" s="227">
        <f t="shared" si="121"/>
        <v>28926.340693836326</v>
      </c>
      <c r="R359" s="227" t="str">
        <f t="shared" si="125"/>
        <v>0.0878666666666667+0.854222926538522i</v>
      </c>
      <c r="S359" s="227" t="str">
        <f t="shared" si="126"/>
        <v>0.0085-0.21071782834183i</v>
      </c>
      <c r="T359" s="227" t="str">
        <f t="shared" si="127"/>
        <v>0.0118788300226968-0.210390013340655i</v>
      </c>
      <c r="U359" s="227" t="str">
        <f t="shared" si="128"/>
        <v>-1.44915023256111+1.4855065480992i</v>
      </c>
      <c r="V359" s="227">
        <f t="shared" si="139"/>
        <v>6.3415128601540891</v>
      </c>
      <c r="W359" s="227">
        <f t="shared" si="140"/>
        <v>-225.70977870210751</v>
      </c>
      <c r="X359" s="227" t="str">
        <f t="shared" si="129"/>
        <v>0.994049897344456-0.0227153385694983i</v>
      </c>
      <c r="Y359" s="227" t="str">
        <f t="shared" si="130"/>
        <v>2.50492929880967-28.2268204135889i</v>
      </c>
      <c r="Z359" s="227" t="str">
        <f t="shared" si="131"/>
        <v>0.962796768784719-14.6414659605411i</v>
      </c>
      <c r="AA359" s="227" t="str">
        <f t="shared" si="132"/>
        <v>-0.88035344393449-0.655116009100021i</v>
      </c>
      <c r="AB359" s="227">
        <f t="shared" si="141"/>
        <v>0.80698324118278486</v>
      </c>
      <c r="AC359" s="227">
        <f t="shared" si="142"/>
        <v>-143.34517916990532</v>
      </c>
      <c r="AD359" s="229">
        <f t="shared" si="143"/>
        <v>-12.065577019481008</v>
      </c>
      <c r="AE359" s="229">
        <f t="shared" si="144"/>
        <v>151.73160938807996</v>
      </c>
      <c r="AF359" s="227">
        <f t="shared" si="133"/>
        <v>-11.258593778298223</v>
      </c>
      <c r="AG359" s="227">
        <f t="shared" si="134"/>
        <v>8.3864302181746382</v>
      </c>
      <c r="AH359" s="229" t="str">
        <f t="shared" si="135"/>
        <v>0.21956760388587-0.118068768320682i</v>
      </c>
    </row>
    <row r="360" spans="9:34" x14ac:dyDescent="0.2">
      <c r="I360" s="227">
        <v>356</v>
      </c>
      <c r="J360" s="227">
        <f t="shared" si="123"/>
        <v>4.4710436195348908</v>
      </c>
      <c r="K360" s="227">
        <f t="shared" si="122"/>
        <v>29583.095774133679</v>
      </c>
      <c r="L360" s="227">
        <f t="shared" si="136"/>
        <v>185876.07270892322</v>
      </c>
      <c r="M360" s="227">
        <f t="shared" si="124"/>
        <v>24434.601263684115</v>
      </c>
      <c r="N360" s="227">
        <f>SQRT((ABS(AC360)-171.5+'Small Signal'!C$59)^2)</f>
        <v>42.497107469633448</v>
      </c>
      <c r="O360" s="227">
        <f t="shared" si="137"/>
        <v>7.2415494692779703</v>
      </c>
      <c r="P360" s="227">
        <f t="shared" si="138"/>
        <v>11.3603247091435</v>
      </c>
      <c r="Q360" s="227">
        <f t="shared" si="121"/>
        <v>29583.095774133679</v>
      </c>
      <c r="R360" s="227" t="str">
        <f t="shared" si="125"/>
        <v>0.0878666666666667+0.873617541731939i</v>
      </c>
      <c r="S360" s="227" t="str">
        <f t="shared" si="126"/>
        <v>0.0085-0.206039818801202i</v>
      </c>
      <c r="T360" s="227" t="str">
        <f t="shared" si="127"/>
        <v>0.0117302674594919-0.205721618139422i</v>
      </c>
      <c r="U360" s="227" t="str">
        <f t="shared" si="128"/>
        <v>-1.38838732341435+1.45878204641173i</v>
      </c>
      <c r="V360" s="227">
        <f t="shared" si="139"/>
        <v>6.0806201261863393</v>
      </c>
      <c r="W360" s="227">
        <f t="shared" si="140"/>
        <v>-226.41631861349973</v>
      </c>
      <c r="X360" s="227" t="str">
        <f t="shared" si="129"/>
        <v>0.993776643160309-0.023231076600938i</v>
      </c>
      <c r="Y360" s="227" t="str">
        <f t="shared" si="130"/>
        <v>2.39283345240159-27.5955102135477i</v>
      </c>
      <c r="Z360" s="227" t="str">
        <f t="shared" si="131"/>
        <v>0.904485412890604-14.3100531322919i</v>
      </c>
      <c r="AA360" s="227" t="str">
        <f t="shared" si="132"/>
        <v>-0.881545733005361-0.640548464137174i</v>
      </c>
      <c r="AB360" s="227">
        <f t="shared" si="141"/>
        <v>0.7460626668038508</v>
      </c>
      <c r="AC360" s="227">
        <f t="shared" si="142"/>
        <v>-143.99710746963345</v>
      </c>
      <c r="AD360" s="229">
        <f t="shared" si="143"/>
        <v>-12.106387375947351</v>
      </c>
      <c r="AE360" s="229">
        <f t="shared" si="144"/>
        <v>151.23865693891142</v>
      </c>
      <c r="AF360" s="227">
        <f t="shared" si="133"/>
        <v>-11.3603247091435</v>
      </c>
      <c r="AG360" s="227">
        <f t="shared" si="134"/>
        <v>7.2415494692779703</v>
      </c>
      <c r="AH360" s="229" t="str">
        <f t="shared" si="135"/>
        <v>0.217519256897824-0.11939118122381i</v>
      </c>
    </row>
    <row r="361" spans="9:34" x14ac:dyDescent="0.2">
      <c r="I361" s="227">
        <v>357</v>
      </c>
      <c r="J361" s="227">
        <f t="shared" si="123"/>
        <v>4.4807937420616746</v>
      </c>
      <c r="K361" s="227">
        <f t="shared" si="122"/>
        <v>30254.762081539331</v>
      </c>
      <c r="L361" s="227">
        <f t="shared" si="136"/>
        <v>190096.276582942</v>
      </c>
      <c r="M361" s="227">
        <f t="shared" si="124"/>
        <v>25121.517348596044</v>
      </c>
      <c r="N361" s="227">
        <f>SQRT((ABS(AC361)-171.5+'Small Signal'!C$59)^2)</f>
        <v>43.143484825374145</v>
      </c>
      <c r="O361" s="227">
        <f t="shared" si="137"/>
        <v>6.0947662684847899</v>
      </c>
      <c r="P361" s="227">
        <f t="shared" si="138"/>
        <v>11.461514349835229</v>
      </c>
      <c r="Q361" s="227">
        <f t="shared" si="121"/>
        <v>30254.762081539331</v>
      </c>
      <c r="R361" s="227" t="str">
        <f t="shared" si="125"/>
        <v>0.0878666666666667+0.893452499939827i</v>
      </c>
      <c r="S361" s="227" t="str">
        <f t="shared" si="126"/>
        <v>0.0085-0.201465662709683i</v>
      </c>
      <c r="T361" s="227" t="str">
        <f t="shared" si="127"/>
        <v>0.011588224802205-0.201156710794803i</v>
      </c>
      <c r="U361" s="227" t="str">
        <f t="shared" si="128"/>
        <v>-1.33030163893854+1.43223497327838i</v>
      </c>
      <c r="V361" s="227">
        <f t="shared" si="139"/>
        <v>5.8217697736276284</v>
      </c>
      <c r="W361" s="227">
        <f t="shared" si="140"/>
        <v>-227.11316709757762</v>
      </c>
      <c r="X361" s="227" t="str">
        <f t="shared" si="129"/>
        <v>0.993490839974325-0.0237585241526324i</v>
      </c>
      <c r="Y361" s="227" t="str">
        <f t="shared" si="130"/>
        <v>2.28584135465802-26.978503651305i</v>
      </c>
      <c r="Z361" s="227" t="str">
        <f t="shared" si="131"/>
        <v>0.848829278257138-13.986060830202i</v>
      </c>
      <c r="AA361" s="227" t="str">
        <f t="shared" si="132"/>
        <v>-0.882707766730807-0.626300022437483i</v>
      </c>
      <c r="AB361" s="227">
        <f t="shared" si="141"/>
        <v>0.68714384325534661</v>
      </c>
      <c r="AC361" s="227">
        <f t="shared" si="142"/>
        <v>-144.64348482537414</v>
      </c>
      <c r="AD361" s="229">
        <f t="shared" si="143"/>
        <v>-12.148658193090576</v>
      </c>
      <c r="AE361" s="229">
        <f t="shared" si="144"/>
        <v>150.73825109385893</v>
      </c>
      <c r="AF361" s="227">
        <f t="shared" si="133"/>
        <v>-11.461514349835229</v>
      </c>
      <c r="AG361" s="227">
        <f t="shared" si="134"/>
        <v>6.0947662684847899</v>
      </c>
      <c r="AH361" s="229" t="str">
        <f t="shared" si="135"/>
        <v>0.215417337176795-0.120697538827741i</v>
      </c>
    </row>
    <row r="362" spans="9:34" x14ac:dyDescent="0.2">
      <c r="I362" s="227">
        <v>358</v>
      </c>
      <c r="J362" s="227">
        <f t="shared" si="123"/>
        <v>4.4905438645884574</v>
      </c>
      <c r="K362" s="227">
        <f t="shared" si="122"/>
        <v>30941.67816645126</v>
      </c>
      <c r="L362" s="227">
        <f t="shared" si="136"/>
        <v>194412.29763492596</v>
      </c>
      <c r="M362" s="227">
        <f t="shared" si="124"/>
        <v>25824.02944799446</v>
      </c>
      <c r="N362" s="227">
        <f>SQRT((ABS(AC362)-171.5+'Small Signal'!C$59)^2)</f>
        <v>43.784121083831991</v>
      </c>
      <c r="O362" s="227">
        <f t="shared" si="137"/>
        <v>4.946380414643329</v>
      </c>
      <c r="P362" s="227">
        <f t="shared" si="138"/>
        <v>11.562226801880453</v>
      </c>
      <c r="Q362" s="227">
        <f t="shared" si="121"/>
        <v>30941.67816645126</v>
      </c>
      <c r="R362" s="227" t="str">
        <f t="shared" si="125"/>
        <v>0.0878666666666667+0.913737798884152i</v>
      </c>
      <c r="S362" s="227" t="str">
        <f t="shared" si="126"/>
        <v>0.0085-0.196993054484354i</v>
      </c>
      <c r="T362" s="227" t="str">
        <f t="shared" si="127"/>
        <v>0.0114524160467888-0.196693003745109i</v>
      </c>
      <c r="U362" s="227" t="str">
        <f t="shared" si="128"/>
        <v>-1.27477494139451+1.40588938119094i</v>
      </c>
      <c r="V362" s="227">
        <f t="shared" si="139"/>
        <v>5.5649259609923805</v>
      </c>
      <c r="W362" s="227">
        <f t="shared" si="140"/>
        <v>-227.80017232494433</v>
      </c>
      <c r="X362" s="227" t="str">
        <f t="shared" si="129"/>
        <v>0.993191911482622-0.0242979470821609i</v>
      </c>
      <c r="Y362" s="227" t="str">
        <f t="shared" si="130"/>
        <v>2.18371321153536-26.3754660829911i</v>
      </c>
      <c r="Z362" s="227" t="str">
        <f t="shared" si="131"/>
        <v>0.795703587514908-13.6693132832794i</v>
      </c>
      <c r="AA362" s="227" t="str">
        <f t="shared" si="132"/>
        <v>-0.883841889732446-0.612363599505125i</v>
      </c>
      <c r="AB362" s="227">
        <f t="shared" si="141"/>
        <v>0.63020067497714438</v>
      </c>
      <c r="AC362" s="227">
        <f t="shared" si="142"/>
        <v>-145.28412108383199</v>
      </c>
      <c r="AD362" s="229">
        <f t="shared" si="143"/>
        <v>-12.192427476857597</v>
      </c>
      <c r="AE362" s="229">
        <f t="shared" si="144"/>
        <v>150.23050149847532</v>
      </c>
      <c r="AF362" s="227">
        <f t="shared" si="133"/>
        <v>-11.562226801880453</v>
      </c>
      <c r="AG362" s="227">
        <f t="shared" si="134"/>
        <v>4.946380414643329</v>
      </c>
      <c r="AH362" s="229" t="str">
        <f t="shared" si="135"/>
        <v>0.213261917055336-0.121985530143599i</v>
      </c>
    </row>
    <row r="363" spans="9:34" x14ac:dyDescent="0.2">
      <c r="I363" s="227">
        <v>359</v>
      </c>
      <c r="J363" s="227">
        <f t="shared" si="123"/>
        <v>4.5002939871152403</v>
      </c>
      <c r="K363" s="227">
        <f t="shared" si="122"/>
        <v>31644.190265849677</v>
      </c>
      <c r="L363" s="227">
        <f t="shared" si="136"/>
        <v>198826.31133598197</v>
      </c>
      <c r="M363" s="227">
        <f t="shared" si="124"/>
        <v>26542.491659961106</v>
      </c>
      <c r="N363" s="227">
        <f>SQRT((ABS(AC363)-171.5+'Small Signal'!C$59)^2)</f>
        <v>44.418836636159995</v>
      </c>
      <c r="O363" s="227">
        <f t="shared" si="137"/>
        <v>3.7966913669435201</v>
      </c>
      <c r="P363" s="227">
        <f t="shared" si="138"/>
        <v>11.662526935865653</v>
      </c>
      <c r="Q363" s="227">
        <f t="shared" si="121"/>
        <v>31644.190265849677</v>
      </c>
      <c r="R363" s="227" t="str">
        <f t="shared" si="125"/>
        <v>0.0878666666666667+0.934483663279115i</v>
      </c>
      <c r="S363" s="227" t="str">
        <f t="shared" si="126"/>
        <v>0.0085-0.192619739727046i</v>
      </c>
      <c r="T363" s="227" t="str">
        <f t="shared" si="127"/>
        <v>0.0113225677237566-0.192328259568729i</v>
      </c>
      <c r="U363" s="227" t="str">
        <f t="shared" si="128"/>
        <v>-1.22169422964823+1.37976686916616i</v>
      </c>
      <c r="V363" s="227">
        <f t="shared" si="139"/>
        <v>5.3100520166492817</v>
      </c>
      <c r="W363" s="227">
        <f t="shared" si="140"/>
        <v>-228.47718952102051</v>
      </c>
      <c r="X363" s="227" t="str">
        <f t="shared" si="129"/>
        <v>0.992879254914977-0.0248496172832384i</v>
      </c>
      <c r="Y363" s="227" t="str">
        <f t="shared" si="130"/>
        <v>2.08622111578889-25.7860712239366i</v>
      </c>
      <c r="Z363" s="227" t="str">
        <f t="shared" si="131"/>
        <v>0.744989750660989-13.3596390686313i</v>
      </c>
      <c r="AA363" s="227" t="str">
        <f t="shared" si="132"/>
        <v>-0.884950392488501-0.598732251247107i</v>
      </c>
      <c r="AB363" s="227">
        <f t="shared" si="141"/>
        <v>0.57520619738092238</v>
      </c>
      <c r="AC363" s="227">
        <f t="shared" si="142"/>
        <v>-145.91883663615999</v>
      </c>
      <c r="AD363" s="229">
        <f t="shared" si="143"/>
        <v>-12.237733133246575</v>
      </c>
      <c r="AE363" s="229">
        <f t="shared" si="144"/>
        <v>149.71552800310351</v>
      </c>
      <c r="AF363" s="227">
        <f t="shared" si="133"/>
        <v>-11.662526935865653</v>
      </c>
      <c r="AG363" s="227">
        <f t="shared" si="134"/>
        <v>3.7966913669435201</v>
      </c>
      <c r="AH363" s="229" t="str">
        <f t="shared" si="135"/>
        <v>0.211053183143187-0.123252804640588i</v>
      </c>
    </row>
    <row r="364" spans="9:34" x14ac:dyDescent="0.2">
      <c r="I364" s="227">
        <v>360</v>
      </c>
      <c r="J364" s="227">
        <f t="shared" si="123"/>
        <v>4.5100441096420241</v>
      </c>
      <c r="K364" s="227">
        <f t="shared" si="122"/>
        <v>32362.652477816322</v>
      </c>
      <c r="L364" s="227">
        <f t="shared" si="136"/>
        <v>203340.54254997455</v>
      </c>
      <c r="M364" s="227">
        <f t="shared" si="124"/>
        <v>27277.26612216033</v>
      </c>
      <c r="N364" s="227">
        <f>SQRT((ABS(AC364)-171.5+'Small Signal'!C$59)^2)</f>
        <v>45.04746265395255</v>
      </c>
      <c r="O364" s="227">
        <f t="shared" si="137"/>
        <v>2.6459981930795777</v>
      </c>
      <c r="P364" s="227">
        <f t="shared" si="138"/>
        <v>11.762480197088303</v>
      </c>
      <c r="Q364" s="227">
        <f t="shared" si="121"/>
        <v>32362.652477816322</v>
      </c>
      <c r="R364" s="227" t="str">
        <f t="shared" si="125"/>
        <v>0.0878666666666667+0.95570054998488i</v>
      </c>
      <c r="S364" s="227" t="str">
        <f t="shared" si="126"/>
        <v>0.0085-0.188343514088014i</v>
      </c>
      <c r="T364" s="227" t="str">
        <f t="shared" si="127"/>
        <v>0.0111984183498125-0.188060289912921i</v>
      </c>
      <c r="U364" s="227" t="str">
        <f t="shared" si="128"/>
        <v>-1.17095150717275+1.35388677249677i</v>
      </c>
      <c r="V364" s="227">
        <f t="shared" si="139"/>
        <v>5.0571105330070178</v>
      </c>
      <c r="W364" s="227">
        <f t="shared" si="140"/>
        <v>-229.14408127310952</v>
      </c>
      <c r="X364" s="227" t="str">
        <f t="shared" si="129"/>
        <v>0.992552239819378-0.0254138128227624i</v>
      </c>
      <c r="Y364" s="227" t="str">
        <f t="shared" si="130"/>
        <v>1.99314840729134-25.2100009227656i</v>
      </c>
      <c r="Z364" s="227" t="str">
        <f t="shared" si="131"/>
        <v>0.696575031926291-13.0568709924027i</v>
      </c>
      <c r="AA364" s="227" t="str">
        <f t="shared" si="132"/>
        <v>-0.886035515982069-0.585399170796108i</v>
      </c>
      <c r="AB364" s="227">
        <f t="shared" si="141"/>
        <v>0.52213268908866639</v>
      </c>
      <c r="AC364" s="227">
        <f t="shared" si="142"/>
        <v>-146.54746265395255</v>
      </c>
      <c r="AD364" s="229">
        <f t="shared" si="143"/>
        <v>-12.284612886176969</v>
      </c>
      <c r="AE364" s="229">
        <f t="shared" si="144"/>
        <v>149.19346084703213</v>
      </c>
      <c r="AF364" s="227">
        <f t="shared" si="133"/>
        <v>-11.762480197088303</v>
      </c>
      <c r="AG364" s="227">
        <f t="shared" si="134"/>
        <v>2.6459981930795777</v>
      </c>
      <c r="AH364" s="229" t="str">
        <f t="shared" si="135"/>
        <v>0.208791441477121-0.124496978475708i</v>
      </c>
    </row>
    <row r="365" spans="9:34" x14ac:dyDescent="0.2">
      <c r="I365" s="227">
        <v>361</v>
      </c>
      <c r="J365" s="227">
        <f t="shared" si="123"/>
        <v>4.5197942321688078</v>
      </c>
      <c r="K365" s="227">
        <f t="shared" si="122"/>
        <v>33097.426940015546</v>
      </c>
      <c r="L365" s="227">
        <f t="shared" si="136"/>
        <v>207957.26665495549</v>
      </c>
      <c r="M365" s="227">
        <f t="shared" si="124"/>
        <v>28028.723194373317</v>
      </c>
      <c r="N365" s="227">
        <f>SQRT((ABS(AC365)-171.5+'Small Signal'!C$59)^2)</f>
        <v>45.669841279506556</v>
      </c>
      <c r="O365" s="227">
        <f t="shared" si="137"/>
        <v>1.494599532511927</v>
      </c>
      <c r="P365" s="227">
        <f t="shared" si="138"/>
        <v>11.862152407178899</v>
      </c>
      <c r="Q365" s="227">
        <f t="shared" si="121"/>
        <v>33097.426940015546</v>
      </c>
      <c r="R365" s="227" t="str">
        <f t="shared" si="125"/>
        <v>0.0878666666666667+0.977399153278291i</v>
      </c>
      <c r="S365" s="227" t="str">
        <f t="shared" si="126"/>
        <v>0.0085-0.184162222154851i</v>
      </c>
      <c r="T365" s="227" t="str">
        <f t="shared" si="127"/>
        <v>0.0110797179033889-0.183886954443672i</v>
      </c>
      <c r="U365" s="227" t="str">
        <f t="shared" si="128"/>
        <v>-1.12244356018081+1.32826633838545i</v>
      </c>
      <c r="V365" s="227">
        <f t="shared" si="139"/>
        <v>4.8060634610226654</v>
      </c>
      <c r="W365" s="227">
        <f t="shared" si="140"/>
        <v>-229.80071778343955</v>
      </c>
      <c r="X365" s="227" t="str">
        <f t="shared" si="129"/>
        <v>0.992210206790758-0.0259908180809709i</v>
      </c>
      <c r="Y365" s="227" t="str">
        <f t="shared" si="130"/>
        <v>1.90428907168127-24.6469449408769i</v>
      </c>
      <c r="Z365" s="227" t="str">
        <f t="shared" si="131"/>
        <v>0.65035223661657-12.7608459735599i</v>
      </c>
      <c r="AA365" s="227" t="str">
        <f t="shared" si="132"/>
        <v>-0.887099456267003-0.572357685323824i</v>
      </c>
      <c r="AB365" s="227">
        <f t="shared" si="141"/>
        <v>0.47095178464576415</v>
      </c>
      <c r="AC365" s="227">
        <f t="shared" si="142"/>
        <v>-147.16984127950656</v>
      </c>
      <c r="AD365" s="229">
        <f t="shared" si="143"/>
        <v>-12.333104191824663</v>
      </c>
      <c r="AE365" s="229">
        <f t="shared" si="144"/>
        <v>148.66444081201848</v>
      </c>
      <c r="AF365" s="227">
        <f t="shared" si="133"/>
        <v>-11.862152407178899</v>
      </c>
      <c r="AG365" s="227">
        <f t="shared" si="134"/>
        <v>1.494599532511927</v>
      </c>
      <c r="AH365" s="229" t="str">
        <f t="shared" si="135"/>
        <v>0.20647712232627-0.125715641286154i</v>
      </c>
    </row>
    <row r="366" spans="9:34" x14ac:dyDescent="0.2">
      <c r="I366" s="227">
        <v>362</v>
      </c>
      <c r="J366" s="227">
        <f t="shared" si="123"/>
        <v>4.5295443546955907</v>
      </c>
      <c r="K366" s="227">
        <f t="shared" si="122"/>
        <v>33848.884012228533</v>
      </c>
      <c r="L366" s="227">
        <f t="shared" si="136"/>
        <v>212678.81069006032</v>
      </c>
      <c r="M366" s="227">
        <f t="shared" si="124"/>
        <v>28797.241645176258</v>
      </c>
      <c r="N366" s="227">
        <f>SQRT((ABS(AC366)-171.5+'Small Signal'!C$59)^2)</f>
        <v>46.285825771680436</v>
      </c>
      <c r="O366" s="227">
        <f t="shared" si="137"/>
        <v>0.34279357091716633</v>
      </c>
      <c r="P366" s="227">
        <f t="shared" si="138"/>
        <v>11.961609562514235</v>
      </c>
      <c r="Q366" s="227">
        <f t="shared" si="121"/>
        <v>33848.884012228533</v>
      </c>
      <c r="R366" s="227" t="str">
        <f t="shared" si="125"/>
        <v>0.0878666666666667+0.999590410243283i</v>
      </c>
      <c r="S366" s="227" t="str">
        <f t="shared" si="126"/>
        <v>0.0085-0.180073756366061i</v>
      </c>
      <c r="T366" s="227" t="str">
        <f t="shared" si="127"/>
        <v>0.0109662273230555-0.179806159816323i</v>
      </c>
      <c r="U366" s="227" t="str">
        <f t="shared" si="128"/>
        <v>-1.0760717454785+1.30292088853671i</v>
      </c>
      <c r="V366" s="227">
        <f t="shared" si="139"/>
        <v>4.5568722044732901</v>
      </c>
      <c r="W366" s="227">
        <f t="shared" si="140"/>
        <v>-230.44697706976572</v>
      </c>
      <c r="X366" s="227" t="str">
        <f t="shared" si="129"/>
        <v>0.991852466141345-0.0265809238947837i</v>
      </c>
      <c r="Y366" s="227" t="str">
        <f t="shared" si="130"/>
        <v>1.81944717476369-24.0966007374166i</v>
      </c>
      <c r="Z366" s="227" t="str">
        <f t="shared" si="131"/>
        <v>0.606219416583101-12.4714049305722i</v>
      </c>
      <c r="AA366" s="227" t="str">
        <f t="shared" si="132"/>
        <v>-0.888144368961147-0.559601252843577i</v>
      </c>
      <c r="AB366" s="227">
        <f t="shared" si="141"/>
        <v>0.42163458717383795</v>
      </c>
      <c r="AC366" s="227">
        <f t="shared" si="142"/>
        <v>-147.78582577168044</v>
      </c>
      <c r="AD366" s="229">
        <f t="shared" si="143"/>
        <v>-12.383244149688073</v>
      </c>
      <c r="AE366" s="229">
        <f t="shared" si="144"/>
        <v>148.1286193425976</v>
      </c>
      <c r="AF366" s="227">
        <f t="shared" si="133"/>
        <v>-11.961609562514235</v>
      </c>
      <c r="AG366" s="227">
        <f t="shared" si="134"/>
        <v>0.34279357091716633</v>
      </c>
      <c r="AH366" s="229" t="str">
        <f t="shared" si="135"/>
        <v>0.204110784592025-0.126906363530123i</v>
      </c>
    </row>
    <row r="367" spans="9:34" x14ac:dyDescent="0.2">
      <c r="I367" s="227">
        <v>363</v>
      </c>
      <c r="J367" s="227">
        <f t="shared" si="123"/>
        <v>4.5392944772223736</v>
      </c>
      <c r="K367" s="227">
        <f t="shared" si="122"/>
        <v>34617.402463031474</v>
      </c>
      <c r="L367" s="227">
        <f t="shared" si="136"/>
        <v>217507.55452844177</v>
      </c>
      <c r="M367" s="227">
        <f t="shared" si="124"/>
        <v>29583.208842857097</v>
      </c>
      <c r="N367" s="227">
        <f>SQRT((ABS(AC367)-171.5+'Small Signal'!C$59)^2)</f>
        <v>46.895280608975355</v>
      </c>
      <c r="O367" s="227">
        <f t="shared" si="137"/>
        <v>0.80912197830630816</v>
      </c>
      <c r="P367" s="227">
        <f t="shared" si="138"/>
        <v>12.060917630233122</v>
      </c>
      <c r="Q367" s="227">
        <f t="shared" si="121"/>
        <v>34617.402463031474</v>
      </c>
      <c r="R367" s="227" t="str">
        <f t="shared" si="125"/>
        <v>0.0878666666666667+1.02228550628368i</v>
      </c>
      <c r="S367" s="227" t="str">
        <f t="shared" si="126"/>
        <v>0.0085-0.176076055948749i</v>
      </c>
      <c r="T367" s="227" t="str">
        <f t="shared" si="127"/>
        <v>0.0108577180278079-0.175815858666654i</v>
      </c>
      <c r="U367" s="227" t="str">
        <f t="shared" si="128"/>
        <v>-1.03174178764156+1.27786396969564i</v>
      </c>
      <c r="V367" s="227">
        <f t="shared" si="139"/>
        <v>4.3094977134636396</v>
      </c>
      <c r="W367" s="227">
        <f t="shared" si="140"/>
        <v>-231.08274511537758</v>
      </c>
      <c r="X367" s="227" t="str">
        <f t="shared" si="129"/>
        <v>0.991478296509956-0.0271844277043968i</v>
      </c>
      <c r="Y367" s="227" t="str">
        <f t="shared" si="130"/>
        <v>1.73843633027819-23.558673259814i</v>
      </c>
      <c r="Z367" s="227" t="str">
        <f t="shared" si="131"/>
        <v>0.564079593079543-12.1883926710238i</v>
      </c>
      <c r="AA367" s="227" t="str">
        <f t="shared" si="132"/>
        <v>-0.889172373676257-0.547123459000659i</v>
      </c>
      <c r="AB367" s="227">
        <f t="shared" si="141"/>
        <v>0.37415178046049102</v>
      </c>
      <c r="AC367" s="227">
        <f t="shared" si="142"/>
        <v>-148.39528060897536</v>
      </c>
      <c r="AD367" s="229">
        <f t="shared" si="143"/>
        <v>-12.435069410693613</v>
      </c>
      <c r="AE367" s="229">
        <f t="shared" si="144"/>
        <v>147.58615863066905</v>
      </c>
      <c r="AF367" s="227">
        <f t="shared" si="133"/>
        <v>-12.060917630233122</v>
      </c>
      <c r="AG367" s="227">
        <f t="shared" si="134"/>
        <v>-0.80912197830630816</v>
      </c>
      <c r="AH367" s="229" t="str">
        <f t="shared" si="135"/>
        <v>0.201693119741074-0.128066704355i</v>
      </c>
    </row>
    <row r="368" spans="9:34" x14ac:dyDescent="0.2">
      <c r="I368" s="227">
        <v>364</v>
      </c>
      <c r="J368" s="227">
        <f t="shared" si="123"/>
        <v>4.5490445997491573</v>
      </c>
      <c r="K368" s="227">
        <f t="shared" si="122"/>
        <v>35403.369660712313</v>
      </c>
      <c r="L368" s="227">
        <f t="shared" si="136"/>
        <v>222445.93207683513</v>
      </c>
      <c r="M368" s="227">
        <f t="shared" si="124"/>
        <v>30387.020950666298</v>
      </c>
      <c r="N368" s="227">
        <f>SQRT((ABS(AC368)-171.5+'Small Signal'!C$59)^2)</f>
        <v>47.498081551745088</v>
      </c>
      <c r="O368" s="227">
        <f t="shared" si="137"/>
        <v>1.9608498897598565</v>
      </c>
      <c r="P368" s="227">
        <f t="shared" si="138"/>
        <v>12.160142342666507</v>
      </c>
      <c r="Q368" s="227">
        <f t="shared" si="121"/>
        <v>35403.369660712313</v>
      </c>
      <c r="R368" s="227" t="str">
        <f t="shared" si="125"/>
        <v>0.0878666666666667+1.04549588076112i</v>
      </c>
      <c r="S368" s="227" t="str">
        <f t="shared" si="126"/>
        <v>0.0085-0.1721671058799i</v>
      </c>
      <c r="T368" s="227" t="str">
        <f t="shared" si="127"/>
        <v>0.0107539714582899-0.171914048622152i</v>
      </c>
      <c r="U368" s="227" t="str">
        <f t="shared" si="128"/>
        <v>-0.989363585127645+1.25310749304427i</v>
      </c>
      <c r="V368" s="227">
        <f t="shared" si="139"/>
        <v>4.0639005766804654</v>
      </c>
      <c r="W368" s="227">
        <f t="shared" si="140"/>
        <v>-231.70791597059946</v>
      </c>
      <c r="X368" s="227" t="str">
        <f t="shared" si="129"/>
        <v>0.991086943407409-0.0278016337032062i</v>
      </c>
      <c r="Y368" s="227" t="str">
        <f t="shared" si="130"/>
        <v>1.66107919882559-23.0328747399026i</v>
      </c>
      <c r="Z368" s="227" t="str">
        <f t="shared" si="131"/>
        <v>0.523840495853236-11.9116577841645i</v>
      </c>
      <c r="AA368" s="227" t="str">
        <f t="shared" si="132"/>
        <v>-0.890185558394585-0.534918013848661i</v>
      </c>
      <c r="AB368" s="227">
        <f t="shared" si="141"/>
        <v>0.32847374002578045</v>
      </c>
      <c r="AC368" s="227">
        <f t="shared" si="142"/>
        <v>-148.99808155174509</v>
      </c>
      <c r="AD368" s="229">
        <f t="shared" si="143"/>
        <v>-12.488616082692287</v>
      </c>
      <c r="AE368" s="229">
        <f t="shared" si="144"/>
        <v>147.03723166198523</v>
      </c>
      <c r="AF368" s="227">
        <f t="shared" si="133"/>
        <v>-12.160142342666507</v>
      </c>
      <c r="AG368" s="227">
        <f t="shared" si="134"/>
        <v>-1.9608498897598565</v>
      </c>
      <c r="AH368" s="229" t="str">
        <f t="shared" si="135"/>
        <v>0.199224955210439-0.129194219964725i</v>
      </c>
    </row>
    <row r="369" spans="9:34" x14ac:dyDescent="0.2">
      <c r="I369" s="227">
        <v>365</v>
      </c>
      <c r="J369" s="227">
        <f t="shared" si="123"/>
        <v>4.5587947222759411</v>
      </c>
      <c r="K369" s="227">
        <f t="shared" si="122"/>
        <v>36207.181768521514</v>
      </c>
      <c r="L369" s="227">
        <f t="shared" si="136"/>
        <v>227496.43250235496</v>
      </c>
      <c r="M369" s="227">
        <f t="shared" si="124"/>
        <v>31209.083126501526</v>
      </c>
      <c r="N369" s="227">
        <f>SQRT((ABS(AC369)-171.5+'Small Signal'!C$59)^2)</f>
        <v>48.094115665690367</v>
      </c>
      <c r="O369" s="227">
        <f t="shared" si="137"/>
        <v>3.1120934434031824</v>
      </c>
      <c r="P369" s="227">
        <f t="shared" si="138"/>
        <v>12.259348991003733</v>
      </c>
      <c r="Q369" s="227">
        <f t="shared" ref="Q369:Q404" si="145">K369</f>
        <v>36207.181768521514</v>
      </c>
      <c r="R369" s="227" t="str">
        <f t="shared" si="125"/>
        <v>0.0878666666666667+1.06923323276107i</v>
      </c>
      <c r="S369" s="227" t="str">
        <f t="shared" si="126"/>
        <v>0.0085-0.168344935870716i</v>
      </c>
      <c r="T369" s="227" t="str">
        <f t="shared" si="127"/>
        <v>0.0106547786380388-0.168098771333136i</v>
      </c>
      <c r="U369" s="227" t="str">
        <f t="shared" si="128"/>
        <v>-0.948851024949106+1.2286618632939i</v>
      </c>
      <c r="V369" s="227">
        <f t="shared" si="139"/>
        <v>3.8200411119383699</v>
      </c>
      <c r="W369" s="227">
        <f t="shared" si="140"/>
        <v>-232.32239180809432</v>
      </c>
      <c r="X369" s="227" t="str">
        <f t="shared" si="129"/>
        <v>0.990677617695155-0.0284328529911349i</v>
      </c>
      <c r="Y369" s="227" t="str">
        <f t="shared" si="130"/>
        <v>1.58720701590473-22.5189244956191i</v>
      </c>
      <c r="Z369" s="227" t="str">
        <f t="shared" si="131"/>
        <v>0.485414317403019-11.6410525363934i</v>
      </c>
      <c r="AA369" s="227" t="str">
        <f t="shared" si="132"/>
        <v>-0.891185983801421-0.522978748609082i</v>
      </c>
      <c r="AB369" s="227">
        <f t="shared" si="141"/>
        <v>0.28457064273846422</v>
      </c>
      <c r="AC369" s="227">
        <f t="shared" si="142"/>
        <v>-149.59411566569037</v>
      </c>
      <c r="AD369" s="229">
        <f t="shared" si="143"/>
        <v>-12.543919633742197</v>
      </c>
      <c r="AE369" s="229">
        <f t="shared" si="144"/>
        <v>146.48202222228718</v>
      </c>
      <c r="AF369" s="227">
        <f t="shared" si="133"/>
        <v>-12.259348991003733</v>
      </c>
      <c r="AG369" s="227">
        <f t="shared" si="134"/>
        <v>-3.1120934434031824</v>
      </c>
      <c r="AH369" s="229" t="str">
        <f t="shared" si="135"/>
        <v>0.19670725722442-0.13028647245092i</v>
      </c>
    </row>
    <row r="370" spans="9:34" x14ac:dyDescent="0.2">
      <c r="I370" s="227">
        <v>366</v>
      </c>
      <c r="J370" s="227">
        <f t="shared" si="123"/>
        <v>4.5685448448027248</v>
      </c>
      <c r="K370" s="227">
        <f t="shared" si="122"/>
        <v>37029.243944356742</v>
      </c>
      <c r="L370" s="227">
        <f t="shared" si="136"/>
        <v>232661.60148715094</v>
      </c>
      <c r="M370" s="227">
        <f t="shared" si="124"/>
        <v>32049.809727125783</v>
      </c>
      <c r="N370" s="227">
        <f>SQRT((ABS(AC370)-171.5+'Small Signal'!C$59)^2)</f>
        <v>48.683281308991752</v>
      </c>
      <c r="O370" s="227">
        <f t="shared" si="137"/>
        <v>4.2625564479454567</v>
      </c>
      <c r="P370" s="227">
        <f t="shared" si="138"/>
        <v>12.358602219009647</v>
      </c>
      <c r="Q370" s="227">
        <f t="shared" si="145"/>
        <v>37029.243944356742</v>
      </c>
      <c r="R370" s="227" t="str">
        <f t="shared" si="125"/>
        <v>0.0878666666666667+1.09350952698961i</v>
      </c>
      <c r="S370" s="227" t="str">
        <f t="shared" si="126"/>
        <v>0.0085-0.164607619373499i</v>
      </c>
      <c r="T370" s="227" t="str">
        <f t="shared" si="127"/>
        <v>0.010559939753887-0.164368111523449i</v>
      </c>
      <c r="U370" s="227" t="str">
        <f t="shared" si="128"/>
        <v>-0.91012180554435+1.20453609824607i</v>
      </c>
      <c r="V370" s="227">
        <f t="shared" si="139"/>
        <v>3.5778794546076798</v>
      </c>
      <c r="W370" s="227">
        <f t="shared" si="140"/>
        <v>-232.92608293443098</v>
      </c>
      <c r="X370" s="227" t="str">
        <f t="shared" si="129"/>
        <v>0.990249493994022-0.0290784037314418i</v>
      </c>
      <c r="Y370" s="227" t="str">
        <f t="shared" si="130"/>
        <v>1.51665914716368-22.016548738249i</v>
      </c>
      <c r="Z370" s="227" t="str">
        <f t="shared" si="131"/>
        <v>0.448717481415136-11.3764327696541i</v>
      </c>
      <c r="AA370" s="227" t="str">
        <f t="shared" si="132"/>
        <v>-0.89217568758358-0.511299612411682i</v>
      </c>
      <c r="AB370" s="227">
        <f t="shared" si="141"/>
        <v>0.24241257460451199</v>
      </c>
      <c r="AC370" s="227">
        <f t="shared" si="142"/>
        <v>-150.18328130899175</v>
      </c>
      <c r="AD370" s="229">
        <f t="shared" si="143"/>
        <v>-12.601014793614159</v>
      </c>
      <c r="AE370" s="229">
        <f t="shared" si="144"/>
        <v>145.9207248610463</v>
      </c>
      <c r="AF370" s="227">
        <f t="shared" si="133"/>
        <v>-12.358602219009647</v>
      </c>
      <c r="AG370" s="227">
        <f t="shared" si="134"/>
        <v>-4.2625564479454567</v>
      </c>
      <c r="AH370" s="229" t="str">
        <f t="shared" si="135"/>
        <v>0.194141132965426-0.131341039044814i</v>
      </c>
    </row>
    <row r="371" spans="9:34" x14ac:dyDescent="0.2">
      <c r="I371" s="227">
        <v>367</v>
      </c>
      <c r="J371" s="227">
        <f t="shared" si="123"/>
        <v>4.5782949673295086</v>
      </c>
      <c r="K371" s="227">
        <f t="shared" si="122"/>
        <v>37869.970544980999</v>
      </c>
      <c r="L371" s="227">
        <f t="shared" si="136"/>
        <v>237944.04251154832</v>
      </c>
      <c r="M371" s="227">
        <f t="shared" si="124"/>
        <v>32909.624517021657</v>
      </c>
      <c r="N371" s="227">
        <f>SQRT((ABS(AC371)-171.5+'Small Signal'!C$59)^2)</f>
        <v>49.265488085625691</v>
      </c>
      <c r="O371" s="227">
        <f t="shared" si="137"/>
        <v>5.4119432746669816</v>
      </c>
      <c r="P371" s="227">
        <f t="shared" si="138"/>
        <v>12.457965817606006</v>
      </c>
      <c r="Q371" s="227">
        <f t="shared" si="145"/>
        <v>37869.970544980999</v>
      </c>
      <c r="R371" s="227" t="str">
        <f t="shared" si="125"/>
        <v>0.0878666666666667+1.11833699980428i</v>
      </c>
      <c r="S371" s="227" t="str">
        <f t="shared" si="126"/>
        <v>0.0085-0.160953272610584i</v>
      </c>
      <c r="T371" s="227" t="str">
        <f t="shared" si="127"/>
        <v>0.0104692637546863-0.160720196060402i</v>
      </c>
      <c r="U371" s="227" t="str">
        <f t="shared" si="128"/>
        <v>-0.873097267497025+1.18073793953406i</v>
      </c>
      <c r="V371" s="227">
        <f t="shared" si="139"/>
        <v>3.3373756435512214</v>
      </c>
      <c r="W371" s="227">
        <f t="shared" si="140"/>
        <v>-233.51890776054734</v>
      </c>
      <c r="X371" s="227" t="str">
        <f t="shared" si="129"/>
        <v>0.989801709019892-0.0297386113110902i</v>
      </c>
      <c r="Y371" s="227" t="str">
        <f t="shared" si="130"/>
        <v>1.4492826691022-21.5254803851516i</v>
      </c>
      <c r="Z371" s="227" t="str">
        <f t="shared" si="131"/>
        <v>0.413670424458253-11.1176578027071i</v>
      </c>
      <c r="AA371" s="227" t="str">
        <f t="shared" si="132"/>
        <v>-0.893156688703506-0.499874669012016i</v>
      </c>
      <c r="AB371" s="227">
        <f t="shared" si="141"/>
        <v>0.20196963638911411</v>
      </c>
      <c r="AC371" s="227">
        <f t="shared" si="142"/>
        <v>-150.76548808562569</v>
      </c>
      <c r="AD371" s="229">
        <f t="shared" si="143"/>
        <v>-12.65993545399512</v>
      </c>
      <c r="AE371" s="229">
        <f t="shared" si="144"/>
        <v>145.35354481095871</v>
      </c>
      <c r="AF371" s="227">
        <f t="shared" si="133"/>
        <v>-12.457965817606006</v>
      </c>
      <c r="AG371" s="227">
        <f t="shared" si="134"/>
        <v>-5.4119432746669816</v>
      </c>
      <c r="AH371" s="229" t="str">
        <f t="shared" si="135"/>
        <v>0.191527832043647-0.132355521739731i</v>
      </c>
    </row>
    <row r="372" spans="9:34" x14ac:dyDescent="0.2">
      <c r="I372" s="227">
        <v>368</v>
      </c>
      <c r="J372" s="227">
        <f t="shared" si="123"/>
        <v>4.5880450898562914</v>
      </c>
      <c r="K372" s="227">
        <f t="shared" si="122"/>
        <v>38729.785334876869</v>
      </c>
      <c r="L372" s="227">
        <f t="shared" si="136"/>
        <v>243346.41816631774</v>
      </c>
      <c r="M372" s="227">
        <f t="shared" si="124"/>
        <v>33788.960881988285</v>
      </c>
      <c r="N372" s="227">
        <f>SQRT((ABS(AC372)-171.5+'Small Signal'!C$59)^2)</f>
        <v>49.840656767545397</v>
      </c>
      <c r="O372" s="227">
        <f t="shared" si="137"/>
        <v>6.5599589059324899</v>
      </c>
      <c r="P372" s="227">
        <f t="shared" si="138"/>
        <v>12.557502521121814</v>
      </c>
      <c r="Q372" s="227">
        <f t="shared" si="145"/>
        <v>38729.785334876869</v>
      </c>
      <c r="R372" s="227" t="str">
        <f t="shared" si="125"/>
        <v>0.0878666666666667+1.14372816538169i</v>
      </c>
      <c r="S372" s="227" t="str">
        <f t="shared" si="126"/>
        <v>0.0085-0.157380053624831i</v>
      </c>
      <c r="T372" s="227" t="str">
        <f t="shared" si="127"/>
        <v>0.0103825679675612-0.157153193043664i</v>
      </c>
      <c r="U372" s="227" t="str">
        <f t="shared" si="128"/>
        <v>-0.837702231766076+1.15727395520189i</v>
      </c>
      <c r="V372" s="227">
        <f t="shared" si="139"/>
        <v>3.0984897042465493</v>
      </c>
      <c r="W372" s="227">
        <f t="shared" si="140"/>
        <v>-234.10079273382962</v>
      </c>
      <c r="X372" s="227" t="str">
        <f t="shared" si="129"/>
        <v>0.989333359842946-0.0304138085047577i</v>
      </c>
      <c r="Y372" s="227" t="str">
        <f t="shared" si="130"/>
        <v>1.3849319735943-21.0454588778972i</v>
      </c>
      <c r="Z372" s="227" t="str">
        <f t="shared" si="131"/>
        <v>0.380197390087097-10.864590335238i</v>
      </c>
      <c r="AA372" s="227" t="str">
        <f t="shared" si="132"/>
        <v>-0.894130991659197-0.488698093482517i</v>
      </c>
      <c r="AB372" s="227">
        <f t="shared" si="141"/>
        <v>0.1632120467829731</v>
      </c>
      <c r="AC372" s="227">
        <f t="shared" si="142"/>
        <v>-151.3406567675454</v>
      </c>
      <c r="AD372" s="229">
        <f t="shared" si="143"/>
        <v>-12.720714567904787</v>
      </c>
      <c r="AE372" s="229">
        <f t="shared" si="144"/>
        <v>144.78069786161291</v>
      </c>
      <c r="AF372" s="227">
        <f t="shared" si="133"/>
        <v>-12.557502521121814</v>
      </c>
      <c r="AG372" s="227">
        <f t="shared" si="134"/>
        <v>-6.5599589059324899</v>
      </c>
      <c r="AH372" s="229" t="str">
        <f t="shared" si="135"/>
        <v>0.188868747214462-0.13332755722651i</v>
      </c>
    </row>
    <row r="373" spans="9:34" x14ac:dyDescent="0.2">
      <c r="I373" s="227">
        <v>369</v>
      </c>
      <c r="J373" s="227">
        <f t="shared" si="123"/>
        <v>4.5977952123830743</v>
      </c>
      <c r="K373" s="227">
        <f t="shared" si="122"/>
        <v>39609.121699843497</v>
      </c>
      <c r="L373" s="227">
        <f t="shared" si="136"/>
        <v>248871.45149474478</v>
      </c>
      <c r="M373" s="227">
        <f t="shared" si="124"/>
        <v>34688.26204758761</v>
      </c>
      <c r="N373" s="227">
        <f>SQRT((ABS(AC373)-171.5+'Small Signal'!C$59)^2)</f>
        <v>50.408719188515335</v>
      </c>
      <c r="O373" s="227">
        <f t="shared" si="137"/>
        <v>7.7063090024960559</v>
      </c>
      <c r="P373" s="227">
        <f t="shared" si="138"/>
        <v>12.657273806012022</v>
      </c>
      <c r="Q373" s="227">
        <f t="shared" si="145"/>
        <v>39609.121699843497</v>
      </c>
      <c r="R373" s="227" t="str">
        <f t="shared" si="125"/>
        <v>0.0878666666666667+1.1696958220253i</v>
      </c>
      <c r="S373" s="227" t="str">
        <f t="shared" si="126"/>
        <v>0.0085-0.153886161351192i</v>
      </c>
      <c r="T373" s="227" t="str">
        <f t="shared" si="127"/>
        <v>0.0102996777309265-0.153665310912781i</v>
      </c>
      <c r="U373" s="227" t="str">
        <f t="shared" si="128"/>
        <v>-0.80386484510114+1.13414963472593i</v>
      </c>
      <c r="V373" s="227">
        <f t="shared" si="139"/>
        <v>2.8611817288052577</v>
      </c>
      <c r="W373" s="227">
        <f t="shared" si="140"/>
        <v>-234.6716722346161</v>
      </c>
      <c r="X373" s="227" t="str">
        <f t="shared" si="129"/>
        <v>0.988843502066965-0.0311043356425697i</v>
      </c>
      <c r="Y373" s="227" t="str">
        <f t="shared" si="130"/>
        <v>1.32346839471251-20.5762300057183i</v>
      </c>
      <c r="Z373" s="227" t="str">
        <f t="shared" si="131"/>
        <v>0.348226234563341-10.6170963547516i</v>
      </c>
      <c r="AA373" s="227" t="str">
        <f t="shared" si="132"/>
        <v>-0.895100590739559-0.477764168872616i</v>
      </c>
      <c r="AB373" s="227">
        <f t="shared" si="141"/>
        <v>0.1261102428616046</v>
      </c>
      <c r="AC373" s="227">
        <f t="shared" si="142"/>
        <v>-151.90871918851533</v>
      </c>
      <c r="AD373" s="229">
        <f t="shared" si="143"/>
        <v>-12.783384048873627</v>
      </c>
      <c r="AE373" s="229">
        <f t="shared" si="144"/>
        <v>144.20241018601928</v>
      </c>
      <c r="AF373" s="227">
        <f t="shared" si="133"/>
        <v>-12.657273806012022</v>
      </c>
      <c r="AG373" s="227">
        <f t="shared" si="134"/>
        <v>-7.7063090024960559</v>
      </c>
      <c r="AH373" s="229" t="str">
        <f t="shared" si="135"/>
        <v>0.186165414297447-0.134254827077312i</v>
      </c>
    </row>
    <row r="374" spans="9:34" x14ac:dyDescent="0.2">
      <c r="I374" s="227">
        <v>370</v>
      </c>
      <c r="J374" s="227">
        <f t="shared" si="123"/>
        <v>4.6075453349098581</v>
      </c>
      <c r="K374" s="227">
        <f t="shared" si="122"/>
        <v>40508.422865442823</v>
      </c>
      <c r="L374" s="227">
        <f t="shared" si="136"/>
        <v>254521.92736516794</v>
      </c>
      <c r="M374" s="227">
        <f t="shared" si="124"/>
        <v>35607.981302549713</v>
      </c>
      <c r="N374" s="227">
        <f>SQRT((ABS(AC374)-171.5+'Small Signal'!C$59)^2)</f>
        <v>50.969618112488519</v>
      </c>
      <c r="O374" s="227">
        <f t="shared" si="137"/>
        <v>8.8506999934692487</v>
      </c>
      <c r="P374" s="227">
        <f t="shared" si="138"/>
        <v>12.757339692818707</v>
      </c>
      <c r="Q374" s="227">
        <f t="shared" si="145"/>
        <v>40508.422865442823</v>
      </c>
      <c r="R374" s="227" t="str">
        <f t="shared" si="125"/>
        <v>0.0878666666666667+1.19625305861629i</v>
      </c>
      <c r="S374" s="227" t="str">
        <f t="shared" si="126"/>
        <v>0.0085-0.150469834708892i</v>
      </c>
      <c r="T374" s="227" t="str">
        <f t="shared" si="127"/>
        <v>0.0102204260435435-0.150254797573025i</v>
      </c>
      <c r="U374" s="227" t="str">
        <f t="shared" si="128"/>
        <v>-0.771516432330903+1.11136947703865i</v>
      </c>
      <c r="V374" s="227">
        <f t="shared" si="139"/>
        <v>2.625411952651751</v>
      </c>
      <c r="W374" s="227">
        <f t="shared" si="140"/>
        <v>-235.23148843998473</v>
      </c>
      <c r="X374" s="227" t="str">
        <f t="shared" si="129"/>
        <v>0.98833114792501-0.0318105407816416i</v>
      </c>
      <c r="Y374" s="227" t="str">
        <f t="shared" si="130"/>
        <v>1.26475985644537-20.1175457341718i</v>
      </c>
      <c r="Z374" s="227" t="str">
        <f t="shared" si="131"/>
        <v>0.317688243459545-10.3750450461927i</v>
      </c>
      <c r="AA374" s="227" t="str">
        <f t="shared" si="132"/>
        <v>-0.896067474286147-0.467067282833141i</v>
      </c>
      <c r="AB374" s="227">
        <f t="shared" si="141"/>
        <v>9.0634977640968367E-2</v>
      </c>
      <c r="AC374" s="227">
        <f t="shared" si="142"/>
        <v>-152.46961811248852</v>
      </c>
      <c r="AD374" s="229">
        <f t="shared" si="143"/>
        <v>-12.847974670459676</v>
      </c>
      <c r="AE374" s="229">
        <f t="shared" si="144"/>
        <v>143.61891811901927</v>
      </c>
      <c r="AF374" s="227">
        <f t="shared" si="133"/>
        <v>-12.757339692818707</v>
      </c>
      <c r="AG374" s="227">
        <f t="shared" si="134"/>
        <v>-8.8506999934692487</v>
      </c>
      <c r="AH374" s="229" t="str">
        <f t="shared" si="135"/>
        <v>0.183419511256861-0.135135068106681i</v>
      </c>
    </row>
    <row r="375" spans="9:34" x14ac:dyDescent="0.2">
      <c r="I375" s="227">
        <v>371</v>
      </c>
      <c r="J375" s="227">
        <f t="shared" si="123"/>
        <v>4.6172954574366418</v>
      </c>
      <c r="K375" s="227">
        <f t="shared" si="122"/>
        <v>41428.142120404926</v>
      </c>
      <c r="L375" s="227">
        <f t="shared" si="136"/>
        <v>260300.69387467598</v>
      </c>
      <c r="M375" s="227">
        <f t="shared" si="124"/>
        <v>36548.582227251332</v>
      </c>
      <c r="N375" s="227">
        <f>SQRT((ABS(AC375)-171.5+'Small Signal'!C$59)^2)</f>
        <v>51.523307079453758</v>
      </c>
      <c r="O375" s="227">
        <f t="shared" si="137"/>
        <v>9.9928391925264748</v>
      </c>
      <c r="P375" s="227">
        <f t="shared" si="138"/>
        <v>12.857758552142625</v>
      </c>
      <c r="Q375" s="227">
        <f t="shared" si="145"/>
        <v>41428.142120404926</v>
      </c>
      <c r="R375" s="227" t="str">
        <f t="shared" si="125"/>
        <v>0.0878666666666667+1.22341326121098i</v>
      </c>
      <c r="S375" s="227" t="str">
        <f t="shared" si="126"/>
        <v>0.0085-0.14712935171377i</v>
      </c>
      <c r="T375" s="227" t="str">
        <f t="shared" si="127"/>
        <v>0.0101446532289146-0.146919939539262i</v>
      </c>
      <c r="U375" s="227" t="str">
        <f t="shared" si="128"/>
        <v>-0.74059135522386+1.0889370720704i</v>
      </c>
      <c r="V375" s="227">
        <f t="shared" si="139"/>
        <v>2.3911408276614301</v>
      </c>
      <c r="W375" s="227">
        <f t="shared" si="140"/>
        <v>-235.78019115770047</v>
      </c>
      <c r="X375" s="227" t="str">
        <f t="shared" si="129"/>
        <v>0.987795264287655-0.0325327798815151i</v>
      </c>
      <c r="Y375" s="227" t="str">
        <f t="shared" si="130"/>
        <v>1.20868053999855-19.6691640389i</v>
      </c>
      <c r="Z375" s="227" t="str">
        <f t="shared" si="131"/>
        <v>0.288517958463561-10.1383087042359i</v>
      </c>
      <c r="AA375" s="227" t="str">
        <f t="shared" si="132"/>
        <v>-0.897033628971404-0.456601924199389i</v>
      </c>
      <c r="AB375" s="227">
        <f t="shared" si="141"/>
        <v>5.6757414567693232E-2</v>
      </c>
      <c r="AC375" s="227">
        <f t="shared" si="142"/>
        <v>-153.02330707945376</v>
      </c>
      <c r="AD375" s="229">
        <f t="shared" si="143"/>
        <v>-12.914515966710319</v>
      </c>
      <c r="AE375" s="229">
        <f t="shared" si="144"/>
        <v>143.03046788692728</v>
      </c>
      <c r="AF375" s="227">
        <f t="shared" si="133"/>
        <v>-12.857758552142625</v>
      </c>
      <c r="AG375" s="227">
        <f t="shared" si="134"/>
        <v>-9.9928391925264748</v>
      </c>
      <c r="AH375" s="229" t="str">
        <f t="shared" si="135"/>
        <v>0.18063285641032-0.135966082832716i</v>
      </c>
    </row>
    <row r="376" spans="9:34" x14ac:dyDescent="0.2">
      <c r="I376" s="227">
        <v>372</v>
      </c>
      <c r="J376" s="227">
        <f t="shared" si="123"/>
        <v>4.6270455799634247</v>
      </c>
      <c r="K376" s="227">
        <f t="shared" si="122"/>
        <v>42368.743045106545</v>
      </c>
      <c r="L376" s="227">
        <f t="shared" si="136"/>
        <v>266210.66378468071</v>
      </c>
      <c r="M376" s="227">
        <f t="shared" si="124"/>
        <v>37510.538927381604</v>
      </c>
      <c r="N376" s="227">
        <f>SQRT((ABS(AC376)-171.5+'Small Signal'!C$59)^2)</f>
        <v>52.069750231713357</v>
      </c>
      <c r="O376" s="227">
        <f t="shared" si="137"/>
        <v>11.132434943577948</v>
      </c>
      <c r="P376" s="227">
        <f t="shared" si="138"/>
        <v>12.958586915365338</v>
      </c>
      <c r="Q376" s="227">
        <f t="shared" si="145"/>
        <v>42368.743045106545</v>
      </c>
      <c r="R376" s="227" t="str">
        <f t="shared" si="125"/>
        <v>0.0878666666666667+1.251190119788i</v>
      </c>
      <c r="S376" s="227" t="str">
        <f t="shared" si="126"/>
        <v>0.0085-0.143863028610311i</v>
      </c>
      <c r="T376" s="227" t="str">
        <f t="shared" si="127"/>
        <v>0.0100722066143497-0.143659061097504i</v>
      </c>
      <c r="U376" s="227" t="str">
        <f t="shared" si="128"/>
        <v>-0.711026877632754+1.06685517628531i</v>
      </c>
      <c r="V376" s="227">
        <f t="shared" si="139"/>
        <v>2.1583290915963156</v>
      </c>
      <c r="W376" s="227">
        <f t="shared" si="140"/>
        <v>-236.31773763318685</v>
      </c>
      <c r="X376" s="227" t="str">
        <f t="shared" si="129"/>
        <v>0.987234770579753-0.0332714169835781i</v>
      </c>
      <c r="Y376" s="227" t="str">
        <f t="shared" si="130"/>
        <v>1.15511056946146-19.2308487443655i</v>
      </c>
      <c r="Z376" s="227" t="str">
        <f t="shared" si="131"/>
        <v>0.260653013748569-9.90676264817513i</v>
      </c>
      <c r="AA376" s="227" t="str">
        <f t="shared" si="132"/>
        <v>-0.898001044104205-0.446362679526758i</v>
      </c>
      <c r="AB376" s="227">
        <f t="shared" si="141"/>
        <v>2.4449218828516261E-2</v>
      </c>
      <c r="AC376" s="227">
        <f t="shared" si="142"/>
        <v>-153.56975023171336</v>
      </c>
      <c r="AD376" s="229">
        <f t="shared" si="143"/>
        <v>-12.983036134193854</v>
      </c>
      <c r="AE376" s="229">
        <f t="shared" si="144"/>
        <v>142.43731528813541</v>
      </c>
      <c r="AF376" s="227">
        <f t="shared" si="133"/>
        <v>-12.958586915365338</v>
      </c>
      <c r="AG376" s="227">
        <f t="shared" si="134"/>
        <v>-11.132434943577948</v>
      </c>
      <c r="AH376" s="229" t="str">
        <f t="shared" si="135"/>
        <v>0.177807405740256-0.136745749955953i</v>
      </c>
    </row>
    <row r="377" spans="9:34" x14ac:dyDescent="0.2">
      <c r="I377" s="227">
        <v>373</v>
      </c>
      <c r="J377" s="227">
        <f t="shared" si="123"/>
        <v>4.6367957024902084</v>
      </c>
      <c r="K377" s="227">
        <f t="shared" si="122"/>
        <v>43330.699745236816</v>
      </c>
      <c r="L377" s="227">
        <f t="shared" si="136"/>
        <v>272254.81598908221</v>
      </c>
      <c r="M377" s="227">
        <f t="shared" si="124"/>
        <v>38494.336272912667</v>
      </c>
      <c r="N377" s="227">
        <f>SQRT((ABS(AC377)-171.5+'Small Signal'!C$59)^2)</f>
        <v>52.608922123563275</v>
      </c>
      <c r="O377" s="227">
        <f t="shared" si="137"/>
        <v>12.269196798759538</v>
      </c>
      <c r="P377" s="227">
        <f t="shared" si="138"/>
        <v>13.059879290834598</v>
      </c>
      <c r="Q377" s="227">
        <f t="shared" si="145"/>
        <v>43330.699745236816</v>
      </c>
      <c r="R377" s="227" t="str">
        <f t="shared" si="125"/>
        <v>0.0878666666666667+1.27959763514869i</v>
      </c>
      <c r="S377" s="227" t="str">
        <f t="shared" si="126"/>
        <v>0.0085-0.140669219022966i</v>
      </c>
      <c r="T377" s="227" t="str">
        <f t="shared" si="127"/>
        <v>0.0100029402240662-0.140470523483886i</v>
      </c>
      <c r="U377" s="227" t="str">
        <f t="shared" si="128"/>
        <v>-0.682763036646193+1.0451257826524i</v>
      </c>
      <c r="V377" s="227">
        <f t="shared" si="139"/>
        <v>1.9269378337237275</v>
      </c>
      <c r="W377" s="227">
        <f t="shared" si="140"/>
        <v>-236.84409233236795</v>
      </c>
      <c r="X377" s="227" t="str">
        <f t="shared" si="129"/>
        <v>0.986648536601516-0.0340268243945581i</v>
      </c>
      <c r="Y377" s="227" t="str">
        <f t="shared" si="130"/>
        <v>1.10393571470632-18.802369367438i</v>
      </c>
      <c r="Z377" s="227" t="str">
        <f t="shared" si="131"/>
        <v>0.234033981318174-9.68028513934881i</v>
      </c>
      <c r="AA377" s="227" t="str">
        <f t="shared" si="132"/>
        <v>-0.898971715974047-0.436344229572157i</v>
      </c>
      <c r="AB377" s="227">
        <f t="shared" si="141"/>
        <v>-6.3173545934402673E-3</v>
      </c>
      <c r="AC377" s="227">
        <f t="shared" si="142"/>
        <v>-154.10892212356327</v>
      </c>
      <c r="AD377" s="229">
        <f t="shared" si="143"/>
        <v>-13.053561936241158</v>
      </c>
      <c r="AE377" s="229">
        <f t="shared" si="144"/>
        <v>141.83972532480374</v>
      </c>
      <c r="AF377" s="227">
        <f t="shared" si="133"/>
        <v>-13.059879290834598</v>
      </c>
      <c r="AG377" s="227">
        <f t="shared" si="134"/>
        <v>-12.269196798759538</v>
      </c>
      <c r="AH377" s="229" t="str">
        <f t="shared" si="135"/>
        <v>0.174945249291392-0.137472034769136i</v>
      </c>
    </row>
    <row r="378" spans="9:34" x14ac:dyDescent="0.2">
      <c r="I378" s="227">
        <v>374</v>
      </c>
      <c r="J378" s="227">
        <f t="shared" si="123"/>
        <v>4.6465458250169913</v>
      </c>
      <c r="K378" s="227">
        <f t="shared" si="122"/>
        <v>44314.49709076788</v>
      </c>
      <c r="L378" s="227">
        <f t="shared" si="136"/>
        <v>278436.19701576524</v>
      </c>
      <c r="M378" s="227">
        <f t="shared" si="124"/>
        <v>39500.470142496379</v>
      </c>
      <c r="N378" s="227">
        <f>SQRT((ABS(AC378)-171.5+'Small Signal'!C$59)^2)</f>
        <v>53.140807517325669</v>
      </c>
      <c r="O378" s="227">
        <f t="shared" si="137"/>
        <v>13.402835731151839</v>
      </c>
      <c r="P378" s="227">
        <f t="shared" si="138"/>
        <v>13.161687986198469</v>
      </c>
      <c r="Q378" s="227">
        <f t="shared" si="145"/>
        <v>44314.49709076788</v>
      </c>
      <c r="R378" s="227" t="str">
        <f t="shared" si="125"/>
        <v>0.0878666666666667+1.3086501259741i</v>
      </c>
      <c r="S378" s="227" t="str">
        <f t="shared" si="126"/>
        <v>0.0085-0.137546313126296i</v>
      </c>
      <c r="T378" s="227" t="str">
        <f t="shared" si="127"/>
        <v>0.00993671448571032-0.137352724080708i</v>
      </c>
      <c r="U378" s="227" t="str">
        <f t="shared" si="128"/>
        <v>-0.655742519481705+1.02375018545821i</v>
      </c>
      <c r="V378" s="227">
        <f t="shared" si="139"/>
        <v>1.6969285565310561</v>
      </c>
      <c r="W378" s="227">
        <f t="shared" si="140"/>
        <v>-237.35922670316154</v>
      </c>
      <c r="X378" s="227" t="str">
        <f t="shared" si="129"/>
        <v>0.986035380249545-0.0347993828741819i</v>
      </c>
      <c r="Y378" s="227" t="str">
        <f t="shared" si="130"/>
        <v>1.05504711046502-18.3835009656999i</v>
      </c>
      <c r="Z378" s="227" t="str">
        <f t="shared" si="131"/>
        <v>0.208604224776976-9.45875730102845i</v>
      </c>
      <c r="AA378" s="227" t="str">
        <f t="shared" si="132"/>
        <v>-0.899947652245117-0.426541345713567i</v>
      </c>
      <c r="AB378" s="227">
        <f t="shared" si="141"/>
        <v>-3.5569376152636785E-2</v>
      </c>
      <c r="AC378" s="227">
        <f t="shared" si="142"/>
        <v>-154.64080751732567</v>
      </c>
      <c r="AD378" s="229">
        <f t="shared" si="143"/>
        <v>-13.126118610045832</v>
      </c>
      <c r="AE378" s="229">
        <f t="shared" si="144"/>
        <v>141.23797178617383</v>
      </c>
      <c r="AF378" s="227">
        <f t="shared" si="133"/>
        <v>-13.161687986198469</v>
      </c>
      <c r="AG378" s="227">
        <f t="shared" si="134"/>
        <v>-13.402835731151839</v>
      </c>
      <c r="AH378" s="229" t="str">
        <f t="shared" si="135"/>
        <v>0.172048606646861-0.138142999407639i</v>
      </c>
    </row>
    <row r="379" spans="9:34" x14ac:dyDescent="0.2">
      <c r="I379" s="227">
        <v>375</v>
      </c>
      <c r="J379" s="227">
        <f t="shared" si="123"/>
        <v>4.6562959475437751</v>
      </c>
      <c r="K379" s="227">
        <f t="shared" si="122"/>
        <v>45320.630960351591</v>
      </c>
      <c r="L379" s="227">
        <f t="shared" si="136"/>
        <v>284757.9225621894</v>
      </c>
      <c r="M379" s="227">
        <f t="shared" si="124"/>
        <v>40529.447673409391</v>
      </c>
      <c r="N379" s="227">
        <f>SQRT((ABS(AC379)-171.5+'Small Signal'!C$59)^2)</f>
        <v>53.665401168651442</v>
      </c>
      <c r="O379" s="227">
        <f t="shared" si="137"/>
        <v>14.53306438418673</v>
      </c>
      <c r="P379" s="227">
        <f t="shared" si="138"/>
        <v>13.264062937537938</v>
      </c>
      <c r="Q379" s="227">
        <f t="shared" si="145"/>
        <v>45320.630960351591</v>
      </c>
      <c r="R379" s="227" t="str">
        <f t="shared" si="125"/>
        <v>0.0878666666666667+1.33836223604229i</v>
      </c>
      <c r="S379" s="227" t="str">
        <f t="shared" si="126"/>
        <v>0.0085-0.134492736833552i</v>
      </c>
      <c r="T379" s="227" t="str">
        <f t="shared" si="127"/>
        <v>0.00987339594971666-0.134304095629277i</v>
      </c>
      <c r="U379" s="227" t="str">
        <f t="shared" si="128"/>
        <v>-0.629910545865992+1.00272904033747i</v>
      </c>
      <c r="V379" s="227">
        <f t="shared" si="139"/>
        <v>1.4682632334907737</v>
      </c>
      <c r="W379" s="227">
        <f t="shared" si="140"/>
        <v>-237.86311891833972</v>
      </c>
      <c r="X379" s="227" t="str">
        <f t="shared" si="129"/>
        <v>0.985394065133195-0.0355894818270959i</v>
      </c>
      <c r="Y379" s="227" t="str">
        <f t="shared" si="130"/>
        <v>1.00834099060088-17.9740239903382i</v>
      </c>
      <c r="Z379" s="227" t="str">
        <f t="shared" si="131"/>
        <v>0.184309761014418-9.24206304070101i</v>
      </c>
      <c r="AA379" s="227" t="str">
        <f t="shared" si="132"/>
        <v>-0.900930876412134-0.416948886299442i</v>
      </c>
      <c r="AB379" s="227">
        <f t="shared" si="141"/>
        <v>-6.3333160262758634E-2</v>
      </c>
      <c r="AC379" s="227">
        <f t="shared" si="142"/>
        <v>-155.16540116865144</v>
      </c>
      <c r="AD379" s="229">
        <f t="shared" si="143"/>
        <v>-13.20072977727518</v>
      </c>
      <c r="AE379" s="229">
        <f t="shared" si="144"/>
        <v>140.63233678446471</v>
      </c>
      <c r="AF379" s="227">
        <f t="shared" si="133"/>
        <v>-13.264062937537938</v>
      </c>
      <c r="AG379" s="227">
        <f t="shared" si="134"/>
        <v>-14.53306438418673</v>
      </c>
      <c r="AH379" s="229" t="str">
        <f t="shared" si="135"/>
        <v>0.169119821485526-0.138756812847981i</v>
      </c>
    </row>
    <row r="380" spans="9:34" x14ac:dyDescent="0.2">
      <c r="I380" s="227">
        <v>376</v>
      </c>
      <c r="J380" s="227">
        <f t="shared" si="123"/>
        <v>4.6660460700705588</v>
      </c>
      <c r="K380" s="227">
        <f t="shared" si="122"/>
        <v>46349.608491264604</v>
      </c>
      <c r="L380" s="227">
        <f t="shared" si="136"/>
        <v>291223.17906583997</v>
      </c>
      <c r="M380" s="227">
        <f t="shared" si="124"/>
        <v>41581.787517173922</v>
      </c>
      <c r="N380" s="227">
        <f>SQRT((ABS(AC380)-171.5+'Small Signal'!C$59)^2)</f>
        <v>54.182707603967515</v>
      </c>
      <c r="O380" s="227">
        <f t="shared" si="137"/>
        <v>15.659597359217855</v>
      </c>
      <c r="P380" s="227">
        <f t="shared" si="138"/>
        <v>13.367051545904278</v>
      </c>
      <c r="Q380" s="227">
        <f t="shared" si="145"/>
        <v>46349.608491264604</v>
      </c>
      <c r="R380" s="227" t="str">
        <f t="shared" si="125"/>
        <v>0.0878666666666667+1.36874894160945i</v>
      </c>
      <c r="S380" s="227" t="str">
        <f t="shared" si="126"/>
        <v>0.0085-0.131506951003262i</v>
      </c>
      <c r="T380" s="227" t="str">
        <f t="shared" si="127"/>
        <v>0.00981285702094426-0.131323105459217i</v>
      </c>
      <c r="U380" s="227" t="str">
        <f t="shared" si="128"/>
        <v>-0.605214755658625+0.982062419869639i</v>
      </c>
      <c r="V380" s="227">
        <f t="shared" si="139"/>
        <v>1.2409043628589758</v>
      </c>
      <c r="W380" s="227">
        <f t="shared" si="140"/>
        <v>-238.3557536023819</v>
      </c>
      <c r="X380" s="227" t="str">
        <f t="shared" si="129"/>
        <v>0.984723298081468-0.0363975194991432i</v>
      </c>
      <c r="Y380" s="227" t="str">
        <f t="shared" si="130"/>
        <v>0.963718436659919-17.5737241434891i</v>
      </c>
      <c r="Z380" s="227" t="str">
        <f t="shared" si="131"/>
        <v>0.161099129324898-9.03008897467283i</v>
      </c>
      <c r="AA380" s="227" t="str">
        <f t="shared" si="132"/>
        <v>-0.901923432330254-0.407561792918639i</v>
      </c>
      <c r="AB380" s="227">
        <f t="shared" si="141"/>
        <v>-8.9634187069568272E-2</v>
      </c>
      <c r="AC380" s="227">
        <f t="shared" si="142"/>
        <v>-155.68270760396751</v>
      </c>
      <c r="AD380" s="229">
        <f t="shared" si="143"/>
        <v>-13.277417358834709</v>
      </c>
      <c r="AE380" s="229">
        <f t="shared" si="144"/>
        <v>140.02311024474966</v>
      </c>
      <c r="AF380" s="227">
        <f t="shared" si="133"/>
        <v>-13.367051545904278</v>
      </c>
      <c r="AG380" s="227">
        <f t="shared" si="134"/>
        <v>-15.659597359217855</v>
      </c>
      <c r="AH380" s="229" t="str">
        <f t="shared" si="135"/>
        <v>0.166161355233591-0.139311760560851i</v>
      </c>
    </row>
    <row r="381" spans="9:34" x14ac:dyDescent="0.2">
      <c r="I381" s="227">
        <v>377</v>
      </c>
      <c r="J381" s="227">
        <f t="shared" si="123"/>
        <v>4.6757961925973417</v>
      </c>
      <c r="K381" s="227">
        <f t="shared" si="122"/>
        <v>47401.948335029134</v>
      </c>
      <c r="L381" s="227">
        <f t="shared" si="136"/>
        <v>297835.22531034093</v>
      </c>
      <c r="M381" s="227">
        <f t="shared" si="124"/>
        <v>42658.020100981405</v>
      </c>
      <c r="N381" s="227">
        <f>SQRT((ABS(AC381)-171.5+'Small Signal'!C$59)^2)</f>
        <v>54.692740892873871</v>
      </c>
      <c r="O381" s="227">
        <f t="shared" si="137"/>
        <v>16.782151542232498</v>
      </c>
      <c r="P381" s="227">
        <f t="shared" si="138"/>
        <v>13.470698521826352</v>
      </c>
      <c r="Q381" s="227">
        <f t="shared" si="145"/>
        <v>47401.948335029134</v>
      </c>
      <c r="R381" s="227" t="str">
        <f t="shared" si="125"/>
        <v>0.0878666666666667+1.3998255589586i</v>
      </c>
      <c r="S381" s="227" t="str">
        <f t="shared" si="126"/>
        <v>0.0085-0.128587450663432i</v>
      </c>
      <c r="T381" s="227" t="str">
        <f t="shared" si="127"/>
        <v>0.00975497570205593-0.12840825473397i</v>
      </c>
      <c r="U381" s="227" t="str">
        <f t="shared" si="128"/>
        <v>-0.58160510148603+0.961749865063432i</v>
      </c>
      <c r="V381" s="227">
        <f t="shared" si="139"/>
        <v>1.0148150175233861</v>
      </c>
      <c r="W381" s="227">
        <f t="shared" si="140"/>
        <v>-238.83712154484158</v>
      </c>
      <c r="X381" s="227" t="str">
        <f t="shared" si="129"/>
        <v>0.984021726535418-0.0372239031780985i</v>
      </c>
      <c r="Y381" s="227" t="str">
        <f t="shared" si="130"/>
        <v>0.921085139847747-17.1823922399039i</v>
      </c>
      <c r="Z381" s="227" t="str">
        <f t="shared" si="131"/>
        <v>0.138923267519151-8.82272435492566i</v>
      </c>
      <c r="AA381" s="227" t="str">
        <f t="shared" si="132"/>
        <v>-0.902927388831715-0.398375086580757i</v>
      </c>
      <c r="AB381" s="227">
        <f t="shared" si="141"/>
        <v>-0.11449702740637366</v>
      </c>
      <c r="AC381" s="227">
        <f t="shared" si="142"/>
        <v>-156.19274089287387</v>
      </c>
      <c r="AD381" s="229">
        <f t="shared" si="143"/>
        <v>-13.356201494419977</v>
      </c>
      <c r="AE381" s="229">
        <f t="shared" si="144"/>
        <v>139.41058935064137</v>
      </c>
      <c r="AF381" s="227">
        <f t="shared" si="133"/>
        <v>-13.470698521826352</v>
      </c>
      <c r="AG381" s="227">
        <f t="shared" si="134"/>
        <v>-16.782151542232498</v>
      </c>
      <c r="AH381" s="229" t="str">
        <f t="shared" si="135"/>
        <v>0.163175779834228-0.139806253725248i</v>
      </c>
    </row>
    <row r="382" spans="9:34" x14ac:dyDescent="0.2">
      <c r="I382" s="227">
        <v>378</v>
      </c>
      <c r="J382" s="227">
        <f t="shared" si="123"/>
        <v>4.6855463151241246</v>
      </c>
      <c r="K382" s="227">
        <f t="shared" si="122"/>
        <v>48478.180918836617</v>
      </c>
      <c r="L382" s="227">
        <f t="shared" si="136"/>
        <v>304597.39406802802</v>
      </c>
      <c r="M382" s="227">
        <f t="shared" si="124"/>
        <v>43758.687895052019</v>
      </c>
      <c r="N382" s="227">
        <f>SQRT((ABS(AC382)-171.5+'Small Signal'!C$59)^2)</f>
        <v>55.195524418235493</v>
      </c>
      <c r="O382" s="227">
        <f t="shared" si="137"/>
        <v>17.900446470182032</v>
      </c>
      <c r="P382" s="227">
        <f t="shared" si="138"/>
        <v>13.575045738299753</v>
      </c>
      <c r="Q382" s="227">
        <f t="shared" si="145"/>
        <v>48478.180918836617</v>
      </c>
      <c r="R382" s="227" t="str">
        <f t="shared" si="125"/>
        <v>0.0878666666666667+1.43160775211973i</v>
      </c>
      <c r="S382" s="227" t="str">
        <f t="shared" si="126"/>
        <v>0.0085-0.125732764252974i</v>
      </c>
      <c r="T382" s="227" t="str">
        <f t="shared" si="127"/>
        <v>0.00969963534812771-0.125558077712166i</v>
      </c>
      <c r="U382" s="227" t="str">
        <f t="shared" si="128"/>
        <v>-0.559033746162318+0.941790433026994i</v>
      </c>
      <c r="V382" s="227">
        <f t="shared" si="139"/>
        <v>0.78995889093974281</v>
      </c>
      <c r="W382" s="227">
        <f t="shared" si="140"/>
        <v>-239.30721940263456</v>
      </c>
      <c r="X382" s="227" t="str">
        <f t="shared" si="129"/>
        <v>0.983287935820804-0.0380690493989587i</v>
      </c>
      <c r="Y382" s="227" t="str">
        <f t="shared" si="130"/>
        <v>0.880351175635633-16.7998240727964i</v>
      </c>
      <c r="Z382" s="227" t="str">
        <f t="shared" si="131"/>
        <v>0.117735394612048-8.6198609981503i</v>
      </c>
      <c r="AA382" s="227" t="str">
        <f t="shared" si="132"/>
        <v>-0.903944844442633-0.389383863795583i</v>
      </c>
      <c r="AB382" s="227">
        <f t="shared" si="141"/>
        <v>-0.13794527083285174</v>
      </c>
      <c r="AC382" s="227">
        <f t="shared" si="142"/>
        <v>-156.69552441823549</v>
      </c>
      <c r="AD382" s="229">
        <f t="shared" si="143"/>
        <v>-13.437100467466902</v>
      </c>
      <c r="AE382" s="229">
        <f t="shared" si="144"/>
        <v>138.79507794805346</v>
      </c>
      <c r="AF382" s="227">
        <f t="shared" si="133"/>
        <v>-13.575045738299753</v>
      </c>
      <c r="AG382" s="227">
        <f t="shared" si="134"/>
        <v>-17.900446470182032</v>
      </c>
      <c r="AH382" s="229" t="str">
        <f t="shared" si="135"/>
        <v>0.160165769669845-0.140238837911954i</v>
      </c>
    </row>
    <row r="383" spans="9:34" x14ac:dyDescent="0.2">
      <c r="I383" s="227">
        <v>379</v>
      </c>
      <c r="J383" s="227">
        <f t="shared" si="123"/>
        <v>4.6952964376509083</v>
      </c>
      <c r="K383" s="227">
        <f t="shared" ref="K383:K404" si="146">10^(J383)</f>
        <v>49578.848712907231</v>
      </c>
      <c r="L383" s="227">
        <f t="shared" si="136"/>
        <v>311513.09377981827</v>
      </c>
      <c r="M383" s="227">
        <f t="shared" si="124"/>
        <v>44884.345686064502</v>
      </c>
      <c r="N383" s="227">
        <f>SQRT((ABS(AC383)-171.5+'Small Signal'!C$59)^2)</f>
        <v>55.691090646625156</v>
      </c>
      <c r="O383" s="227">
        <f t="shared" si="137"/>
        <v>19.014204736905327</v>
      </c>
      <c r="P383" s="227">
        <f t="shared" si="138"/>
        <v>13.680132092716082</v>
      </c>
      <c r="Q383" s="227">
        <f t="shared" si="145"/>
        <v>49578.848712907231</v>
      </c>
      <c r="R383" s="227" t="str">
        <f t="shared" si="125"/>
        <v>0.0878666666666667+1.46411154076515i</v>
      </c>
      <c r="S383" s="227" t="str">
        <f t="shared" si="126"/>
        <v>0.0085-0.122941452879971i</v>
      </c>
      <c r="T383" s="227" t="str">
        <f t="shared" si="127"/>
        <v>0.00964672443199894-0.122771141024589i</v>
      </c>
      <c r="U383" s="227" t="str">
        <f t="shared" si="128"/>
        <v>-0.537454964683549+0.922182741099783i</v>
      </c>
      <c r="V383" s="227">
        <f t="shared" si="139"/>
        <v>0.56630033922456291</v>
      </c>
      <c r="W383" s="227">
        <f t="shared" si="140"/>
        <v>-239.76604939352785</v>
      </c>
      <c r="X383" s="227" t="str">
        <f t="shared" si="129"/>
        <v>0.982520446295486-0.0389333841538966i</v>
      </c>
      <c r="Y383" s="227" t="str">
        <f t="shared" si="130"/>
        <v>0.841430790252141-16.4258202837481i</v>
      </c>
      <c r="Z383" s="227" t="str">
        <f t="shared" si="131"/>
        <v>0.0974908996991891-8.42139321689184i</v>
      </c>
      <c r="AA383" s="227" t="str">
        <f t="shared" si="132"/>
        <v>-0.904977932213623-0.380583292539311i</v>
      </c>
      <c r="AB383" s="227">
        <f t="shared" si="141"/>
        <v>-0.16000145663298665</v>
      </c>
      <c r="AC383" s="227">
        <f t="shared" si="142"/>
        <v>-157.19109064662516</v>
      </c>
      <c r="AD383" s="229">
        <f t="shared" si="143"/>
        <v>-13.520130636083096</v>
      </c>
      <c r="AE383" s="229">
        <f t="shared" si="144"/>
        <v>138.17688590971983</v>
      </c>
      <c r="AF383" s="227">
        <f t="shared" si="133"/>
        <v>-13.680132092716082</v>
      </c>
      <c r="AG383" s="227">
        <f t="shared" si="134"/>
        <v>-19.014204736905327</v>
      </c>
      <c r="AH383" s="229" t="str">
        <f t="shared" si="135"/>
        <v>0.157134092682371-0.140608201147586i</v>
      </c>
    </row>
    <row r="384" spans="9:34" x14ac:dyDescent="0.2">
      <c r="I384" s="227">
        <v>380</v>
      </c>
      <c r="J384" s="227">
        <f t="shared" si="123"/>
        <v>4.7050465601776921</v>
      </c>
      <c r="K384" s="227">
        <f t="shared" si="146"/>
        <v>50704.506503919714</v>
      </c>
      <c r="L384" s="227">
        <f t="shared" si="136"/>
        <v>318585.81027322012</v>
      </c>
      <c r="M384" s="227">
        <f t="shared" si="124"/>
        <v>46035.560856793571</v>
      </c>
      <c r="N384" s="227">
        <f>SQRT((ABS(AC384)-171.5+'Small Signal'!C$59)^2)</f>
        <v>56.179480901706199</v>
      </c>
      <c r="O384" s="227">
        <f t="shared" si="137"/>
        <v>20.123152438148225</v>
      </c>
      <c r="P384" s="227">
        <f t="shared" si="138"/>
        <v>13.785993378128492</v>
      </c>
      <c r="Q384" s="227">
        <f t="shared" si="145"/>
        <v>50704.506503919714</v>
      </c>
      <c r="R384" s="227" t="str">
        <f t="shared" si="125"/>
        <v>0.0878666666666667+1.49735330828413i</v>
      </c>
      <c r="S384" s="227" t="str">
        <f t="shared" si="126"/>
        <v>0.0085-0.12021210959641i</v>
      </c>
      <c r="T384" s="227" t="str">
        <f t="shared" si="127"/>
        <v>0.00959613631989395-0.120046042966422i</v>
      </c>
      <c r="U384" s="227" t="str">
        <f t="shared" si="128"/>
        <v>-0.516825050590967+0.902925007701372i</v>
      </c>
      <c r="V384" s="227">
        <f t="shared" si="139"/>
        <v>0.34380441948968599</v>
      </c>
      <c r="W384" s="227">
        <f t="shared" si="140"/>
        <v>-240.21361898298272</v>
      </c>
      <c r="X384" s="227" t="str">
        <f t="shared" si="129"/>
        <v>0.981717710365824-0.0398173431069795i</v>
      </c>
      <c r="Y384" s="227" t="str">
        <f t="shared" si="130"/>
        <v>0.804242198366012-16.0601862365321i</v>
      </c>
      <c r="Z384" s="227" t="str">
        <f t="shared" si="131"/>
        <v>0.0781472366607447-8.22721775273304i</v>
      </c>
      <c r="AA384" s="227" t="str">
        <f t="shared" si="132"/>
        <v>-0.906028824678994-0.37196860809385i</v>
      </c>
      <c r="AB384" s="227">
        <f t="shared" si="141"/>
        <v>-0.18068700762024656</v>
      </c>
      <c r="AC384" s="227">
        <f t="shared" si="142"/>
        <v>-157.6794809017062</v>
      </c>
      <c r="AD384" s="229">
        <f t="shared" si="143"/>
        <v>-13.605306370508245</v>
      </c>
      <c r="AE384" s="229">
        <f t="shared" si="144"/>
        <v>137.55632846355797</v>
      </c>
      <c r="AF384" s="227">
        <f t="shared" si="133"/>
        <v>-13.785993378128492</v>
      </c>
      <c r="AG384" s="227">
        <f t="shared" si="134"/>
        <v>-20.123152438148225</v>
      </c>
      <c r="AH384" s="229" t="str">
        <f t="shared" si="135"/>
        <v>0.154083600747384-0.140913181274864i</v>
      </c>
    </row>
    <row r="385" spans="2:34" x14ac:dyDescent="0.2">
      <c r="I385" s="227">
        <v>381</v>
      </c>
      <c r="J385" s="227">
        <f t="shared" si="123"/>
        <v>4.7147966827044758</v>
      </c>
      <c r="K385" s="227">
        <f t="shared" si="146"/>
        <v>51855.721674648783</v>
      </c>
      <c r="L385" s="227">
        <f t="shared" si="136"/>
        <v>325819.10851934727</v>
      </c>
      <c r="M385" s="227">
        <f t="shared" si="124"/>
        <v>47212.913672096976</v>
      </c>
      <c r="N385" s="227">
        <f>SQRT((ABS(AC385)-171.5+'Small Signal'!C$59)^2)</f>
        <v>56.660745143047961</v>
      </c>
      <c r="O385" s="227">
        <f t="shared" si="137"/>
        <v>21.227019654699859</v>
      </c>
      <c r="P385" s="227">
        <f t="shared" si="138"/>
        <v>13.892662164186346</v>
      </c>
      <c r="Q385" s="227">
        <f t="shared" si="145"/>
        <v>51855.721674648783</v>
      </c>
      <c r="R385" s="227" t="str">
        <f t="shared" si="125"/>
        <v>0.0878666666666667+1.53134981004093i</v>
      </c>
      <c r="S385" s="227" t="str">
        <f t="shared" si="126"/>
        <v>0.0085-0.117543358689017i</v>
      </c>
      <c r="T385" s="227" t="str">
        <f t="shared" si="127"/>
        <v>0.0095477690568675-0.117381412804507i</v>
      </c>
      <c r="U385" s="227" t="str">
        <f t="shared" si="128"/>
        <v>-0.497102226508005+0.884015090133963i</v>
      </c>
      <c r="V385" s="227">
        <f t="shared" si="139"/>
        <v>0.12243692452696431</v>
      </c>
      <c r="W385" s="227">
        <f t="shared" si="140"/>
        <v>-240.64994056636266</v>
      </c>
      <c r="X385" s="227" t="str">
        <f t="shared" si="129"/>
        <v>0.980878109366054-0.0407213718137639i</v>
      </c>
      <c r="Y385" s="227" t="str">
        <f t="shared" si="130"/>
        <v>0.768707391311288-15.7027318947342i</v>
      </c>
      <c r="Z385" s="227" t="str">
        <f t="shared" si="131"/>
        <v>0.059663824354265-8.03723371145072i</v>
      </c>
      <c r="AA385" s="227" t="str">
        <f t="shared" si="132"/>
        <v>-0.907099738959661-0.363535108744247i</v>
      </c>
      <c r="AB385" s="227">
        <f t="shared" si="141"/>
        <v>-0.20002216657835223</v>
      </c>
      <c r="AC385" s="227">
        <f t="shared" si="142"/>
        <v>-158.16074514304796</v>
      </c>
      <c r="AD385" s="229">
        <f t="shared" si="143"/>
        <v>-13.692639997607994</v>
      </c>
      <c r="AE385" s="229">
        <f t="shared" si="144"/>
        <v>136.9337254883481</v>
      </c>
      <c r="AF385" s="227">
        <f t="shared" si="133"/>
        <v>-13.892662164186346</v>
      </c>
      <c r="AG385" s="227">
        <f t="shared" si="134"/>
        <v>-21.227019654699859</v>
      </c>
      <c r="AH385" s="229" t="str">
        <f t="shared" si="135"/>
        <v>0.151017219367928-0.141152772530507i</v>
      </c>
    </row>
    <row r="386" spans="2:34" x14ac:dyDescent="0.2">
      <c r="I386" s="227">
        <v>382</v>
      </c>
      <c r="J386" s="227">
        <f t="shared" si="123"/>
        <v>4.7245468052312596</v>
      </c>
      <c r="K386" s="227">
        <f t="shared" si="146"/>
        <v>53033.074489952189</v>
      </c>
      <c r="L386" s="227">
        <f t="shared" si="136"/>
        <v>333216.63442982815</v>
      </c>
      <c r="M386" s="227">
        <f t="shared" si="124"/>
        <v>48416.997571395128</v>
      </c>
      <c r="N386" s="227">
        <f>SQRT((ABS(AC386)-171.5+'Small Signal'!C$59)^2)</f>
        <v>57.134941752793111</v>
      </c>
      <c r="O386" s="227">
        <f t="shared" si="137"/>
        <v>22.325540972253918</v>
      </c>
      <c r="P386" s="227">
        <f t="shared" si="138"/>
        <v>14.000167688001913</v>
      </c>
      <c r="Q386" s="227">
        <f t="shared" si="145"/>
        <v>53033.074489952189</v>
      </c>
      <c r="R386" s="227" t="str">
        <f t="shared" si="125"/>
        <v>0.0878666666666667+1.56611818182019i</v>
      </c>
      <c r="S386" s="227" t="str">
        <f t="shared" si="126"/>
        <v>0.0085-0.114933854985834i</v>
      </c>
      <c r="T386" s="227" t="str">
        <f t="shared" si="127"/>
        <v>0.00950152516164451-0.114775910099305i</v>
      </c>
      <c r="U386" s="227" t="str">
        <f t="shared" si="128"/>
        <v>-0.478246558664198+0.865450519557574i</v>
      </c>
      <c r="V386" s="227">
        <f t="shared" si="139"/>
        <v>-9.7835586036403646E-2</v>
      </c>
      <c r="W386" s="227">
        <f t="shared" si="140"/>
        <v>-241.07503114837897</v>
      </c>
      <c r="X386" s="227" t="str">
        <f t="shared" si="129"/>
        <v>0.979999950294351-0.041645925945876i</v>
      </c>
      <c r="Y386" s="227" t="str">
        <f t="shared" si="130"/>
        <v>0.734751955248105-15.3532717030418i</v>
      </c>
      <c r="Z386" s="227" t="str">
        <f t="shared" si="131"/>
        <v>0.0420019519805507-7.85134250007698i</v>
      </c>
      <c r="AA386" s="227" t="str">
        <f t="shared" si="132"/>
        <v>-0.908192942025748-0.35527815131762i</v>
      </c>
      <c r="AB386" s="227">
        <f t="shared" si="141"/>
        <v>-0.21802593514635579</v>
      </c>
      <c r="AC386" s="227">
        <f t="shared" si="142"/>
        <v>-158.63494175279311</v>
      </c>
      <c r="AD386" s="229">
        <f t="shared" si="143"/>
        <v>-13.782141752855557</v>
      </c>
      <c r="AE386" s="229">
        <f t="shared" si="144"/>
        <v>136.30940078053919</v>
      </c>
      <c r="AF386" s="227">
        <f t="shared" si="133"/>
        <v>-14.000167688001913</v>
      </c>
      <c r="AG386" s="227">
        <f t="shared" si="134"/>
        <v>-22.325540972253918</v>
      </c>
      <c r="AH386" s="229" t="str">
        <f t="shared" si="135"/>
        <v>0.147937936763148-0.141326131269312i</v>
      </c>
    </row>
    <row r="387" spans="2:34" x14ac:dyDescent="0.2">
      <c r="I387" s="227">
        <v>383</v>
      </c>
      <c r="J387" s="227">
        <f t="shared" si="123"/>
        <v>4.7342969277580425</v>
      </c>
      <c r="K387" s="227">
        <f t="shared" si="146"/>
        <v>54237.15838925034</v>
      </c>
      <c r="L387" s="227">
        <f t="shared" si="136"/>
        <v>340782.11669450975</v>
      </c>
      <c r="M387" s="227">
        <f t="shared" si="124"/>
        <v>49648.419467792213</v>
      </c>
      <c r="N387" s="227">
        <f>SQRT((ABS(AC387)-171.5+'Small Signal'!C$59)^2)</f>
        <v>57.602137332515241</v>
      </c>
      <c r="O387" s="227">
        <f t="shared" si="137"/>
        <v>23.418456036195124</v>
      </c>
      <c r="P387" s="227">
        <f t="shared" si="138"/>
        <v>14.108535755137488</v>
      </c>
      <c r="Q387" s="227">
        <f t="shared" si="145"/>
        <v>54237.15838925034</v>
      </c>
      <c r="R387" s="227" t="str">
        <f t="shared" si="125"/>
        <v>0.0878666666666667+1.6016759484642i</v>
      </c>
      <c r="S387" s="227" t="str">
        <f t="shared" si="126"/>
        <v>0.0085-0.11238228317819i</v>
      </c>
      <c r="T387" s="227" t="str">
        <f t="shared" si="127"/>
        <v>0.0094573114304444-0.112228224041302i</v>
      </c>
      <c r="U387" s="227" t="str">
        <f t="shared" si="128"/>
        <v>-0.460219875227626+0.847228533341353i</v>
      </c>
      <c r="V387" s="227">
        <f t="shared" si="139"/>
        <v>-0.31704575797275458</v>
      </c>
      <c r="W387" s="227">
        <f t="shared" si="140"/>
        <v>-241.48891202150753</v>
      </c>
      <c r="X387" s="227" t="str">
        <f t="shared" si="129"/>
        <v>0.979081462399-0.0425914715206907i</v>
      </c>
      <c r="Y387" s="227" t="str">
        <f t="shared" si="130"/>
        <v>0.702304898691484-15.0116244720806i</v>
      </c>
      <c r="Z387" s="227" t="str">
        <f t="shared" si="131"/>
        <v>0.0251246893268099-7.6694477658011i</v>
      </c>
      <c r="AA387" s="227" t="str">
        <f t="shared" si="132"/>
        <v>-0.909310756135912-0.347193146545378i</v>
      </c>
      <c r="AB387" s="227">
        <f t="shared" si="141"/>
        <v>-0.23471601493757485</v>
      </c>
      <c r="AC387" s="227">
        <f t="shared" si="142"/>
        <v>-159.10213733251524</v>
      </c>
      <c r="AD387" s="229">
        <f t="shared" si="143"/>
        <v>-13.873819740199913</v>
      </c>
      <c r="AE387" s="229">
        <f t="shared" si="144"/>
        <v>135.68368129632012</v>
      </c>
      <c r="AF387" s="227">
        <f t="shared" si="133"/>
        <v>-14.108535755137488</v>
      </c>
      <c r="AG387" s="227">
        <f t="shared" si="134"/>
        <v>-23.418456036195124</v>
      </c>
      <c r="AH387" s="229" t="str">
        <f t="shared" si="135"/>
        <v>0.144848792435328-0.141432580771244i</v>
      </c>
    </row>
    <row r="388" spans="2:34" x14ac:dyDescent="0.2">
      <c r="I388" s="227">
        <v>384</v>
      </c>
      <c r="J388" s="227">
        <f t="shared" ref="J388:J451" si="147">1+I388*(LOG(fsw)-1)/500</f>
        <v>4.7440470502848253</v>
      </c>
      <c r="K388" s="227">
        <f t="shared" si="146"/>
        <v>55468.580285647426</v>
      </c>
      <c r="L388" s="227">
        <f t="shared" si="136"/>
        <v>348519.36866089114</v>
      </c>
      <c r="M388" s="227">
        <f t="shared" ref="M388:M451" si="148">SQRT((Fco_target-K389)^2)</f>
        <v>50907.800053987332</v>
      </c>
      <c r="N388" s="227">
        <f>SQRT((ABS(AC388)-171.5+'Small Signal'!C$59)^2)</f>
        <v>58.062406512529947</v>
      </c>
      <c r="O388" s="227">
        <f t="shared" si="137"/>
        <v>24.505510139175954</v>
      </c>
      <c r="P388" s="227">
        <f t="shared" si="138"/>
        <v>14.217788650825288</v>
      </c>
      <c r="Q388" s="227">
        <f t="shared" si="145"/>
        <v>55468.580285647426</v>
      </c>
      <c r="R388" s="227" t="str">
        <f t="shared" ref="R388:R451" si="149">IMSUM(COMPLEX(DCRss,Lss*L388),COMPLEX(Rdsonss,0),COMPLEX(40/3*Risense,0))</f>
        <v>0.0878666666666667+1.63804103270619i</v>
      </c>
      <c r="S388" s="227" t="str">
        <f t="shared" ref="S388:S451" si="150">IMSUM(COMPLEX(ESRss,0),IMDIV(COMPLEX(1,0),COMPLEX(0,L388*Cbulkss)))</f>
        <v>0.0085-0.109887357157729i</v>
      </c>
      <c r="T388" s="227" t="str">
        <f t="shared" ref="T388:T451" si="151">IMDIV(IMPRODUCT(S388,COMPLEX(Ross,0)),IMSUM(S388,COMPLEX(Ross,0)))</f>
        <v>0.00941503874939716-0.10973707280155i</v>
      </c>
      <c r="U388" s="227" t="str">
        <f t="shared" ref="U388:U451" si="152">IMPRODUCT(COMPLEX(Vinss,0),COMPLEX(M^2,0),IMDIV(IMSUB(COMPLEX(1,0),IMDIV(IMPRODUCT(R388,COMPLEX(M^2,0)),COMPLEX(Ross,0))),IMSUM(COMPLEX(1,0),IMDIV(IMPRODUCT(R388,COMPLEX(M^2,0)),T388))))</f>
        <v>-0.442985688275233+0.829346104979095i</v>
      </c>
      <c r="V388" s="227">
        <f t="shared" si="139"/>
        <v>-0.53522541793325706</v>
      </c>
      <c r="W388" s="227">
        <f t="shared" si="140"/>
        <v>-241.89160844496399</v>
      </c>
      <c r="X388" s="227" t="str">
        <f t="shared" ref="X388:X451" si="153">IMSUM(COMPLEX(1,L388/(wn*q0)),IMPOWER(COMPLEX(0,L388/wn),2))</f>
        <v>0.978120793607784-0.043558485136226i</v>
      </c>
      <c r="Y388" s="227" t="str">
        <f t="shared" ref="Y388:Y451" si="154">IMPRODUCT(COMPLEX(2*Ioutss*M^2,0),IMDIV(IMSUM(COMPLEX(1,0),IMDIV(COMPLEX(Ross,0),IMPRODUCT(COMPLEX(2,0),S388))),IMSUM(COMPLEX(1,0),IMDIV(IMPRODUCT(R388,COMPLEX(M^2,0)),T388))))</f>
        <v>0.671298488876987-14.6776132666754i</v>
      </c>
      <c r="Z388" s="227" t="str">
        <f t="shared" ref="Z388:Z451" si="155">IMPRODUCT(COMPLEX(Fm*40/3*Risense,0),Y388,X388)</f>
        <v>0.00899680161050309-7.49145533664683i</v>
      </c>
      <c r="AA388" s="227" t="str">
        <f t="shared" ref="AA388:AA451" si="156">IMDIV(IMPRODUCT(COMPLEX(Fm,0),U388),IMSUM(COMPLEX(1,0),Z388))</f>
        <v>-0.910455564471201-0.339275554228641i</v>
      </c>
      <c r="AB388" s="227">
        <f t="shared" si="141"/>
        <v>-0.25010875066811755</v>
      </c>
      <c r="AC388" s="227">
        <f t="shared" si="142"/>
        <v>-159.56240651252995</v>
      </c>
      <c r="AD388" s="229">
        <f t="shared" si="143"/>
        <v>-13.967679900157171</v>
      </c>
      <c r="AE388" s="229">
        <f t="shared" si="144"/>
        <v>135.05689637335399</v>
      </c>
      <c r="AF388" s="227">
        <f t="shared" ref="AF388:AF451" si="157">AD388+AB388</f>
        <v>-14.217788650825288</v>
      </c>
      <c r="AG388" s="227">
        <f t="shared" ref="AG388:AG451" si="158">AE388+AC388</f>
        <v>-24.505510139175954</v>
      </c>
      <c r="AH388" s="229" t="str">
        <f t="shared" ref="AH388:AH451" si="159">IMDIV(IMPRODUCT(COMPLEX(gea*Rea*Rslss/(Rslss+Rshss),0),COMPLEX(1,L388*Ccompss*Rcompss),COMPLEX(1,k_3*L388*Cffss*Rshss)),IMPRODUCT(COMPLEX(1,L388*Rea*Ccompss),COMPLEX(1,L388*Rcompss*Chfss),COMPLEX(1,k_3*L388*Rffss*Cffss)))</f>
        <v>0.141752865306268-0.141471615077844i</v>
      </c>
    </row>
    <row r="389" spans="2:34" x14ac:dyDescent="0.2">
      <c r="I389" s="227">
        <v>385</v>
      </c>
      <c r="J389" s="227">
        <f t="shared" si="147"/>
        <v>4.7537971728116091</v>
      </c>
      <c r="K389" s="227">
        <f t="shared" si="146"/>
        <v>56727.960871842544</v>
      </c>
      <c r="L389" s="227">
        <f t="shared" ref="L389:L452" si="160">2*PI()*K389</f>
        <v>356432.29025621957</v>
      </c>
      <c r="M389" s="227">
        <f t="shared" si="148"/>
        <v>52195.774115132008</v>
      </c>
      <c r="N389" s="227">
        <f>SQRT((ABS(AC389)-171.5+'Small Signal'!C$59)^2)</f>
        <v>58.515831775857862</v>
      </c>
      <c r="O389" s="227">
        <f t="shared" ref="O389:O452" si="161">ABS(AG389)</f>
        <v>25.58645483905218</v>
      </c>
      <c r="P389" s="227">
        <f t="shared" ref="P389:P452" si="162">ABS(AF389)</f>
        <v>14.327945061454734</v>
      </c>
      <c r="Q389" s="227">
        <f t="shared" si="145"/>
        <v>56727.960871842544</v>
      </c>
      <c r="R389" s="227" t="str">
        <f t="shared" si="149"/>
        <v>0.0878666666666667+1.67523176420423i</v>
      </c>
      <c r="S389" s="227" t="str">
        <f t="shared" si="150"/>
        <v>0.0085-0.107447819368148i</v>
      </c>
      <c r="T389" s="227" t="str">
        <f t="shared" si="151"/>
        <v>0.009374621915176-0.107301202896101i</v>
      </c>
      <c r="U389" s="227" t="str">
        <f t="shared" si="152"/>
        <v>-0.426509119238142+0.811799971743892i</v>
      </c>
      <c r="V389" s="227">
        <f t="shared" ref="V389:V452" si="163">20*LOG(IMABS(U389))</f>
        <v>-0.75240555201179604</v>
      </c>
      <c r="W389" s="227">
        <f t="shared" ref="W389:W452" si="164">IF(DEGREES(IMARGUMENT(U389))&gt;0,DEGREES(IMARGUMENT(U389))-360, DEGREES(IMARGUMENT(U389)))</f>
        <v>-242.28314932569157</v>
      </c>
      <c r="X389" s="227" t="str">
        <f t="shared" si="153"/>
        <v>0.977116006793406-0.0445474542113697i</v>
      </c>
      <c r="Y389" s="227" t="str">
        <f t="shared" si="154"/>
        <v>0.641668096465695-14.3510652974254i</v>
      </c>
      <c r="Z389" s="227" t="str">
        <f t="shared" si="155"/>
        <v>-0.00641533133541505-7.31727316386656i</v>
      </c>
      <c r="AA389" s="227" t="str">
        <f t="shared" si="156"/>
        <v>-0.911629816982189-0.331520878184583i</v>
      </c>
      <c r="AB389" s="227">
        <f t="shared" ref="AB389:AB452" si="165">20*LOG(IMABS(AA389))</f>
        <v>-0.26421907505880848</v>
      </c>
      <c r="AC389" s="227">
        <f t="shared" ref="AC389:AC452" si="166">IF(DEGREES(IMARGUMENT(AA389))&gt;0,DEGREES(IMARGUMENT(AA389))-360, DEGREES(IMARGUMENT(AA389)))</f>
        <v>-160.01583177585786</v>
      </c>
      <c r="AD389" s="229">
        <f t="shared" ref="AD389:AD452" si="167">20*LOG(IMABS(AH389))</f>
        <v>-14.063725986395927</v>
      </c>
      <c r="AE389" s="229">
        <f t="shared" ref="AE389:AE452" si="168">180+DEGREES(IMARGUMENT(AH389))</f>
        <v>134.42937693680568</v>
      </c>
      <c r="AF389" s="227">
        <f t="shared" si="157"/>
        <v>-14.327945061454734</v>
      </c>
      <c r="AG389" s="227">
        <f t="shared" si="158"/>
        <v>-25.58645483905218</v>
      </c>
      <c r="AH389" s="229" t="str">
        <f t="shared" si="159"/>
        <v>0.138653261520109-0.14144290181461i</v>
      </c>
    </row>
    <row r="390" spans="2:34" x14ac:dyDescent="0.2">
      <c r="I390" s="227">
        <v>386</v>
      </c>
      <c r="J390" s="227">
        <f t="shared" si="147"/>
        <v>4.7635472953383928</v>
      </c>
      <c r="K390" s="227">
        <f t="shared" si="146"/>
        <v>58015.93493298722</v>
      </c>
      <c r="L390" s="227">
        <f t="shared" si="160"/>
        <v>364524.86995323218</v>
      </c>
      <c r="M390" s="227">
        <f t="shared" si="148"/>
        <v>53512.990848790818</v>
      </c>
      <c r="N390" s="227">
        <f>SQRT((ABS(AC390)-171.5+'Small Signal'!C$59)^2)</f>
        <v>58.962503298981204</v>
      </c>
      <c r="O390" s="227">
        <f t="shared" si="161"/>
        <v>26.661048604506902</v>
      </c>
      <c r="P390" s="227">
        <f t="shared" si="162"/>
        <v>14.439020006275795</v>
      </c>
      <c r="Q390" s="227">
        <f t="shared" si="145"/>
        <v>58015.93493298722</v>
      </c>
      <c r="R390" s="227" t="str">
        <f t="shared" si="149"/>
        <v>0.0878666666666667+1.71326688878019i</v>
      </c>
      <c r="S390" s="227" t="str">
        <f t="shared" si="150"/>
        <v>0.0085-0.105062440171336i</v>
      </c>
      <c r="T390" s="227" t="str">
        <f t="shared" si="151"/>
        <v>0.00933597946348744-0.104919388564025i</v>
      </c>
      <c r="U390" s="227" t="str">
        <f t="shared" si="152"/>
        <v>-0.410756827666179+0.794586660243636i</v>
      </c>
      <c r="V390" s="227">
        <f t="shared" si="163"/>
        <v>-0.96861628723136173</v>
      </c>
      <c r="W390" s="227">
        <f t="shared" si="164"/>
        <v>-242.66356690267281</v>
      </c>
      <c r="X390" s="227" t="str">
        <f t="shared" si="153"/>
        <v>0.976065075867388-0.0455588772315607i</v>
      </c>
      <c r="Y390" s="227" t="str">
        <f t="shared" si="154"/>
        <v>0.613352048122476-14.0318118154734i</v>
      </c>
      <c r="Z390" s="227" t="str">
        <f t="shared" si="155"/>
        <v>-0.0211437917784535-7.14681126598863i</v>
      </c>
      <c r="AA390" s="227" t="str">
        <f t="shared" si="156"/>
        <v>-0.912836036469558-0.32392466094927i</v>
      </c>
      <c r="AB390" s="227">
        <f t="shared" si="165"/>
        <v>-0.27706045526004469</v>
      </c>
      <c r="AC390" s="227">
        <f t="shared" si="166"/>
        <v>-160.4625032989812</v>
      </c>
      <c r="AD390" s="229">
        <f t="shared" si="167"/>
        <v>-14.16195955101575</v>
      </c>
      <c r="AE390" s="229">
        <f t="shared" si="168"/>
        <v>133.8014546944743</v>
      </c>
      <c r="AF390" s="227">
        <f t="shared" si="157"/>
        <v>-14.439020006275795</v>
      </c>
      <c r="AG390" s="227">
        <f t="shared" si="158"/>
        <v>-26.661048604506902</v>
      </c>
      <c r="AH390" s="229" t="str">
        <f t="shared" si="159"/>
        <v>0.135553102014575-0.141346283967175i</v>
      </c>
    </row>
    <row r="391" spans="2:34" x14ac:dyDescent="0.2">
      <c r="I391" s="227">
        <v>387</v>
      </c>
      <c r="J391" s="227">
        <f t="shared" si="147"/>
        <v>4.7732974178651757</v>
      </c>
      <c r="K391" s="227">
        <f t="shared" si="146"/>
        <v>59333.15166664603</v>
      </c>
      <c r="L391" s="227">
        <f t="shared" si="160"/>
        <v>372801.18678052834</v>
      </c>
      <c r="M391" s="227">
        <f t="shared" si="148"/>
        <v>54860.114192167122</v>
      </c>
      <c r="N391" s="227">
        <f>SQRT((ABS(AC391)-171.5+'Small Signal'!C$59)^2)</f>
        <v>59.402518811488278</v>
      </c>
      <c r="O391" s="227">
        <f t="shared" si="161"/>
        <v>27.729057485538704</v>
      </c>
      <c r="P391" s="227">
        <f t="shared" si="162"/>
        <v>14.551024779189193</v>
      </c>
      <c r="Q391" s="227">
        <f t="shared" si="145"/>
        <v>59333.15166664603</v>
      </c>
      <c r="R391" s="227" t="str">
        <f t="shared" si="149"/>
        <v>0.0878666666666667+1.75216557786848i</v>
      </c>
      <c r="S391" s="227" t="str">
        <f t="shared" si="150"/>
        <v>0.0085-0.102730017227579i</v>
      </c>
      <c r="T391" s="227" t="str">
        <f t="shared" si="151"/>
        <v>0.0092990335050754-0.102590431158778i</v>
      </c>
      <c r="U391" s="227" t="str">
        <f t="shared" si="152"/>
        <v>-0.395696943162983+0.777702510027931i</v>
      </c>
      <c r="V391" s="227">
        <f t="shared" si="163"/>
        <v>-1.1838868757806729</v>
      </c>
      <c r="W391" s="227">
        <f t="shared" si="164"/>
        <v>-243.03289643574908</v>
      </c>
      <c r="X391" s="227" t="str">
        <f t="shared" si="153"/>
        <v>0.974965881694598-0.0465932640000483i</v>
      </c>
      <c r="Y391" s="227" t="str">
        <f t="shared" si="154"/>
        <v>0.586291486530509-13.7196880103661i</v>
      </c>
      <c r="Z391" s="227" t="str">
        <f t="shared" si="155"/>
        <v>-0.0352191969315052-6.97998167446305i</v>
      </c>
      <c r="AA391" s="227" t="str">
        <f t="shared" si="156"/>
        <v>-0.914076824919185-0.316482478209865i</v>
      </c>
      <c r="AB391" s="227">
        <f t="shared" si="165"/>
        <v>-0.28864484054282402</v>
      </c>
      <c r="AC391" s="227">
        <f t="shared" si="166"/>
        <v>-160.90251881148828</v>
      </c>
      <c r="AD391" s="229">
        <f t="shared" si="167"/>
        <v>-14.262379938646369</v>
      </c>
      <c r="AE391" s="229">
        <f t="shared" si="168"/>
        <v>133.17346132594957</v>
      </c>
      <c r="AF391" s="227">
        <f t="shared" si="157"/>
        <v>-14.551024779189193</v>
      </c>
      <c r="AG391" s="227">
        <f t="shared" si="158"/>
        <v>-27.729057485538704</v>
      </c>
      <c r="AH391" s="229" t="str">
        <f t="shared" si="159"/>
        <v>0.132455509965902-0.141181780590859i</v>
      </c>
    </row>
    <row r="392" spans="2:34" x14ac:dyDescent="0.2">
      <c r="I392" s="227">
        <v>388</v>
      </c>
      <c r="J392" s="227">
        <f t="shared" si="147"/>
        <v>4.7830475403919586</v>
      </c>
      <c r="K392" s="227">
        <f t="shared" si="146"/>
        <v>60680.275010022335</v>
      </c>
      <c r="L392" s="227">
        <f t="shared" si="160"/>
        <v>381265.41237858898</v>
      </c>
      <c r="M392" s="227">
        <f t="shared" si="148"/>
        <v>56237.823156756771</v>
      </c>
      <c r="N392" s="227">
        <f>SQRT((ABS(AC392)-171.5+'Small Signal'!C$59)^2)</f>
        <v>59.835983476669696</v>
      </c>
      <c r="O392" s="227">
        <f t="shared" si="161"/>
        <v>28.790255805873585</v>
      </c>
      <c r="P392" s="227">
        <f t="shared" si="162"/>
        <v>14.663966900409129</v>
      </c>
      <c r="Q392" s="227">
        <f t="shared" si="145"/>
        <v>60680.275010022335</v>
      </c>
      <c r="R392" s="227" t="str">
        <f t="shared" si="149"/>
        <v>0.0878666666666667+1.79194743817937i</v>
      </c>
      <c r="S392" s="227" t="str">
        <f t="shared" si="150"/>
        <v>0.0085-0.100449374889523i</v>
      </c>
      <c r="T392" s="227" t="str">
        <f t="shared" si="151"/>
        <v>0.00926370956891079-0.100313158552623i</v>
      </c>
      <c r="U392" s="227" t="str">
        <f t="shared" si="152"/>
        <v>-0.381299000349506+0.761143695385615i</v>
      </c>
      <c r="V392" s="227">
        <f t="shared" si="163"/>
        <v>-1.3982456818305073</v>
      </c>
      <c r="W392" s="227">
        <f t="shared" si="164"/>
        <v>-243.39117590000228</v>
      </c>
      <c r="X392" s="227" t="str">
        <f t="shared" si="153"/>
        <v>0.973816207820146-0.0476511358948569i</v>
      </c>
      <c r="Y392" s="227" t="str">
        <f t="shared" si="154"/>
        <v>0.560430237432132-13.4145329108949i</v>
      </c>
      <c r="Z392" s="227" t="str">
        <f t="shared" si="155"/>
        <v>-0.0486707681401405-6.81669838084697i</v>
      </c>
      <c r="AA392" s="227" t="str">
        <f t="shared" si="156"/>
        <v>-0.915354870114247-0.309189932936223i</v>
      </c>
      <c r="AB392" s="227">
        <f t="shared" si="165"/>
        <v>-0.29898261099005213</v>
      </c>
      <c r="AC392" s="227">
        <f t="shared" si="166"/>
        <v>-161.3359834766697</v>
      </c>
      <c r="AD392" s="229">
        <f t="shared" si="167"/>
        <v>-14.364984289419077</v>
      </c>
      <c r="AE392" s="229">
        <f t="shared" si="168"/>
        <v>132.54572767079611</v>
      </c>
      <c r="AF392" s="227">
        <f t="shared" si="157"/>
        <v>-14.663966900409129</v>
      </c>
      <c r="AG392" s="227">
        <f t="shared" si="158"/>
        <v>-28.790255805873585</v>
      </c>
      <c r="AH392" s="229" t="str">
        <f t="shared" si="159"/>
        <v>0.129363598214638-0.140949586445252i</v>
      </c>
    </row>
    <row r="393" spans="2:34" x14ac:dyDescent="0.2">
      <c r="I393" s="227">
        <v>389</v>
      </c>
      <c r="J393" s="227">
        <f t="shared" si="147"/>
        <v>4.7927976629187423</v>
      </c>
      <c r="K393" s="227">
        <f t="shared" si="146"/>
        <v>62057.983974611983</v>
      </c>
      <c r="L393" s="227">
        <f t="shared" si="160"/>
        <v>389921.81310246821</v>
      </c>
      <c r="M393" s="227">
        <f t="shared" si="148"/>
        <v>57646.812170601363</v>
      </c>
      <c r="N393" s="227">
        <f>SQRT((ABS(AC393)-171.5+'Small Signal'!C$59)^2)</f>
        <v>60.263009795106626</v>
      </c>
      <c r="O393" s="227">
        <f t="shared" si="161"/>
        <v>29.844426874340371</v>
      </c>
      <c r="P393" s="227">
        <f t="shared" si="162"/>
        <v>14.777850077700602</v>
      </c>
      <c r="Q393" s="227">
        <f t="shared" si="145"/>
        <v>62057.983974611983</v>
      </c>
      <c r="R393" s="227" t="str">
        <f t="shared" si="149"/>
        <v>0.0878666666666667+1.8326325215816i</v>
      </c>
      <c r="S393" s="227" t="str">
        <f t="shared" si="150"/>
        <v>0.0085-0.0982193636095997i</v>
      </c>
      <c r="T393" s="227" t="str">
        <f t="shared" si="151"/>
        <v>0.00922993645225245-0.0980864245538691i</v>
      </c>
      <c r="U393" s="227" t="str">
        <f t="shared" si="152"/>
        <v>-0.367533876720363+0.744906245462535i</v>
      </c>
      <c r="V393" s="227">
        <f t="shared" si="163"/>
        <v>-1.6117201707525544</v>
      </c>
      <c r="W393" s="227">
        <f t="shared" si="164"/>
        <v>-243.73844568662929</v>
      </c>
      <c r="X393" s="227" t="str">
        <f t="shared" si="153"/>
        <v>0.972613736000048-0.0487330261315834i</v>
      </c>
      <c r="Y393" s="227" t="str">
        <f t="shared" si="154"/>
        <v>0.535714683311603-13.1161892888181i</v>
      </c>
      <c r="Z393" s="227" t="str">
        <f t="shared" si="155"/>
        <v>-0.061526396612539-6.6568772854773i</v>
      </c>
      <c r="AA393" s="227" t="str">
        <f t="shared" si="156"/>
        <v>-0.916672952548291-0.302042649178794i</v>
      </c>
      <c r="AB393" s="227">
        <f t="shared" si="165"/>
        <v>-0.30808252691537519</v>
      </c>
      <c r="AC393" s="227">
        <f t="shared" si="166"/>
        <v>-161.76300979510663</v>
      </c>
      <c r="AD393" s="229">
        <f t="shared" si="167"/>
        <v>-14.469767550785226</v>
      </c>
      <c r="AE393" s="229">
        <f t="shared" si="168"/>
        <v>131.91858292076626</v>
      </c>
      <c r="AF393" s="227">
        <f t="shared" si="157"/>
        <v>-14.777850077700602</v>
      </c>
      <c r="AG393" s="227">
        <f t="shared" si="158"/>
        <v>-29.844426874340371</v>
      </c>
      <c r="AH393" s="229" t="str">
        <f t="shared" si="159"/>
        <v>0.126280456779752-0.140650070557801i</v>
      </c>
    </row>
    <row r="394" spans="2:34" x14ac:dyDescent="0.2">
      <c r="I394" s="227">
        <v>390</v>
      </c>
      <c r="J394" s="227">
        <f t="shared" si="147"/>
        <v>4.8025477854455261</v>
      </c>
      <c r="K394" s="227">
        <f t="shared" si="146"/>
        <v>63466.972988456575</v>
      </c>
      <c r="L394" s="227">
        <f t="shared" si="160"/>
        <v>398774.752172234</v>
      </c>
      <c r="M394" s="227">
        <f t="shared" si="148"/>
        <v>59087.791428311226</v>
      </c>
      <c r="N394" s="227">
        <f>SQRT((ABS(AC394)-171.5+'Small Signal'!C$59)^2)</f>
        <v>60.683717533296601</v>
      </c>
      <c r="O394" s="227">
        <f t="shared" si="161"/>
        <v>30.891363712295657</v>
      </c>
      <c r="P394" s="227">
        <f t="shared" si="162"/>
        <v>14.892674176815218</v>
      </c>
      <c r="Q394" s="227">
        <f t="shared" si="145"/>
        <v>63466.972988456575</v>
      </c>
      <c r="R394" s="227" t="str">
        <f t="shared" si="149"/>
        <v>0.0878666666666667+1.8742413352095i</v>
      </c>
      <c r="S394" s="227" t="str">
        <f t="shared" si="150"/>
        <v>0.0085-0.0960388593605955i</v>
      </c>
      <c r="T394" s="227" t="str">
        <f t="shared" si="151"/>
        <v>0.00919764607727882-0.0959091083366497i</v>
      </c>
      <c r="U394" s="227" t="str">
        <f t="shared" si="152"/>
        <v>-0.354373733263319+0.728986062819571i</v>
      </c>
      <c r="V394" s="227">
        <f t="shared" si="163"/>
        <v>-1.8243369005674475</v>
      </c>
      <c r="W394" s="227">
        <f t="shared" si="164"/>
        <v>-244.07474831112887</v>
      </c>
      <c r="X394" s="227" t="str">
        <f t="shared" si="153"/>
        <v>0.971356041526631-0.0498394800321628i</v>
      </c>
      <c r="Y394" s="227" t="str">
        <f t="shared" si="154"/>
        <v>0.512093643358386-12.824503565362i</v>
      </c>
      <c r="Z394" s="227" t="str">
        <f t="shared" si="155"/>
        <v>-0.0738127058802032-6.50043614757602i</v>
      </c>
      <c r="AA394" s="227" t="str">
        <f t="shared" si="156"/>
        <v>-0.918033952664773-0.295036265496037i</v>
      </c>
      <c r="AB394" s="227">
        <f t="shared" si="165"/>
        <v>-0.31595167873175678</v>
      </c>
      <c r="AC394" s="227">
        <f t="shared" si="166"/>
        <v>-162.1837175332966</v>
      </c>
      <c r="AD394" s="229">
        <f t="shared" si="167"/>
        <v>-14.576722498083461</v>
      </c>
      <c r="AE394" s="229">
        <f t="shared" si="168"/>
        <v>131.29235382100094</v>
      </c>
      <c r="AF394" s="227">
        <f t="shared" si="157"/>
        <v>-14.892674176815218</v>
      </c>
      <c r="AG394" s="227">
        <f t="shared" si="158"/>
        <v>-30.891363712295657</v>
      </c>
      <c r="AH394" s="229" t="str">
        <f t="shared" si="159"/>
        <v>0.123209140567178-0.140283773732513i</v>
      </c>
    </row>
    <row r="395" spans="2:34" x14ac:dyDescent="0.2">
      <c r="I395" s="227">
        <v>391</v>
      </c>
      <c r="J395" s="227">
        <f t="shared" si="147"/>
        <v>4.8122979079723098</v>
      </c>
      <c r="K395" s="227">
        <f t="shared" si="146"/>
        <v>64907.952246166438</v>
      </c>
      <c r="L395" s="227">
        <f t="shared" si="160"/>
        <v>407828.69187222718</v>
      </c>
      <c r="M395" s="227">
        <f t="shared" si="148"/>
        <v>60561.487249035999</v>
      </c>
      <c r="N395" s="227">
        <f>SQRT((ABS(AC395)-171.5+'Small Signal'!C$59)^2)</f>
        <v>61.098233679367411</v>
      </c>
      <c r="O395" s="227">
        <f t="shared" si="161"/>
        <v>31.930869794291453</v>
      </c>
      <c r="P395" s="227">
        <f t="shared" si="162"/>
        <v>15.008435200670672</v>
      </c>
      <c r="Q395" s="227">
        <f t="shared" si="145"/>
        <v>64907.952246166438</v>
      </c>
      <c r="R395" s="227" t="str">
        <f t="shared" si="149"/>
        <v>0.0878666666666667+1.91679485179947i</v>
      </c>
      <c r="S395" s="227" t="str">
        <f t="shared" si="150"/>
        <v>0.0085-0.0939067630690985i</v>
      </c>
      <c r="T395" s="227" t="str">
        <f t="shared" si="151"/>
        <v>0.00916677335400316-0.0937801138830143i</v>
      </c>
      <c r="U395" s="227" t="str">
        <f t="shared" si="152"/>
        <v>-0.341791957718285+0.713378940542655i</v>
      </c>
      <c r="V395" s="227">
        <f t="shared" si="163"/>
        <v>-2.0361215154455916</v>
      </c>
      <c r="W395" s="227">
        <f t="shared" si="164"/>
        <v>-244.40012812950641</v>
      </c>
      <c r="X395" s="227" t="str">
        <f t="shared" si="153"/>
        <v>0.970040588339267-0.0509710552997347i</v>
      </c>
      <c r="Y395" s="227" t="str">
        <f t="shared" si="154"/>
        <v>0.489518259371821-12.5393257204109i</v>
      </c>
      <c r="Z395" s="227" t="str">
        <f t="shared" si="155"/>
        <v>-0.0855551111661834-6.34729453674029i</v>
      </c>
      <c r="AA395" s="227" t="str">
        <f t="shared" si="156"/>
        <v>-0.919440858449994-0.288166427970649i</v>
      </c>
      <c r="AB395" s="227">
        <f t="shared" si="165"/>
        <v>-0.32259543698948145</v>
      </c>
      <c r="AC395" s="227">
        <f t="shared" si="166"/>
        <v>-162.59823367936741</v>
      </c>
      <c r="AD395" s="229">
        <f t="shared" si="167"/>
        <v>-14.685839763681191</v>
      </c>
      <c r="AE395" s="229">
        <f t="shared" si="168"/>
        <v>130.66736388507596</v>
      </c>
      <c r="AF395" s="227">
        <f t="shared" si="157"/>
        <v>-15.008435200670672</v>
      </c>
      <c r="AG395" s="227">
        <f t="shared" si="158"/>
        <v>-31.930869794291453</v>
      </c>
      <c r="AH395" s="229" t="str">
        <f t="shared" si="159"/>
        <v>0.12015265737612-0.139851405031816i</v>
      </c>
    </row>
    <row r="396" spans="2:34" x14ac:dyDescent="0.2">
      <c r="B396" s="220"/>
      <c r="I396" s="227">
        <v>392</v>
      </c>
      <c r="J396" s="227">
        <f t="shared" si="147"/>
        <v>4.8220480304990927</v>
      </c>
      <c r="K396" s="227">
        <f t="shared" si="146"/>
        <v>66381.648066891212</v>
      </c>
      <c r="L396" s="227">
        <f t="shared" si="160"/>
        <v>417088.19580025703</v>
      </c>
      <c r="M396" s="227">
        <f t="shared" si="148"/>
        <v>62068.642442562705</v>
      </c>
      <c r="N396" s="227">
        <f>SQRT((ABS(AC396)-171.5+'Small Signal'!C$59)^2)</f>
        <v>61.5066924279744</v>
      </c>
      <c r="O396" s="227">
        <f t="shared" si="161"/>
        <v>32.962759799386475</v>
      </c>
      <c r="P396" s="227">
        <f t="shared" si="162"/>
        <v>15.125125276742626</v>
      </c>
      <c r="Q396" s="227">
        <f t="shared" si="145"/>
        <v>66381.648066891212</v>
      </c>
      <c r="R396" s="227" t="str">
        <f t="shared" si="149"/>
        <v>0.0878666666666667+1.96031452026121i</v>
      </c>
      <c r="S396" s="227" t="str">
        <f t="shared" si="150"/>
        <v>0.0085-0.091822000061508i</v>
      </c>
      <c r="T396" s="227" t="str">
        <f t="shared" si="151"/>
        <v>0.009137256049197-0.0916983694370427i</v>
      </c>
      <c r="U396" s="227" t="str">
        <f t="shared" si="152"/>
        <v>-0.329763110357486+0.698080578008089i</v>
      </c>
      <c r="V396" s="227">
        <f t="shared" si="163"/>
        <v>-2.2470987410922221</v>
      </c>
      <c r="W396" s="227">
        <f t="shared" si="164"/>
        <v>-244.71463106310375</v>
      </c>
      <c r="X396" s="227" t="str">
        <f t="shared" si="153"/>
        <v>0.968664723910566-0.0521283222997514i</v>
      </c>
      <c r="Y396" s="227" t="str">
        <f t="shared" si="154"/>
        <v>0.467941887288385-12.2605092042873i</v>
      </c>
      <c r="Z396" s="227" t="str">
        <f t="shared" si="155"/>
        <v>-0.096777875826676-6.19737378576517i</v>
      </c>
      <c r="AA396" s="227" t="str">
        <f t="shared" si="156"/>
        <v>-0.92089677340841-0.28142878276934i</v>
      </c>
      <c r="AB396" s="227">
        <f t="shared" si="165"/>
        <v>-0.32801740229800225</v>
      </c>
      <c r="AC396" s="227">
        <f t="shared" si="166"/>
        <v>-163.0066924279744</v>
      </c>
      <c r="AD396" s="229">
        <f t="shared" si="167"/>
        <v>-14.797107874444624</v>
      </c>
      <c r="AE396" s="229">
        <f t="shared" si="168"/>
        <v>130.04393262858792</v>
      </c>
      <c r="AF396" s="227">
        <f t="shared" si="157"/>
        <v>-15.125125276742626</v>
      </c>
      <c r="AG396" s="227">
        <f t="shared" si="158"/>
        <v>-32.962759799386475</v>
      </c>
      <c r="AH396" s="229" t="str">
        <f t="shared" si="159"/>
        <v>0.117113956302105-0.13935383727102i</v>
      </c>
    </row>
    <row r="397" spans="2:34" x14ac:dyDescent="0.2">
      <c r="B397" s="220"/>
      <c r="I397" s="227">
        <v>393</v>
      </c>
      <c r="J397" s="227">
        <f t="shared" si="147"/>
        <v>4.8317981530258756</v>
      </c>
      <c r="K397" s="227">
        <f t="shared" si="146"/>
        <v>67888.803260417917</v>
      </c>
      <c r="L397" s="227">
        <f t="shared" si="160"/>
        <v>426557.93116786343</v>
      </c>
      <c r="M397" s="227">
        <f t="shared" si="148"/>
        <v>63610.016683725917</v>
      </c>
      <c r="N397" s="227">
        <f>SQRT((ABS(AC397)-171.5+'Small Signal'!C$59)^2)</f>
        <v>61.909235196525117</v>
      </c>
      <c r="O397" s="227">
        <f t="shared" si="161"/>
        <v>33.986860370749554</v>
      </c>
      <c r="P397" s="227">
        <f t="shared" si="162"/>
        <v>15.242732652069002</v>
      </c>
      <c r="Q397" s="227">
        <f t="shared" si="145"/>
        <v>67888.803260417917</v>
      </c>
      <c r="R397" s="227" t="str">
        <f t="shared" si="149"/>
        <v>0.0878666666666667+2.00482227648896i</v>
      </c>
      <c r="S397" s="227" t="str">
        <f t="shared" si="150"/>
        <v>0.0085-0.0897835195223555i</v>
      </c>
      <c r="T397" s="227" t="str">
        <f t="shared" si="151"/>
        <v>0.00910903466105943-0.0896628269707841i</v>
      </c>
      <c r="U397" s="227" t="str">
        <f t="shared" si="152"/>
        <v>-0.31826287217411+0.683086595399739i</v>
      </c>
      <c r="V397" s="227">
        <f t="shared" si="163"/>
        <v>-2.4572923818437538</v>
      </c>
      <c r="W397" s="227">
        <f t="shared" si="164"/>
        <v>-245.01830433256492</v>
      </c>
      <c r="X397" s="227" t="str">
        <f t="shared" si="153"/>
        <v>0.96722567389773-0.0533118643474682i</v>
      </c>
      <c r="Y397" s="227" t="str">
        <f t="shared" si="154"/>
        <v>0.447319994031548-11.9879108520387i</v>
      </c>
      <c r="Z397" s="227" t="str">
        <f t="shared" si="155"/>
        <v>-0.107504165022328-6.05059694475417i</v>
      </c>
      <c r="AA397" s="227" t="str">
        <f t="shared" si="156"/>
        <v>-0.922404924951134-0.274818968195957i</v>
      </c>
      <c r="AB397" s="227">
        <f t="shared" si="165"/>
        <v>-0.33221935484380105</v>
      </c>
      <c r="AC397" s="227">
        <f t="shared" si="166"/>
        <v>-163.40923519652512</v>
      </c>
      <c r="AD397" s="229">
        <f t="shared" si="167"/>
        <v>-14.910513297225201</v>
      </c>
      <c r="AE397" s="229">
        <f t="shared" si="168"/>
        <v>129.42237482577556</v>
      </c>
      <c r="AF397" s="227">
        <f t="shared" si="157"/>
        <v>-15.242732652069002</v>
      </c>
      <c r="AG397" s="227">
        <f t="shared" si="158"/>
        <v>-33.986860370749554</v>
      </c>
      <c r="AH397" s="229" t="str">
        <f t="shared" si="159"/>
        <v>0.114095916630073-0.138792101575448i</v>
      </c>
    </row>
    <row r="398" spans="2:34" x14ac:dyDescent="0.2">
      <c r="B398" s="220"/>
      <c r="I398" s="227">
        <v>394</v>
      </c>
      <c r="J398" s="227">
        <f t="shared" si="147"/>
        <v>4.8415482755526593</v>
      </c>
      <c r="K398" s="227">
        <f t="shared" si="146"/>
        <v>69430.177501581129</v>
      </c>
      <c r="L398" s="227">
        <f t="shared" si="160"/>
        <v>436242.67115280521</v>
      </c>
      <c r="M398" s="227">
        <f t="shared" si="148"/>
        <v>65186.386895317526</v>
      </c>
      <c r="N398" s="227">
        <f>SQRT((ABS(AC398)-171.5+'Small Signal'!C$59)^2)</f>
        <v>62.306010674954422</v>
      </c>
      <c r="O398" s="227">
        <f t="shared" si="161"/>
        <v>35.003010881554133</v>
      </c>
      <c r="P398" s="227">
        <f t="shared" si="162"/>
        <v>15.361241695202519</v>
      </c>
      <c r="Q398" s="227">
        <f t="shared" si="145"/>
        <v>69430.177501581129</v>
      </c>
      <c r="R398" s="227" t="str">
        <f t="shared" si="149"/>
        <v>0.0878666666666667+2.05034055441818i</v>
      </c>
      <c r="S398" s="227" t="str">
        <f t="shared" si="150"/>
        <v>0.0085-0.0877902939646423i</v>
      </c>
      <c r="T398" s="227" t="str">
        <f t="shared" si="151"/>
        <v>0.00908205229938035-0.0876724616617384i</v>
      </c>
      <c r="U398" s="227" t="str">
        <f t="shared" si="152"/>
        <v>-0.307267995371528+0.668392547067187i</v>
      </c>
      <c r="V398" s="227">
        <f t="shared" si="163"/>
        <v>-2.6667253193142204</v>
      </c>
      <c r="W398" s="227">
        <f t="shared" si="164"/>
        <v>-245.31119620136133</v>
      </c>
      <c r="X398" s="227" t="str">
        <f t="shared" si="153"/>
        <v>0.965720536548259-0.0545222780019609i</v>
      </c>
      <c r="Y398" s="227" t="str">
        <f t="shared" si="154"/>
        <v>0.427610059402333-11.7213908001442i</v>
      </c>
      <c r="Z398" s="227" t="str">
        <f t="shared" si="155"/>
        <v>-0.117756096766009-5.90688873647163i</v>
      </c>
      <c r="AA398" s="227" t="str">
        <f t="shared" si="156"/>
        <v>-0.923968673230156-0.268332606181973i</v>
      </c>
      <c r="AB398" s="227">
        <f t="shared" si="165"/>
        <v>-0.33520120321784874</v>
      </c>
      <c r="AC398" s="227">
        <f t="shared" si="166"/>
        <v>-163.80601067495442</v>
      </c>
      <c r="AD398" s="229">
        <f t="shared" si="167"/>
        <v>-15.02604049198467</v>
      </c>
      <c r="AE398" s="229">
        <f t="shared" si="168"/>
        <v>128.80299979340029</v>
      </c>
      <c r="AF398" s="227">
        <f t="shared" si="157"/>
        <v>-15.361241695202519</v>
      </c>
      <c r="AG398" s="227">
        <f t="shared" si="158"/>
        <v>-35.003010881554133</v>
      </c>
      <c r="AH398" s="229" t="str">
        <f t="shared" si="159"/>
        <v>0.111101337303821-0.138167381060163i</v>
      </c>
    </row>
    <row r="399" spans="2:34" x14ac:dyDescent="0.2">
      <c r="B399" s="220"/>
      <c r="I399" s="227">
        <v>395</v>
      </c>
      <c r="J399" s="227">
        <f t="shared" si="147"/>
        <v>4.8512983980794431</v>
      </c>
      <c r="K399" s="227">
        <f t="shared" si="146"/>
        <v>71006.547713172738</v>
      </c>
      <c r="L399" s="227">
        <f t="shared" si="160"/>
        <v>446147.29730495322</v>
      </c>
      <c r="M399" s="227">
        <f t="shared" si="148"/>
        <v>66798.547639692042</v>
      </c>
      <c r="N399" s="227">
        <f>SQRT((ABS(AC399)-171.5+'Small Signal'!C$59)^2)</f>
        <v>62.69717491137979</v>
      </c>
      <c r="O399" s="227">
        <f t="shared" si="161"/>
        <v>36.011064205552458</v>
      </c>
      <c r="P399" s="227">
        <f t="shared" si="162"/>
        <v>15.480632904384453</v>
      </c>
      <c r="Q399" s="227">
        <f t="shared" si="145"/>
        <v>71006.547713172738</v>
      </c>
      <c r="R399" s="227" t="str">
        <f t="shared" si="149"/>
        <v>0.0878666666666667+2.09689229733328i</v>
      </c>
      <c r="S399" s="227" t="str">
        <f t="shared" si="150"/>
        <v>0.0085-0.0858413187119406i</v>
      </c>
      <c r="T399" s="227" t="str">
        <f t="shared" si="151"/>
        <v>0.00905625457095747-0.0857262713816715i</v>
      </c>
      <c r="U399" s="227" t="str">
        <f t="shared" si="152"/>
        <v>-0.296756256050272+0.653993933808091i</v>
      </c>
      <c r="V399" s="227">
        <f t="shared" si="163"/>
        <v>-2.8754195124292203</v>
      </c>
      <c r="W399" s="227">
        <f t="shared" si="164"/>
        <v>-245.59335572921964</v>
      </c>
      <c r="X399" s="227" t="str">
        <f t="shared" si="153"/>
        <v>0.96414627684876-0.0557601733668179i</v>
      </c>
      <c r="Y399" s="227" t="str">
        <f t="shared" si="154"/>
        <v>0.408771482744882-11.4608124055571i</v>
      </c>
      <c r="Z399" s="227" t="str">
        <f t="shared" si="155"/>
        <v>-0.127554790485339-5.76617551289244i</v>
      </c>
      <c r="AA399" s="227" t="str">
        <f t="shared" si="156"/>
        <v>-0.925591520453553-0.261965293152127i</v>
      </c>
      <c r="AB399" s="227">
        <f t="shared" si="165"/>
        <v>-0.33696093225975698</v>
      </c>
      <c r="AC399" s="227">
        <f t="shared" si="166"/>
        <v>-164.19717491137979</v>
      </c>
      <c r="AD399" s="229">
        <f t="shared" si="167"/>
        <v>-15.143671972124697</v>
      </c>
      <c r="AE399" s="229">
        <f t="shared" si="168"/>
        <v>128.18611070582733</v>
      </c>
      <c r="AF399" s="227">
        <f t="shared" si="157"/>
        <v>-15.480632904384453</v>
      </c>
      <c r="AG399" s="227">
        <f t="shared" si="158"/>
        <v>-36.011064205552458</v>
      </c>
      <c r="AH399" s="229" t="str">
        <f t="shared" si="159"/>
        <v>0.108132927050061-0.137481003700884i</v>
      </c>
    </row>
    <row r="400" spans="2:34" x14ac:dyDescent="0.2">
      <c r="B400" s="220"/>
      <c r="I400" s="227">
        <v>396</v>
      </c>
      <c r="J400" s="227">
        <f t="shared" si="147"/>
        <v>4.8610485206062268</v>
      </c>
      <c r="K400" s="227">
        <f t="shared" si="146"/>
        <v>72618.708457547255</v>
      </c>
      <c r="L400" s="227">
        <f t="shared" si="160"/>
        <v>456276.80200681888</v>
      </c>
      <c r="M400" s="227">
        <f t="shared" si="148"/>
        <v>68447.311519261813</v>
      </c>
      <c r="N400" s="227">
        <f>SQRT((ABS(AC400)-171.5+'Small Signal'!C$59)^2)</f>
        <v>63.082891436090335</v>
      </c>
      <c r="O400" s="227">
        <f t="shared" si="161"/>
        <v>37.010887491192932</v>
      </c>
      <c r="P400" s="227">
        <f t="shared" si="162"/>
        <v>15.600882921164336</v>
      </c>
      <c r="Q400" s="227">
        <f t="shared" si="145"/>
        <v>72618.708457547255</v>
      </c>
      <c r="R400" s="227" t="str">
        <f t="shared" si="149"/>
        <v>0.0878666666666667+2.14450096943205i</v>
      </c>
      <c r="S400" s="227" t="str">
        <f t="shared" si="150"/>
        <v>0.0085-0.0839356113919926i</v>
      </c>
      <c r="T400" s="227" t="str">
        <f t="shared" si="151"/>
        <v>0.009031589470037-0.0838232761965171i</v>
      </c>
      <c r="U400" s="227" t="str">
        <f t="shared" si="152"/>
        <v>-0.286706408994467+0.639886214151842i</v>
      </c>
      <c r="V400" s="227">
        <f t="shared" si="163"/>
        <v>-3.083395998693673</v>
      </c>
      <c r="W400" s="227">
        <f t="shared" si="164"/>
        <v>-245.86483253572266</v>
      </c>
      <c r="X400" s="227" t="str">
        <f t="shared" si="153"/>
        <v>0.962499720405033-0.0570261743976612i</v>
      </c>
      <c r="Y400" s="227" t="str">
        <f t="shared" si="154"/>
        <v>0.390765494137229-11.2060421670071i</v>
      </c>
      <c r="Z400" s="227" t="str">
        <f t="shared" si="155"/>
        <v>-0.136920413230133-5.62838521290816i</v>
      </c>
      <c r="AA400" s="227" t="str">
        <f t="shared" si="156"/>
        <v>-0.92727712071865-0.255712590195742i</v>
      </c>
      <c r="AB400" s="227">
        <f t="shared" si="165"/>
        <v>-0.33749454963051767</v>
      </c>
      <c r="AC400" s="227">
        <f t="shared" si="166"/>
        <v>-164.58289143609034</v>
      </c>
      <c r="AD400" s="229">
        <f t="shared" si="167"/>
        <v>-15.263388371533818</v>
      </c>
      <c r="AE400" s="229">
        <f t="shared" si="168"/>
        <v>127.5720039448974</v>
      </c>
      <c r="AF400" s="227">
        <f t="shared" si="157"/>
        <v>-15.600882921164336</v>
      </c>
      <c r="AG400" s="227">
        <f t="shared" si="158"/>
        <v>-37.010887491192932</v>
      </c>
      <c r="AH400" s="229" t="str">
        <f t="shared" si="159"/>
        <v>0.105193295226314-0.13673443447228i</v>
      </c>
    </row>
    <row r="401" spans="2:34" x14ac:dyDescent="0.2">
      <c r="B401" s="220"/>
      <c r="I401" s="227">
        <v>397</v>
      </c>
      <c r="J401" s="227">
        <f t="shared" si="147"/>
        <v>4.8707986431330106</v>
      </c>
      <c r="K401" s="227">
        <f t="shared" si="146"/>
        <v>74267.472337117026</v>
      </c>
      <c r="L401" s="227">
        <f t="shared" si="160"/>
        <v>466636.29098994005</v>
      </c>
      <c r="M401" s="227">
        <f t="shared" si="148"/>
        <v>70133.509586086002</v>
      </c>
      <c r="N401" s="227">
        <f>SQRT((ABS(AC401)-171.5+'Small Signal'!C$59)^2)</f>
        <v>63.463331426488082</v>
      </c>
      <c r="O401" s="227">
        <f t="shared" si="161"/>
        <v>38.002362938670501</v>
      </c>
      <c r="P401" s="227">
        <f t="shared" si="162"/>
        <v>15.721964548640168</v>
      </c>
      <c r="Q401" s="227">
        <f t="shared" si="145"/>
        <v>74267.472337117026</v>
      </c>
      <c r="R401" s="227" t="str">
        <f t="shared" si="149"/>
        <v>0.0878666666666667+2.19319056765272i</v>
      </c>
      <c r="S401" s="227" t="str">
        <f t="shared" si="150"/>
        <v>0.0085-0.0820722114415468i</v>
      </c>
      <c r="T401" s="227" t="str">
        <f t="shared" si="151"/>
        <v>0.00900800727355798-0.0819625178771347i</v>
      </c>
      <c r="U401" s="227" t="str">
        <f t="shared" si="152"/>
        <v>-0.277098144463851+0.626064814716207i</v>
      </c>
      <c r="V401" s="227">
        <f t="shared" si="163"/>
        <v>-3.2906748965449104</v>
      </c>
      <c r="W401" s="227">
        <f t="shared" si="164"/>
        <v>-246.12567657428792</v>
      </c>
      <c r="X401" s="227" t="str">
        <f t="shared" si="153"/>
        <v>0.960777547041106-0.0583209192166479i</v>
      </c>
      <c r="Y401" s="227" t="str">
        <f t="shared" si="154"/>
        <v>0.373555069871473-10.9569496484837i</v>
      </c>
      <c r="Z401" s="227" t="str">
        <f t="shared" si="155"/>
        <v>-0.145872223647452-5.49344732114795i</v>
      </c>
      <c r="AA401" s="227" t="str">
        <f t="shared" si="156"/>
        <v>-0.929029290402928-0.24957001246619i</v>
      </c>
      <c r="AB401" s="227">
        <f t="shared" si="165"/>
        <v>-0.33679603082188153</v>
      </c>
      <c r="AC401" s="227">
        <f t="shared" si="166"/>
        <v>-164.96333142648808</v>
      </c>
      <c r="AD401" s="229">
        <f t="shared" si="167"/>
        <v>-15.385168517818286</v>
      </c>
      <c r="AE401" s="229">
        <f t="shared" si="168"/>
        <v>126.96096848781758</v>
      </c>
      <c r="AF401" s="227">
        <f t="shared" si="157"/>
        <v>-15.721964548640168</v>
      </c>
      <c r="AG401" s="227">
        <f t="shared" si="158"/>
        <v>-38.002362938670501</v>
      </c>
      <c r="AH401" s="229" t="str">
        <f t="shared" si="159"/>
        <v>0.102284943452124-0.135929266836086i</v>
      </c>
    </row>
    <row r="402" spans="2:34" x14ac:dyDescent="0.2">
      <c r="B402" s="220"/>
      <c r="I402" s="227">
        <v>398</v>
      </c>
      <c r="J402" s="227">
        <f t="shared" si="147"/>
        <v>4.8805487656597935</v>
      </c>
      <c r="K402" s="227">
        <f t="shared" si="146"/>
        <v>75953.670403941214</v>
      </c>
      <c r="L402" s="227">
        <f t="shared" si="160"/>
        <v>477230.9859084044</v>
      </c>
      <c r="M402" s="227">
        <f t="shared" si="148"/>
        <v>71857.991760758305</v>
      </c>
      <c r="N402" s="227">
        <f>SQRT((ABS(AC402)-171.5+'Small Signal'!C$59)^2)</f>
        <v>63.838673915782067</v>
      </c>
      <c r="O402" s="227">
        <f t="shared" si="161"/>
        <v>38.985388579885438</v>
      </c>
      <c r="P402" s="227">
        <f t="shared" si="162"/>
        <v>15.843846773461218</v>
      </c>
      <c r="Q402" s="227">
        <f t="shared" si="145"/>
        <v>75953.670403941214</v>
      </c>
      <c r="R402" s="227" t="str">
        <f t="shared" si="149"/>
        <v>0.0878666666666667+2.2429856337695i</v>
      </c>
      <c r="S402" s="227" t="str">
        <f t="shared" si="150"/>
        <v>0.0085-0.0802501796221929i</v>
      </c>
      <c r="T402" s="227" t="str">
        <f t="shared" si="151"/>
        <v>0.00898546044099017-0.0801430594207066i</v>
      </c>
      <c r="U402" s="227" t="str">
        <f t="shared" si="152"/>
        <v>-0.267912046901838+0.612525139703681i</v>
      </c>
      <c r="V402" s="227">
        <f t="shared" si="163"/>
        <v>-3.4972754086474716</v>
      </c>
      <c r="W402" s="227">
        <f t="shared" si="164"/>
        <v>-246.37593791666836</v>
      </c>
      <c r="X402" s="227" t="str">
        <f t="shared" si="153"/>
        <v>0.958976284104316-0.0596450604341129i</v>
      </c>
      <c r="Y402" s="227" t="str">
        <f t="shared" si="154"/>
        <v>0.357104852001581-10.7134074048295i</v>
      </c>
      <c r="Z402" s="227" t="str">
        <f t="shared" si="155"/>
        <v>-0.154428613839786-5.36129282787627i</v>
      </c>
      <c r="AA402" s="227" t="str">
        <f t="shared" si="156"/>
        <v>-0.930852019154787-0.243533017721922i</v>
      </c>
      <c r="AB402" s="227">
        <f t="shared" si="165"/>
        <v>-0.33485726231253737</v>
      </c>
      <c r="AC402" s="227">
        <f t="shared" si="166"/>
        <v>-165.33867391578207</v>
      </c>
      <c r="AD402" s="229">
        <f t="shared" si="167"/>
        <v>-15.50898951114868</v>
      </c>
      <c r="AE402" s="229">
        <f t="shared" si="168"/>
        <v>126.35328533589663</v>
      </c>
      <c r="AF402" s="227">
        <f t="shared" si="157"/>
        <v>-15.843846773461218</v>
      </c>
      <c r="AG402" s="227">
        <f t="shared" si="158"/>
        <v>-38.985388579885438</v>
      </c>
      <c r="AH402" s="229" t="str">
        <f t="shared" si="159"/>
        <v>0.0994102580726857-0.13506721366635i</v>
      </c>
    </row>
    <row r="403" spans="2:34" x14ac:dyDescent="0.2">
      <c r="B403" s="220"/>
      <c r="I403" s="227">
        <v>399</v>
      </c>
      <c r="J403" s="227">
        <f t="shared" si="147"/>
        <v>4.8902988881865763</v>
      </c>
      <c r="K403" s="227">
        <f t="shared" si="146"/>
        <v>77678.152578613517</v>
      </c>
      <c r="L403" s="227">
        <f t="shared" si="160"/>
        <v>488066.22697079857</v>
      </c>
      <c r="M403" s="227">
        <f t="shared" si="148"/>
        <v>73621.627260805762</v>
      </c>
      <c r="N403" s="227">
        <f>SQRT((ABS(AC403)-171.5+'Small Signal'!C$59)^2)</f>
        <v>64.209106048466992</v>
      </c>
      <c r="O403" s="227">
        <f t="shared" si="161"/>
        <v>39.959879061923203</v>
      </c>
      <c r="P403" s="227">
        <f t="shared" si="162"/>
        <v>15.966494790696084</v>
      </c>
      <c r="Q403" s="227">
        <f t="shared" si="145"/>
        <v>77678.152578613517</v>
      </c>
      <c r="R403" s="227" t="str">
        <f t="shared" si="149"/>
        <v>0.0878666666666667+2.29391126676275i</v>
      </c>
      <c r="S403" s="227" t="str">
        <f t="shared" si="150"/>
        <v>0.0085-0.0784685975469409i</v>
      </c>
      <c r="T403" s="227" t="str">
        <f t="shared" si="151"/>
        <v>0.00896390351856402-0.0783639845825482i</v>
      </c>
      <c r="U403" s="227" t="str">
        <f t="shared" si="152"/>
        <v>-0.259129555474019+0.599262579599508i</v>
      </c>
      <c r="V403" s="227">
        <f t="shared" si="163"/>
        <v>-3.7032158259936092</v>
      </c>
      <c r="W403" s="227">
        <f t="shared" si="164"/>
        <v>-246.61566654806967</v>
      </c>
      <c r="X403" s="227" t="str">
        <f t="shared" si="153"/>
        <v>0.957092299462924-0.0609992654775145i</v>
      </c>
      <c r="Y403" s="227" t="str">
        <f t="shared" si="154"/>
        <v>0.341381071749285-10.4752909093717i</v>
      </c>
      <c r="Z403" s="227" t="str">
        <f t="shared" si="155"/>
        <v>-0.162607149215415-5.231854189929i</v>
      </c>
      <c r="AA403" s="227" t="str">
        <f t="shared" si="156"/>
        <v>-0.932749481529172-0.237596993912098i</v>
      </c>
      <c r="AB403" s="227">
        <f t="shared" si="165"/>
        <v>-0.33166798257989893</v>
      </c>
      <c r="AC403" s="227">
        <f t="shared" si="166"/>
        <v>-165.70910604846699</v>
      </c>
      <c r="AD403" s="229">
        <f t="shared" si="167"/>
        <v>-15.634826808116184</v>
      </c>
      <c r="AE403" s="229">
        <f t="shared" si="168"/>
        <v>125.74922698654379</v>
      </c>
      <c r="AF403" s="227">
        <f t="shared" si="157"/>
        <v>-15.966494790696084</v>
      </c>
      <c r="AG403" s="227">
        <f t="shared" si="158"/>
        <v>-39.959879061923203</v>
      </c>
      <c r="AH403" s="229" t="str">
        <f t="shared" si="159"/>
        <v>0.0965715034934069-0.134150097702714i</v>
      </c>
    </row>
    <row r="404" spans="2:34" x14ac:dyDescent="0.2">
      <c r="B404" s="220"/>
      <c r="I404" s="227">
        <v>400</v>
      </c>
      <c r="J404" s="227">
        <f t="shared" si="147"/>
        <v>4.9000490107133601</v>
      </c>
      <c r="K404" s="227">
        <f t="shared" si="146"/>
        <v>79441.788078660975</v>
      </c>
      <c r="L404" s="227">
        <f t="shared" si="160"/>
        <v>499147.47563191707</v>
      </c>
      <c r="M404" s="227">
        <f t="shared" si="148"/>
        <v>75425.305038814069</v>
      </c>
      <c r="N404" s="227">
        <f>SQRT((ABS(AC404)-171.5+'Small Signal'!C$59)^2)</f>
        <v>64.57482338587721</v>
      </c>
      <c r="O404" s="227">
        <f t="shared" si="161"/>
        <v>40.925766435366853</v>
      </c>
      <c r="P404" s="227">
        <f t="shared" si="162"/>
        <v>16.089870030658293</v>
      </c>
      <c r="Q404" s="227">
        <f t="shared" si="145"/>
        <v>79441.788078660975</v>
      </c>
      <c r="R404" s="227" t="str">
        <f t="shared" si="149"/>
        <v>0.0878666666666667+2.34599313547001i</v>
      </c>
      <c r="S404" s="227" t="str">
        <f t="shared" si="150"/>
        <v>0.0085-0.0767265672173154i</v>
      </c>
      <c r="T404" s="227" t="str">
        <f t="shared" si="151"/>
        <v>0.00894329304770064-0.0766243974181107i</v>
      </c>
      <c r="U404" s="227" t="str">
        <f t="shared" si="152"/>
        <v>-0.250732926355393+0.586272519128878i</v>
      </c>
      <c r="V404" s="227">
        <f t="shared" si="163"/>
        <v>-3.9085135326811948</v>
      </c>
      <c r="W404" s="227">
        <f t="shared" si="164"/>
        <v>-246.8449121729289</v>
      </c>
      <c r="X404" s="227" t="str">
        <f t="shared" si="153"/>
        <v>0.955121794182152-0.0623842169278478i</v>
      </c>
      <c r="Y404" s="227" t="str">
        <f t="shared" si="154"/>
        <v>0.326351476570687-10.2424784835247i</v>
      </c>
      <c r="Z404" s="227" t="str">
        <f t="shared" si="155"/>
        <v>-0.170424606433723-5.1050652926522i</v>
      </c>
      <c r="AA404" s="227" t="str">
        <f t="shared" si="156"/>
        <v>-0.934726049315519-0.231757245698192i</v>
      </c>
      <c r="AB404" s="227">
        <f t="shared" si="165"/>
        <v>-0.32721572067997073</v>
      </c>
      <c r="AC404" s="227">
        <f t="shared" si="166"/>
        <v>-166.07482338587721</v>
      </c>
      <c r="AD404" s="229">
        <f t="shared" si="167"/>
        <v>-15.762654309978322</v>
      </c>
      <c r="AE404" s="229">
        <f t="shared" si="168"/>
        <v>125.14905695051036</v>
      </c>
      <c r="AF404" s="227">
        <f t="shared" si="157"/>
        <v>-16.089870030658293</v>
      </c>
      <c r="AG404" s="227">
        <f t="shared" si="158"/>
        <v>-40.925766435366853</v>
      </c>
      <c r="AH404" s="229" t="str">
        <f t="shared" si="159"/>
        <v>0.0937708164129541-0.133179841624612i</v>
      </c>
    </row>
    <row r="405" spans="2:34" x14ac:dyDescent="0.2">
      <c r="B405" s="220"/>
      <c r="I405" s="227">
        <v>401</v>
      </c>
      <c r="J405" s="227">
        <f t="shared" si="147"/>
        <v>4.9097991332401438</v>
      </c>
      <c r="K405" s="227">
        <f t="shared" ref="K405:K468" si="169">10^(J405)</f>
        <v>81245.465856669281</v>
      </c>
      <c r="L405" s="227">
        <f t="shared" si="160"/>
        <v>510480.31734558515</v>
      </c>
      <c r="M405" s="227">
        <f t="shared" si="148"/>
        <v>77269.934230499639</v>
      </c>
      <c r="N405" s="227">
        <f>SQRT((ABS(AC405)-171.5+'Small Signal'!C$59)^2)</f>
        <v>64.936030265402167</v>
      </c>
      <c r="O405" s="227">
        <f t="shared" si="161"/>
        <v>41.88300094947131</v>
      </c>
      <c r="P405" s="227">
        <f t="shared" si="162"/>
        <v>16.213930186756816</v>
      </c>
      <c r="Q405" s="227">
        <f t="shared" ref="Q405:Q468" si="170">K405</f>
        <v>81245.465856669281</v>
      </c>
      <c r="R405" s="227" t="str">
        <f t="shared" si="149"/>
        <v>0.0878666666666667+2.39925749152425i</v>
      </c>
      <c r="S405" s="227" t="str">
        <f t="shared" si="150"/>
        <v>0.0085-0.0750232105707197i</v>
      </c>
      <c r="T405" s="227" t="str">
        <f t="shared" si="151"/>
        <v>0.00892358747745762-0.0749234218349724i</v>
      </c>
      <c r="U405" s="227" t="str">
        <f t="shared" si="152"/>
        <v>-0.242705196688337+0.573550344527016i</v>
      </c>
      <c r="V405" s="227">
        <f t="shared" si="163"/>
        <v>-4.113185011244421</v>
      </c>
      <c r="W405" s="227">
        <f t="shared" si="164"/>
        <v>-247.06372403136294</v>
      </c>
      <c r="X405" s="227" t="str">
        <f t="shared" si="153"/>
        <v>0.953060794863878-0.063800612863697i</v>
      </c>
      <c r="Y405" s="227" t="str">
        <f t="shared" si="154"/>
        <v>0.311985260697053-10.0148512283007i</v>
      </c>
      <c r="Z405" s="227" t="str">
        <f t="shared" si="155"/>
        <v>-0.177897009542623-4.98086141280979i</v>
      </c>
      <c r="AA405" s="227" t="str">
        <f t="shared" si="156"/>
        <v>-0.936786304608491-0.226008979789857i</v>
      </c>
      <c r="AB405" s="227">
        <f t="shared" si="165"/>
        <v>-0.32148573210739467</v>
      </c>
      <c r="AC405" s="227">
        <f t="shared" si="166"/>
        <v>-166.43603026540217</v>
      </c>
      <c r="AD405" s="229">
        <f t="shared" si="167"/>
        <v>-15.892444454649421</v>
      </c>
      <c r="AE405" s="229">
        <f t="shared" si="168"/>
        <v>124.55302931593086</v>
      </c>
      <c r="AF405" s="227">
        <f t="shared" si="157"/>
        <v>-16.213930186756816</v>
      </c>
      <c r="AG405" s="227">
        <f t="shared" si="158"/>
        <v>-41.88300094947131</v>
      </c>
      <c r="AH405" s="229" t="str">
        <f t="shared" si="159"/>
        <v>0.0910102009716746-0.132158457840097i</v>
      </c>
    </row>
    <row r="406" spans="2:34" x14ac:dyDescent="0.2">
      <c r="B406" s="220"/>
      <c r="I406" s="227">
        <v>402</v>
      </c>
      <c r="J406" s="227">
        <f t="shared" si="147"/>
        <v>4.9195492557669267</v>
      </c>
      <c r="K406" s="227">
        <f t="shared" si="169"/>
        <v>83090.095048354851</v>
      </c>
      <c r="L406" s="227">
        <f t="shared" si="160"/>
        <v>522070.46437997848</v>
      </c>
      <c r="M406" s="227">
        <f t="shared" si="148"/>
        <v>79156.444612956009</v>
      </c>
      <c r="N406" s="227">
        <f>SQRT((ABS(AC406)-171.5+'Small Signal'!C$59)^2)</f>
        <v>65.292940217313259</v>
      </c>
      <c r="O406" s="227">
        <f t="shared" si="161"/>
        <v>42.831551857039926</v>
      </c>
      <c r="P406" s="227">
        <f t="shared" si="162"/>
        <v>16.338629243437122</v>
      </c>
      <c r="Q406" s="227">
        <f t="shared" si="170"/>
        <v>83090.095048354851</v>
      </c>
      <c r="R406" s="227" t="str">
        <f t="shared" si="149"/>
        <v>0.0878666666666667+2.4537311825859i</v>
      </c>
      <c r="S406" s="227" t="str">
        <f t="shared" si="150"/>
        <v>0.0085-0.0733576690378546i</v>
      </c>
      <c r="T406" s="227" t="str">
        <f t="shared" si="151"/>
        <v>0.00890474708081486-0.073260201154595i</v>
      </c>
      <c r="U406" s="227" t="str">
        <f t="shared" si="152"/>
        <v>-0.235030150136755+0.561091450171778i</v>
      </c>
      <c r="V406" s="227">
        <f t="shared" si="163"/>
        <v>-4.3172458484240268</v>
      </c>
      <c r="W406" s="227">
        <f t="shared" si="164"/>
        <v>-247.27215072625847</v>
      </c>
      <c r="X406" s="227" t="str">
        <f t="shared" si="153"/>
        <v>0.950905145634527-0.0652491672130982i</v>
      </c>
      <c r="Y406" s="227" t="str">
        <f t="shared" si="154"/>
        <v>0.298252998973948-9.79229295766132i</v>
      </c>
      <c r="Z406" s="227" t="str">
        <f t="shared" si="155"/>
        <v>-0.185039664399487-4.85917918242425i</v>
      </c>
      <c r="AA406" s="227" t="str">
        <f t="shared" si="156"/>
        <v>-0.938935053675055-0.220347288958156i</v>
      </c>
      <c r="AB406" s="227">
        <f t="shared" si="165"/>
        <v>-0.31446093164846678</v>
      </c>
      <c r="AC406" s="227">
        <f t="shared" si="166"/>
        <v>-166.79294021731326</v>
      </c>
      <c r="AD406" s="229">
        <f t="shared" si="167"/>
        <v>-16.024168311788657</v>
      </c>
      <c r="AE406" s="229">
        <f t="shared" si="168"/>
        <v>123.96138836027333</v>
      </c>
      <c r="AF406" s="227">
        <f t="shared" si="157"/>
        <v>-16.338629243437122</v>
      </c>
      <c r="AG406" s="227">
        <f t="shared" si="158"/>
        <v>-42.831551857039926</v>
      </c>
      <c r="AH406" s="229" t="str">
        <f t="shared" si="159"/>
        <v>0.0882915248216279-0.131088038082324i</v>
      </c>
    </row>
    <row r="407" spans="2:34" x14ac:dyDescent="0.2">
      <c r="B407" s="220"/>
      <c r="I407" s="227">
        <v>403</v>
      </c>
      <c r="J407" s="227">
        <f t="shared" si="147"/>
        <v>4.9292993782937096</v>
      </c>
      <c r="K407" s="227">
        <f t="shared" si="169"/>
        <v>84976.605430811222</v>
      </c>
      <c r="L407" s="227">
        <f t="shared" si="160"/>
        <v>533923.75869687006</v>
      </c>
      <c r="M407" s="227">
        <f t="shared" si="148"/>
        <v>81085.787073304091</v>
      </c>
      <c r="N407" s="227">
        <f>SQRT((ABS(AC407)-171.5+'Small Signal'!C$59)^2)</f>
        <v>65.64577644352724</v>
      </c>
      <c r="O407" s="227">
        <f t="shared" si="161"/>
        <v>43.771408232642798</v>
      </c>
      <c r="P407" s="227">
        <f t="shared" si="162"/>
        <v>16.463917503283138</v>
      </c>
      <c r="Q407" s="227">
        <f t="shared" si="170"/>
        <v>84976.605430811222</v>
      </c>
      <c r="R407" s="227" t="str">
        <f t="shared" si="149"/>
        <v>0.0878666666666667+2.50944166587529i</v>
      </c>
      <c r="S407" s="227" t="str">
        <f t="shared" si="150"/>
        <v>0.0085-0.0717291031099604i</v>
      </c>
      <c r="T407" s="227" t="str">
        <f t="shared" si="151"/>
        <v>0.00888673387463215-0.0716338976836558i</v>
      </c>
      <c r="U407" s="227" t="str">
        <f t="shared" si="152"/>
        <v>-0.227692283965298+0.548891244625225i</v>
      </c>
      <c r="V407" s="227">
        <f t="shared" si="163"/>
        <v>-4.5207107412661349</v>
      </c>
      <c r="W407" s="227">
        <f t="shared" si="164"/>
        <v>-247.4702400609481</v>
      </c>
      <c r="X407" s="227" t="str">
        <f t="shared" si="153"/>
        <v>0.948650499765022-0.0667306101133922i</v>
      </c>
      <c r="Y407" s="227" t="str">
        <f t="shared" si="154"/>
        <v>0.28512658383225-9.57469013365646i</v>
      </c>
      <c r="Z407" s="227" t="str">
        <f t="shared" si="155"/>
        <v>-0.191867191462442-4.7399565535215i</v>
      </c>
      <c r="AA407" s="227" t="str">
        <f t="shared" si="156"/>
        <v>-0.941177341673728-0.214767134572469i</v>
      </c>
      <c r="AB407" s="227">
        <f t="shared" si="165"/>
        <v>-0.30612182294727897</v>
      </c>
      <c r="AC407" s="227">
        <f t="shared" si="166"/>
        <v>-167.14577644352724</v>
      </c>
      <c r="AD407" s="229">
        <f t="shared" si="167"/>
        <v>-16.157795680335859</v>
      </c>
      <c r="AE407" s="229">
        <f t="shared" si="168"/>
        <v>123.37436821088444</v>
      </c>
      <c r="AF407" s="227">
        <f t="shared" si="157"/>
        <v>-16.463917503283138</v>
      </c>
      <c r="AG407" s="227">
        <f t="shared" si="158"/>
        <v>-43.771408232642798</v>
      </c>
      <c r="AH407" s="229" t="str">
        <f t="shared" si="159"/>
        <v>0.0856165161143324-0.129970742904861i</v>
      </c>
    </row>
    <row r="408" spans="2:34" x14ac:dyDescent="0.2">
      <c r="B408" s="220"/>
      <c r="I408" s="227">
        <v>404</v>
      </c>
      <c r="J408" s="227">
        <f t="shared" si="147"/>
        <v>4.9390495008204933</v>
      </c>
      <c r="K408" s="227">
        <f t="shared" si="169"/>
        <v>86905.947891159303</v>
      </c>
      <c r="L408" s="227">
        <f t="shared" si="160"/>
        <v>546046.17489624687</v>
      </c>
      <c r="M408" s="227">
        <f t="shared" si="148"/>
        <v>83058.934087981354</v>
      </c>
      <c r="N408" s="227">
        <f>SQRT((ABS(AC408)-171.5+'Small Signal'!C$59)^2)</f>
        <v>65.994772363104659</v>
      </c>
      <c r="O408" s="227">
        <f t="shared" si="161"/>
        <v>44.702579808703661</v>
      </c>
      <c r="P408" s="227">
        <f t="shared" si="162"/>
        <v>16.58974161235491</v>
      </c>
      <c r="Q408" s="227">
        <f t="shared" si="170"/>
        <v>86905.947891159303</v>
      </c>
      <c r="R408" s="227" t="str">
        <f t="shared" si="149"/>
        <v>0.0878666666666667+2.56641702201236i</v>
      </c>
      <c r="S408" s="227" t="str">
        <f t="shared" si="150"/>
        <v>0.0085-0.0701366919156653i</v>
      </c>
      <c r="T408" s="227" t="str">
        <f t="shared" si="151"/>
        <v>0.00886951154311766-0.0700436922947381i</v>
      </c>
      <c r="U408" s="227" t="str">
        <f t="shared" si="152"/>
        <v>-0.220676777575663+0.536945156127105i</v>
      </c>
      <c r="V408" s="227">
        <f t="shared" si="163"/>
        <v>-4.7235935034497363</v>
      </c>
      <c r="W408" s="227">
        <f t="shared" si="164"/>
        <v>-247.65803888739205</v>
      </c>
      <c r="X408" s="227" t="str">
        <f t="shared" si="153"/>
        <v>0.946292310905878-0.0682456882792473i</v>
      </c>
      <c r="Y408" s="227" t="str">
        <f t="shared" si="154"/>
        <v>0.272579165234233-9.36193180328748i</v>
      </c>
      <c r="Z408" s="227" t="str">
        <f t="shared" si="155"/>
        <v>-0.198393557033479-4.62313276374634i</v>
      </c>
      <c r="AA408" s="227" t="str">
        <f t="shared" si="156"/>
        <v>-0.943518468285306-0.20926332748783i</v>
      </c>
      <c r="AB408" s="227">
        <f t="shared" si="165"/>
        <v>-0.29644642450349301</v>
      </c>
      <c r="AC408" s="227">
        <f t="shared" si="166"/>
        <v>-167.49477236310466</v>
      </c>
      <c r="AD408" s="229">
        <f t="shared" si="167"/>
        <v>-16.293295187851417</v>
      </c>
      <c r="AE408" s="229">
        <f t="shared" si="168"/>
        <v>122.792192554401</v>
      </c>
      <c r="AF408" s="227">
        <f t="shared" si="157"/>
        <v>-16.58974161235491</v>
      </c>
      <c r="AG408" s="227">
        <f t="shared" si="158"/>
        <v>-44.702579808703661</v>
      </c>
      <c r="AH408" s="229" t="str">
        <f t="shared" si="159"/>
        <v>0.0829867613927316-0.128808791163961i</v>
      </c>
    </row>
    <row r="409" spans="2:34" x14ac:dyDescent="0.2">
      <c r="B409" s="220"/>
      <c r="I409" s="227">
        <v>405</v>
      </c>
      <c r="J409" s="227">
        <f t="shared" si="147"/>
        <v>4.9487996233472771</v>
      </c>
      <c r="K409" s="227">
        <f t="shared" si="169"/>
        <v>88879.094905836566</v>
      </c>
      <c r="L409" s="227">
        <f t="shared" si="160"/>
        <v>558443.82322777237</v>
      </c>
      <c r="M409" s="227">
        <f t="shared" si="148"/>
        <v>85076.880212915188</v>
      </c>
      <c r="N409" s="227">
        <f>SQRT((ABS(AC409)-171.5+'Small Signal'!C$59)^2)</f>
        <v>66.34017222978008</v>
      </c>
      <c r="O409" s="227">
        <f t="shared" si="161"/>
        <v>45.625097834891804</v>
      </c>
      <c r="P409" s="227">
        <f t="shared" si="162"/>
        <v>16.716044582857027</v>
      </c>
      <c r="Q409" s="227">
        <f t="shared" si="170"/>
        <v>88879.094905836566</v>
      </c>
      <c r="R409" s="227" t="str">
        <f t="shared" si="149"/>
        <v>0.0878666666666667+2.62468596917053i</v>
      </c>
      <c r="S409" s="227" t="str">
        <f t="shared" si="150"/>
        <v>0.0085-0.0685796328072284i</v>
      </c>
      <c r="T409" s="227" t="str">
        <f t="shared" si="151"/>
        <v>0.00885304536465337-0.0684887840161924i</v>
      </c>
      <c r="U409" s="227" t="str">
        <f t="shared" si="152"/>
        <v>-0.213969462435116+0.525248637580362i</v>
      </c>
      <c r="V409" s="227">
        <f t="shared" si="163"/>
        <v>-4.9259070717467477</v>
      </c>
      <c r="W409" s="227">
        <f t="shared" si="164"/>
        <v>-247.83559296476579</v>
      </c>
      <c r="X409" s="227" t="str">
        <f t="shared" si="153"/>
        <v>0.943825823919781-0.0697951653790361i</v>
      </c>
      <c r="Y409" s="227" t="str">
        <f t="shared" si="154"/>
        <v>0.260585093445963-9.15390953704208i</v>
      </c>
      <c r="Z409" s="227" t="str">
        <f t="shared" si="155"/>
        <v>-0.204632103030888-4.50864830281997i</v>
      </c>
      <c r="AA409" s="227" t="str">
        <f t="shared" si="156"/>
        <v>-0.945964004316624-0.203830507087623i</v>
      </c>
      <c r="AB409" s="227">
        <f t="shared" si="165"/>
        <v>-0.28541019182838445</v>
      </c>
      <c r="AC409" s="227">
        <f t="shared" si="166"/>
        <v>-167.84017222978008</v>
      </c>
      <c r="AD409" s="229">
        <f t="shared" si="167"/>
        <v>-16.430634391028644</v>
      </c>
      <c r="AE409" s="229">
        <f t="shared" si="168"/>
        <v>122.21507439488828</v>
      </c>
      <c r="AF409" s="227">
        <f t="shared" si="157"/>
        <v>-16.716044582857027</v>
      </c>
      <c r="AG409" s="227">
        <f t="shared" si="158"/>
        <v>-45.625097834891804</v>
      </c>
      <c r="AH409" s="229" t="str">
        <f t="shared" si="159"/>
        <v>0.0804037043649423-0.12760444957188i</v>
      </c>
    </row>
    <row r="410" spans="2:34" x14ac:dyDescent="0.2">
      <c r="B410" s="220"/>
      <c r="I410" s="227">
        <v>406</v>
      </c>
      <c r="J410" s="227">
        <f t="shared" si="147"/>
        <v>4.9585497458740608</v>
      </c>
      <c r="K410" s="227">
        <f t="shared" si="169"/>
        <v>90897.041030770401</v>
      </c>
      <c r="L410" s="227">
        <f t="shared" si="160"/>
        <v>571122.95267063659</v>
      </c>
      <c r="M410" s="227">
        <f t="shared" si="148"/>
        <v>87140.642584824047</v>
      </c>
      <c r="N410" s="227">
        <f>SQRT((ABS(AC410)-171.5+'Small Signal'!C$59)^2)</f>
        <v>66.682231827410845</v>
      </c>
      <c r="O410" s="227">
        <f t="shared" si="161"/>
        <v>46.539015967216102</v>
      </c>
      <c r="P410" s="227">
        <f t="shared" si="162"/>
        <v>16.842765812259891</v>
      </c>
      <c r="Q410" s="227">
        <f t="shared" si="170"/>
        <v>90897.041030770401</v>
      </c>
      <c r="R410" s="227" t="str">
        <f t="shared" si="149"/>
        <v>0.0878666666666667+2.68427787755199i</v>
      </c>
      <c r="S410" s="227" t="str">
        <f t="shared" si="150"/>
        <v>0.0085-0.0670571409559717i</v>
      </c>
      <c r="T410" s="227" t="str">
        <f t="shared" si="151"/>
        <v>0.00883730214183055-0.0669683896309728i</v>
      </c>
      <c r="U410" s="227" t="str">
        <f t="shared" si="152"/>
        <v>-0.207556793335225+0.513797171065915i</v>
      </c>
      <c r="V410" s="227">
        <f t="shared" si="163"/>
        <v>-5.1276635125266381</v>
      </c>
      <c r="W410" s="227">
        <f t="shared" si="164"/>
        <v>-248.00294682834323</v>
      </c>
      <c r="X410" s="227" t="str">
        <f t="shared" si="153"/>
        <v>0.941246065293159-0.0713798224197605i</v>
      </c>
      <c r="Y410" s="227" t="str">
        <f t="shared" si="154"/>
        <v>0.249119864495622-8.9505173690475i</v>
      </c>
      <c r="Z410" s="227" t="str">
        <f t="shared" si="155"/>
        <v>-0.210595575364109-4.39644487981112i</v>
      </c>
      <c r="AA410" s="227" t="str">
        <f t="shared" si="156"/>
        <v>-0.948519809341345-0.198463118261288i</v>
      </c>
      <c r="AB410" s="227">
        <f t="shared" si="165"/>
        <v>-0.27298593549246181</v>
      </c>
      <c r="AC410" s="227">
        <f t="shared" si="166"/>
        <v>-168.18223182741085</v>
      </c>
      <c r="AD410" s="229">
        <f t="shared" si="167"/>
        <v>-16.569779876767431</v>
      </c>
      <c r="AE410" s="229">
        <f t="shared" si="168"/>
        <v>121.64321586019474</v>
      </c>
      <c r="AF410" s="227">
        <f t="shared" si="157"/>
        <v>-16.842765812259891</v>
      </c>
      <c r="AG410" s="227">
        <f t="shared" si="158"/>
        <v>-46.539015967216102</v>
      </c>
      <c r="AH410" s="229" t="str">
        <f t="shared" si="159"/>
        <v>0.0778686455292209-0.126360022400298i</v>
      </c>
    </row>
    <row r="411" spans="2:34" x14ac:dyDescent="0.2">
      <c r="B411" s="220"/>
      <c r="I411" s="227">
        <v>407</v>
      </c>
      <c r="J411" s="227">
        <f t="shared" si="147"/>
        <v>4.9682998684008446</v>
      </c>
      <c r="K411" s="227">
        <f t="shared" si="169"/>
        <v>92960.803402679259</v>
      </c>
      <c r="L411" s="227">
        <f t="shared" si="160"/>
        <v>584089.95408332441</v>
      </c>
      <c r="M411" s="227">
        <f t="shared" si="148"/>
        <v>89251.261433901003</v>
      </c>
      <c r="N411" s="227">
        <f>SQRT((ABS(AC411)-171.5+'Small Signal'!C$59)^2)</f>
        <v>67.021219249886258</v>
      </c>
      <c r="O411" s="227">
        <f t="shared" si="161"/>
        <v>47.444411194234988</v>
      </c>
      <c r="P411" s="227">
        <f t="shared" si="162"/>
        <v>16.96984109802732</v>
      </c>
      <c r="Q411" s="227">
        <f t="shared" si="170"/>
        <v>92960.803402679259</v>
      </c>
      <c r="R411" s="227" t="str">
        <f t="shared" si="149"/>
        <v>0.0878666666666667+2.74522278419162i</v>
      </c>
      <c r="S411" s="227" t="str">
        <f t="shared" si="150"/>
        <v>0.0085-0.0655684489566859i</v>
      </c>
      <c r="T411" s="227" t="str">
        <f t="shared" si="151"/>
        <v>0.00882225013455433-0.0654817432842483i</v>
      </c>
      <c r="U411" s="227" t="str">
        <f t="shared" si="152"/>
        <v>-0.201425820921624+0.502586271921252i</v>
      </c>
      <c r="V411" s="227">
        <f t="shared" si="163"/>
        <v>-5.3288740282253553</v>
      </c>
      <c r="W411" s="227">
        <f t="shared" si="164"/>
        <v>-248.16014366854711</v>
      </c>
      <c r="X411" s="227" t="str">
        <f t="shared" si="153"/>
        <v>0.938547833107402-0.0730004581407139i</v>
      </c>
      <c r="Y411" s="227" t="str">
        <f t="shared" si="154"/>
        <v>0.238160068185116-8.75165173879003i</v>
      </c>
      <c r="Z411" s="227" t="str">
        <f t="shared" si="155"/>
        <v>-0.216296150979994-4.28646539119253i</v>
      </c>
      <c r="AA411" s="227" t="str">
        <f t="shared" si="156"/>
        <v>-0.951192050443836-0.193155386068173i</v>
      </c>
      <c r="AB411" s="227">
        <f t="shared" si="165"/>
        <v>-0.25914373480589131</v>
      </c>
      <c r="AC411" s="227">
        <f t="shared" si="166"/>
        <v>-168.52121924988626</v>
      </c>
      <c r="AD411" s="229">
        <f t="shared" si="167"/>
        <v>-16.710697363221428</v>
      </c>
      <c r="AE411" s="229">
        <f t="shared" si="168"/>
        <v>121.07680805565127</v>
      </c>
      <c r="AF411" s="227">
        <f t="shared" si="157"/>
        <v>-16.96984109802732</v>
      </c>
      <c r="AG411" s="227">
        <f t="shared" si="158"/>
        <v>-47.444411194234988</v>
      </c>
      <c r="AH411" s="229" t="str">
        <f t="shared" si="159"/>
        <v>0.0753827426123304-0.125077841407165i</v>
      </c>
    </row>
    <row r="412" spans="2:34" x14ac:dyDescent="0.2">
      <c r="B412" s="220"/>
      <c r="I412" s="227">
        <v>408</v>
      </c>
      <c r="J412" s="227">
        <f t="shared" si="147"/>
        <v>4.9780499909276275</v>
      </c>
      <c r="K412" s="227">
        <f t="shared" si="169"/>
        <v>95071.422251756216</v>
      </c>
      <c r="L412" s="227">
        <f t="shared" si="160"/>
        <v>597351.36342490104</v>
      </c>
      <c r="M412" s="227">
        <f t="shared" si="148"/>
        <v>91409.800608136749</v>
      </c>
      <c r="N412" s="227">
        <f>SQRT((ABS(AC412)-171.5+'Small Signal'!C$59)^2)</f>
        <v>67.35741577278597</v>
      </c>
      <c r="O412" s="227">
        <f t="shared" si="161"/>
        <v>48.341384808867986</v>
      </c>
      <c r="P412" s="227">
        <f t="shared" si="162"/>
        <v>17.097202647142627</v>
      </c>
      <c r="Q412" s="227">
        <f t="shared" si="170"/>
        <v>95071.422251756216</v>
      </c>
      <c r="R412" s="227" t="str">
        <f t="shared" si="149"/>
        <v>0.0878666666666667+2.80755140809703i</v>
      </c>
      <c r="S412" s="227" t="str">
        <f t="shared" si="150"/>
        <v>0.0085-0.0641128064408283i</v>
      </c>
      <c r="T412" s="227" t="str">
        <f t="shared" si="151"/>
        <v>0.00880785899608312-0.0640280960996198i</v>
      </c>
      <c r="U412" s="227" t="str">
        <f t="shared" si="152"/>
        <v>-0.195564165438285+0.491611492415218i</v>
      </c>
      <c r="V412" s="227">
        <f t="shared" si="163"/>
        <v>-5.5295489637010782</v>
      </c>
      <c r="W412" s="227">
        <f t="shared" si="164"/>
        <v>-248.30722522004118</v>
      </c>
      <c r="X412" s="227" t="str">
        <f t="shared" si="153"/>
        <v>0.935725686549534-0.0746578894160831i</v>
      </c>
      <c r="Y412" s="227" t="str">
        <f t="shared" si="154"/>
        <v>0.227683338528745-8.55721143435264i</v>
      </c>
      <c r="Z412" s="227" t="str">
        <f t="shared" si="155"/>
        <v>-0.221745463646215-4.17865388965695i</v>
      </c>
      <c r="AA412" s="227" t="str">
        <f t="shared" si="156"/>
        <v>-0.953987222133692-0.18790128780586i</v>
      </c>
      <c r="AB412" s="227">
        <f t="shared" si="165"/>
        <v>-0.24385084688404182</v>
      </c>
      <c r="AC412" s="227">
        <f t="shared" si="166"/>
        <v>-168.85741577278597</v>
      </c>
      <c r="AD412" s="229">
        <f t="shared" si="167"/>
        <v>-16.853351800258586</v>
      </c>
      <c r="AE412" s="229">
        <f t="shared" si="168"/>
        <v>120.51603096391798</v>
      </c>
      <c r="AF412" s="227">
        <f t="shared" si="157"/>
        <v>-17.097202647142627</v>
      </c>
      <c r="AG412" s="227">
        <f t="shared" si="158"/>
        <v>-48.341384808867986</v>
      </c>
      <c r="AH412" s="229" t="str">
        <f t="shared" si="159"/>
        <v>0.0729470117772032-0.123760256053931i</v>
      </c>
    </row>
    <row r="413" spans="2:34" x14ac:dyDescent="0.2">
      <c r="B413" s="220"/>
      <c r="I413" s="227">
        <v>409</v>
      </c>
      <c r="J413" s="227">
        <f t="shared" si="147"/>
        <v>4.9878001134544103</v>
      </c>
      <c r="K413" s="227">
        <f t="shared" si="169"/>
        <v>97229.961425991962</v>
      </c>
      <c r="L413" s="227">
        <f t="shared" si="160"/>
        <v>610913.86504943063</v>
      </c>
      <c r="M413" s="227">
        <f t="shared" si="148"/>
        <v>93617.348109547544</v>
      </c>
      <c r="N413" s="227">
        <f>SQRT((ABS(AC413)-171.5+'Small Signal'!C$59)^2)</f>
        <v>67.691116824912967</v>
      </c>
      <c r="O413" s="227">
        <f t="shared" si="161"/>
        <v>49.230063435422238</v>
      </c>
      <c r="P413" s="227">
        <f t="shared" si="162"/>
        <v>17.224779079678179</v>
      </c>
      <c r="Q413" s="227">
        <f t="shared" si="170"/>
        <v>97229.961425991962</v>
      </c>
      <c r="R413" s="227" t="str">
        <f t="shared" si="149"/>
        <v>0.0878666666666667+2.87129516573232i</v>
      </c>
      <c r="S413" s="227" t="str">
        <f t="shared" si="150"/>
        <v>0.0085-0.0626894796982989i</v>
      </c>
      <c r="T413" s="227" t="str">
        <f t="shared" si="151"/>
        <v>0.00879409971187395-0.0626067158037397i</v>
      </c>
      <c r="U413" s="227" t="str">
        <f t="shared" si="152"/>
        <v>-0.189959991632297+0.480868425048774i</v>
      </c>
      <c r="V413" s="227">
        <f t="shared" si="163"/>
        <v>-5.729697812410822</v>
      </c>
      <c r="W413" s="227">
        <f t="shared" si="164"/>
        <v>-248.44423166072329</v>
      </c>
      <c r="X413" s="227" t="str">
        <f t="shared" si="153"/>
        <v>0.932773934941156-0.0763529516666891i</v>
      </c>
      <c r="Y413" s="227" t="str">
        <f t="shared" si="154"/>
        <v>0.217668306500541-8.36709753712267i</v>
      </c>
      <c r="Z413" s="227" t="str">
        <f t="shared" si="155"/>
        <v>-0.226954628533402-4.07295555366665i</v>
      </c>
      <c r="AA413" s="227" t="str">
        <f t="shared" si="156"/>
        <v>-0.956912167498797-0.18269452216393i</v>
      </c>
      <c r="AB413" s="227">
        <f t="shared" si="165"/>
        <v>-0.22707161086790006</v>
      </c>
      <c r="AC413" s="227">
        <f t="shared" si="166"/>
        <v>-169.19111682491297</v>
      </c>
      <c r="AD413" s="229">
        <f t="shared" si="167"/>
        <v>-16.99770746881028</v>
      </c>
      <c r="AE413" s="229">
        <f t="shared" si="168"/>
        <v>119.96105338949073</v>
      </c>
      <c r="AF413" s="227">
        <f t="shared" si="157"/>
        <v>-17.224779079678179</v>
      </c>
      <c r="AG413" s="227">
        <f t="shared" si="158"/>
        <v>-49.230063435422238</v>
      </c>
      <c r="AH413" s="229" t="str">
        <f t="shared" si="159"/>
        <v>0.0705623295504611-0.122409624073219i</v>
      </c>
    </row>
    <row r="414" spans="2:34" x14ac:dyDescent="0.2">
      <c r="B414" s="220"/>
      <c r="I414" s="227">
        <v>410</v>
      </c>
      <c r="J414" s="227">
        <f t="shared" si="147"/>
        <v>4.9975502359811941</v>
      </c>
      <c r="K414" s="227">
        <f t="shared" si="169"/>
        <v>99437.508927402756</v>
      </c>
      <c r="L414" s="227">
        <f t="shared" si="160"/>
        <v>624784.29507519596</v>
      </c>
      <c r="M414" s="227">
        <f t="shared" si="148"/>
        <v>95875.016642577728</v>
      </c>
      <c r="N414" s="227">
        <f>SQRT((ABS(AC414)-171.5+'Small Signal'!C$59)^2)</f>
        <v>68.022633068782199</v>
      </c>
      <c r="O414" s="227">
        <f t="shared" si="161"/>
        <v>50.110600122678051</v>
      </c>
      <c r="P414" s="227">
        <f t="shared" si="162"/>
        <v>17.352495425705701</v>
      </c>
      <c r="Q414" s="227">
        <f t="shared" si="170"/>
        <v>99437.508927402756</v>
      </c>
      <c r="R414" s="227" t="str">
        <f t="shared" si="149"/>
        <v>0.0878666666666667+2.93648618685342i</v>
      </c>
      <c r="S414" s="227" t="str">
        <f t="shared" si="150"/>
        <v>0.0085-0.0612977513076191i</v>
      </c>
      <c r="T414" s="227" t="str">
        <f t="shared" si="151"/>
        <v>0.00878094454111101-0.0612168863591706i</v>
      </c>
      <c r="U414" s="227" t="str">
        <f t="shared" si="152"/>
        <v>-0.184601984767556+0.47035270550974i</v>
      </c>
      <c r="V414" s="227">
        <f t="shared" si="163"/>
        <v>-5.9293292223433003</v>
      </c>
      <c r="W414" s="227">
        <f t="shared" si="164"/>
        <v>-248.57120152049345</v>
      </c>
      <c r="X414" s="227" t="str">
        <f t="shared" si="153"/>
        <v>0.929686626263557-0.0780864992810778i</v>
      </c>
      <c r="Y414" s="227" t="str">
        <f t="shared" si="154"/>
        <v>0.208094554976872-8.18121336792485i</v>
      </c>
      <c r="Z414" s="227" t="str">
        <f t="shared" si="155"/>
        <v>-0.231934265655077-3.96931665771208i</v>
      </c>
      <c r="AA414" s="227" t="str">
        <f t="shared" si="156"/>
        <v>-0.959974100664587-0.177528475101164i</v>
      </c>
      <c r="AB414" s="227">
        <f t="shared" si="165"/>
        <v>-0.20876734708642888</v>
      </c>
      <c r="AC414" s="227">
        <f t="shared" si="166"/>
        <v>-169.5226330687822</v>
      </c>
      <c r="AD414" s="229">
        <f t="shared" si="167"/>
        <v>-17.143728078619272</v>
      </c>
      <c r="AE414" s="229">
        <f t="shared" si="168"/>
        <v>119.41203294610415</v>
      </c>
      <c r="AF414" s="227">
        <f t="shared" si="157"/>
        <v>-17.352495425705701</v>
      </c>
      <c r="AG414" s="227">
        <f t="shared" si="158"/>
        <v>-50.110600122678051</v>
      </c>
      <c r="AH414" s="229" t="str">
        <f t="shared" si="159"/>
        <v>0.0682294354160204-0.121028302439851i</v>
      </c>
    </row>
    <row r="415" spans="2:34" x14ac:dyDescent="0.2">
      <c r="B415" s="220"/>
      <c r="I415" s="227">
        <v>411</v>
      </c>
      <c r="J415" s="227">
        <f t="shared" si="147"/>
        <v>5.0073003585079769</v>
      </c>
      <c r="K415" s="227">
        <f t="shared" si="169"/>
        <v>101695.17746043294</v>
      </c>
      <c r="L415" s="227">
        <f t="shared" si="160"/>
        <v>638969.64483041293</v>
      </c>
      <c r="M415" s="227">
        <f t="shared" si="148"/>
        <v>98183.944174953678</v>
      </c>
      <c r="N415" s="227">
        <f>SQRT((ABS(AC415)-171.5+'Small Signal'!C$59)^2)</f>
        <v>68.352291600212027</v>
      </c>
      <c r="O415" s="227">
        <f t="shared" si="161"/>
        <v>50.983175515159701</v>
      </c>
      <c r="P415" s="227">
        <f t="shared" si="162"/>
        <v>17.480273114911601</v>
      </c>
      <c r="Q415" s="227">
        <f t="shared" si="170"/>
        <v>101695.17746043294</v>
      </c>
      <c r="R415" s="227" t="str">
        <f t="shared" si="149"/>
        <v>0.0878666666666667+3.00315733070294i</v>
      </c>
      <c r="S415" s="227" t="str">
        <f t="shared" si="150"/>
        <v>0.0085-0.059936919774319i</v>
      </c>
      <c r="T415" s="227" t="str">
        <f t="shared" si="151"/>
        <v>0.00876836696079953-0.0598579076052983i</v>
      </c>
      <c r="U415" s="227" t="str">
        <f t="shared" si="152"/>
        <v>-0.179479327698153+0.460060015307375i</v>
      </c>
      <c r="V415" s="227">
        <f t="shared" si="163"/>
        <v>-6.1284510016522713</v>
      </c>
      <c r="W415" s="227">
        <f t="shared" si="164"/>
        <v>-248.68817159965749</v>
      </c>
      <c r="X415" s="227" t="str">
        <f t="shared" si="153"/>
        <v>0.926457535155847-0.0798594060461707i</v>
      </c>
      <c r="Y415" s="227" t="str">
        <f t="shared" si="154"/>
        <v>0.198942575767989-7.99946443453565i</v>
      </c>
      <c r="Z415" s="227" t="str">
        <f t="shared" si="155"/>
        <v>-0.236694522220691-3.86768454325606i</v>
      </c>
      <c r="AA415" s="227" t="str">
        <f t="shared" si="156"/>
        <v>-0.963180630624934-0.172396182035153i</v>
      </c>
      <c r="AB415" s="227">
        <f t="shared" si="165"/>
        <v>-0.18889625097524884</v>
      </c>
      <c r="AC415" s="227">
        <f t="shared" si="166"/>
        <v>-169.85229160021203</v>
      </c>
      <c r="AD415" s="229">
        <f t="shared" si="167"/>
        <v>-17.291376863936353</v>
      </c>
      <c r="AE415" s="229">
        <f t="shared" si="168"/>
        <v>118.86911608505233</v>
      </c>
      <c r="AF415" s="227">
        <f t="shared" si="157"/>
        <v>-17.480273114911601</v>
      </c>
      <c r="AG415" s="227">
        <f t="shared" si="158"/>
        <v>-50.983175515159701</v>
      </c>
      <c r="AH415" s="229" t="str">
        <f t="shared" si="159"/>
        <v>0.0659489350177073-0.119618638790737i</v>
      </c>
    </row>
    <row r="416" spans="2:34" x14ac:dyDescent="0.2">
      <c r="B416" s="220"/>
      <c r="I416" s="227">
        <v>412</v>
      </c>
      <c r="J416" s="227">
        <f t="shared" si="147"/>
        <v>5.0170504810347607</v>
      </c>
      <c r="K416" s="227">
        <f t="shared" si="169"/>
        <v>104004.10499280889</v>
      </c>
      <c r="L416" s="227">
        <f t="shared" si="160"/>
        <v>653477.06437717983</v>
      </c>
      <c r="M416" s="227">
        <f t="shared" si="148"/>
        <v>100545.29451127052</v>
      </c>
      <c r="N416" s="227">
        <f>SQRT((ABS(AC416)-171.5+'Small Signal'!C$59)^2)</f>
        <v>68.680437278383465</v>
      </c>
      <c r="O416" s="227">
        <f t="shared" si="161"/>
        <v>51.84799911613834</v>
      </c>
      <c r="P416" s="227">
        <f t="shared" si="162"/>
        <v>17.608029958355207</v>
      </c>
      <c r="Q416" s="227">
        <f t="shared" si="170"/>
        <v>104004.10499280889</v>
      </c>
      <c r="R416" s="227" t="str">
        <f t="shared" si="149"/>
        <v>0.0878666666666667+3.07134220257275i</v>
      </c>
      <c r="S416" s="227" t="str">
        <f t="shared" si="150"/>
        <v>0.0085-0.05860629917735i</v>
      </c>
      <c r="T416" s="227" t="str">
        <f t="shared" si="151"/>
        <v>0.00875634161231261-0.0585290949071254i</v>
      </c>
      <c r="U416" s="227" t="str">
        <f t="shared" si="152"/>
        <v>-0.174581678954346+0.449986084110877i</v>
      </c>
      <c r="V416" s="227">
        <f t="shared" si="163"/>
        <v>-6.3270701239402722</v>
      </c>
      <c r="W416" s="227">
        <f t="shared" si="164"/>
        <v>-248.79517689684462</v>
      </c>
      <c r="X416" s="227" t="str">
        <f t="shared" si="153"/>
        <v>0.923080150361918-0.081672565587693i</v>
      </c>
      <c r="Y416" s="227" t="str">
        <f t="shared" si="154"/>
        <v>0.190193728637102-7.82175838053713i</v>
      </c>
      <c r="Z416" s="227" t="str">
        <f t="shared" si="155"/>
        <v>-0.241245093954557-3.76800759034052i</v>
      </c>
      <c r="AA416" s="227" t="str">
        <f t="shared" si="156"/>
        <v>-0.966539786506095-0.167290285876738i</v>
      </c>
      <c r="AB416" s="227">
        <f t="shared" si="165"/>
        <v>-0.16741328159867011</v>
      </c>
      <c r="AC416" s="227">
        <f t="shared" si="166"/>
        <v>-170.18043727838347</v>
      </c>
      <c r="AD416" s="229">
        <f t="shared" si="167"/>
        <v>-17.440616676756537</v>
      </c>
      <c r="AE416" s="229">
        <f t="shared" si="168"/>
        <v>118.33243816224513</v>
      </c>
      <c r="AF416" s="227">
        <f t="shared" si="157"/>
        <v>-17.608029958355207</v>
      </c>
      <c r="AG416" s="227">
        <f t="shared" si="158"/>
        <v>-51.84799911613834</v>
      </c>
      <c r="AH416" s="229" t="str">
        <f t="shared" si="159"/>
        <v>0.0637213039114333-0.118182963331717i</v>
      </c>
    </row>
    <row r="417" spans="2:34" x14ac:dyDescent="0.2">
      <c r="B417" s="220"/>
      <c r="I417" s="227">
        <v>413</v>
      </c>
      <c r="J417" s="227">
        <f t="shared" si="147"/>
        <v>5.0268006035615445</v>
      </c>
      <c r="K417" s="227">
        <f t="shared" si="169"/>
        <v>106365.45532912573</v>
      </c>
      <c r="L417" s="227">
        <f t="shared" si="160"/>
        <v>668313.86611542944</v>
      </c>
      <c r="M417" s="227">
        <f t="shared" si="148"/>
        <v>102960.25787960405</v>
      </c>
      <c r="N417" s="227">
        <f>SQRT((ABS(AC417)-171.5+'Small Signal'!C$59)^2)</f>
        <v>69.007434199095314</v>
      </c>
      <c r="O417" s="227">
        <f t="shared" si="161"/>
        <v>52.705310657435007</v>
      </c>
      <c r="P417" s="227">
        <f t="shared" si="162"/>
        <v>17.735680121890233</v>
      </c>
      <c r="Q417" s="227">
        <f t="shared" si="170"/>
        <v>106365.45532912573</v>
      </c>
      <c r="R417" s="227" t="str">
        <f t="shared" si="149"/>
        <v>0.0878666666666667+3.14107517074252i</v>
      </c>
      <c r="S417" s="227" t="str">
        <f t="shared" si="150"/>
        <v>0.0085-0.0573052188233528i</v>
      </c>
      <c r="T417" s="227" t="str">
        <f t="shared" si="151"/>
        <v>0.00874484425028355-0.0572297788117859i</v>
      </c>
      <c r="U417" s="227" t="str">
        <f t="shared" si="152"/>
        <v>-0.169899151796234+0.440126691814309i</v>
      </c>
      <c r="V417" s="227">
        <f t="shared" si="163"/>
        <v>-6.5251927331460351</v>
      </c>
      <c r="W417" s="227">
        <f t="shared" si="164"/>
        <v>-248.89225054631754</v>
      </c>
      <c r="X417" s="227" t="str">
        <f t="shared" si="153"/>
        <v>0.919547661600909-0.0835268918206018i</v>
      </c>
      <c r="Y417" s="227" t="str">
        <f t="shared" si="154"/>
        <v>0.181830202210915-7.64800493546936i</v>
      </c>
      <c r="Z417" s="227" t="str">
        <f t="shared" si="155"/>
        <v>-0.245595245430656-3.67023518983363i</v>
      </c>
      <c r="AA417" s="227" t="str">
        <f t="shared" si="156"/>
        <v>-0.970060044318756-0.162202990377058i</v>
      </c>
      <c r="AB417" s="227">
        <f t="shared" si="165"/>
        <v>-0.14427004466179866</v>
      </c>
      <c r="AC417" s="227">
        <f t="shared" si="166"/>
        <v>-170.50743419909531</v>
      </c>
      <c r="AD417" s="229">
        <f t="shared" si="167"/>
        <v>-17.591410077228435</v>
      </c>
      <c r="AE417" s="229">
        <f t="shared" si="168"/>
        <v>117.80212354166031</v>
      </c>
      <c r="AF417" s="227">
        <f t="shared" si="157"/>
        <v>-17.735680121890233</v>
      </c>
      <c r="AG417" s="227">
        <f t="shared" si="158"/>
        <v>-52.705310657435007</v>
      </c>
      <c r="AH417" s="229" t="str">
        <f t="shared" si="159"/>
        <v>0.0615468918060563-0.116723581262074i</v>
      </c>
    </row>
    <row r="418" spans="2:34" x14ac:dyDescent="0.2">
      <c r="B418" s="220"/>
      <c r="I418" s="227">
        <v>414</v>
      </c>
      <c r="J418" s="227">
        <f t="shared" si="147"/>
        <v>5.0365507260883282</v>
      </c>
      <c r="K418" s="227">
        <f t="shared" si="169"/>
        <v>108780.41869745926</v>
      </c>
      <c r="L418" s="227">
        <f t="shared" si="160"/>
        <v>683487.52846871957</v>
      </c>
      <c r="M418" s="227">
        <f t="shared" si="148"/>
        <v>105430.05153143821</v>
      </c>
      <c r="N418" s="227">
        <f>SQRT((ABS(AC418)-171.5+'Small Signal'!C$59)^2)</f>
        <v>69.333667325499249</v>
      </c>
      <c r="O418" s="227">
        <f t="shared" si="161"/>
        <v>53.555381592773742</v>
      </c>
      <c r="P418" s="227">
        <f t="shared" si="162"/>
        <v>17.863134090871391</v>
      </c>
      <c r="Q418" s="227">
        <f t="shared" si="170"/>
        <v>108780.41869745926</v>
      </c>
      <c r="R418" s="227" t="str">
        <f t="shared" si="149"/>
        <v>0.0878666666666667+3.21239138380298i</v>
      </c>
      <c r="S418" s="227" t="str">
        <f t="shared" si="150"/>
        <v>0.0085-0.0560330229085931i</v>
      </c>
      <c r="T418" s="227" t="str">
        <f t="shared" si="151"/>
        <v>0.00873385169374057-0.0559593047125999i</v>
      </c>
      <c r="U418" s="227" t="str">
        <f t="shared" si="152"/>
        <v>-0.165422294192132+0.430477670348671i</v>
      </c>
      <c r="V418" s="227">
        <f t="shared" si="163"/>
        <v>-6.7228241479984856</v>
      </c>
      <c r="W418" s="227">
        <f t="shared" si="164"/>
        <v>-248.97942376456561</v>
      </c>
      <c r="X418" s="227" t="str">
        <f t="shared" si="153"/>
        <v>0.915852945834706-0.085423319409741i</v>
      </c>
      <c r="Y418" s="227" t="str">
        <f t="shared" si="154"/>
        <v>0.17383497669096-7.47811586624333i</v>
      </c>
      <c r="Z418" s="227" t="str">
        <f t="shared" si="155"/>
        <v>-0.249753829470536-3.57431771629644i</v>
      </c>
      <c r="AA418" s="227" t="str">
        <f t="shared" si="156"/>
        <v>-0.973750355242624-0.157126008180194i</v>
      </c>
      <c r="AB418" s="227">
        <f t="shared" si="165"/>
        <v>-0.1194146699577056</v>
      </c>
      <c r="AC418" s="227">
        <f t="shared" si="166"/>
        <v>-170.83366732549925</v>
      </c>
      <c r="AD418" s="229">
        <f t="shared" si="167"/>
        <v>-17.743719420913685</v>
      </c>
      <c r="AE418" s="229">
        <f t="shared" si="168"/>
        <v>117.27828573272551</v>
      </c>
      <c r="AF418" s="227">
        <f t="shared" si="157"/>
        <v>-17.863134090871391</v>
      </c>
      <c r="AG418" s="227">
        <f t="shared" si="158"/>
        <v>-53.555381592773742</v>
      </c>
      <c r="AH418" s="229" t="str">
        <f t="shared" si="159"/>
        <v>0.0594259272314994-0.115242765740246i</v>
      </c>
    </row>
    <row r="419" spans="2:34" x14ac:dyDescent="0.2">
      <c r="B419" s="220"/>
      <c r="I419" s="227">
        <v>415</v>
      </c>
      <c r="J419" s="227">
        <f t="shared" si="147"/>
        <v>5.0463008486151111</v>
      </c>
      <c r="K419" s="227">
        <f t="shared" si="169"/>
        <v>111250.21234929342</v>
      </c>
      <c r="L419" s="227">
        <f t="shared" si="160"/>
        <v>699005.6996536894</v>
      </c>
      <c r="M419" s="227">
        <f t="shared" si="148"/>
        <v>107955.92035521695</v>
      </c>
      <c r="N419" s="227">
        <f>SQRT((ABS(AC419)-171.5+'Small Signal'!C$59)^2)</f>
        <v>69.659544292340257</v>
      </c>
      <c r="O419" s="227">
        <f t="shared" si="161"/>
        <v>54.398516733271066</v>
      </c>
      <c r="P419" s="227">
        <f t="shared" si="162"/>
        <v>17.990298625872143</v>
      </c>
      <c r="Q419" s="227">
        <f t="shared" si="170"/>
        <v>111250.21234929342</v>
      </c>
      <c r="R419" s="227" t="str">
        <f t="shared" si="149"/>
        <v>0.0878666666666667+3.28532678837234i</v>
      </c>
      <c r="S419" s="227" t="str">
        <f t="shared" si="150"/>
        <v>0.0085-0.0547890701884114i</v>
      </c>
      <c r="T419" s="227" t="str">
        <f t="shared" si="151"/>
        <v>0.00872334177938595-0.0547170325205227i</v>
      </c>
      <c r="U419" s="227" t="str">
        <f t="shared" si="152"/>
        <v>-0.161142069680709+0.421034905260684i</v>
      </c>
      <c r="V419" s="227">
        <f t="shared" si="163"/>
        <v>-6.9199688659997882</v>
      </c>
      <c r="W419" s="227">
        <f t="shared" si="164"/>
        <v>-249.05672580608231</v>
      </c>
      <c r="X419" s="227" t="str">
        <f t="shared" si="153"/>
        <v>0.911988552904797-0.0873628042409545i</v>
      </c>
      <c r="Y419" s="227" t="str">
        <f t="shared" si="154"/>
        <v>0.166191788279087-7.31200492977645i</v>
      </c>
      <c r="Z419" s="227" t="str">
        <f t="shared" si="155"/>
        <v>-0.253729305649367-3.4802065014484i</v>
      </c>
      <c r="AA419" s="227" t="str">
        <f t="shared" si="156"/>
        <v>-0.977620175474178-0.152050502888857i</v>
      </c>
      <c r="AB419" s="227">
        <f t="shared" si="165"/>
        <v>-9.2791683256160551E-2</v>
      </c>
      <c r="AC419" s="227">
        <f t="shared" si="166"/>
        <v>-171.15954429234026</v>
      </c>
      <c r="AD419" s="229">
        <f t="shared" si="167"/>
        <v>-17.897506942615983</v>
      </c>
      <c r="AE419" s="229">
        <f t="shared" si="168"/>
        <v>116.76102755906919</v>
      </c>
      <c r="AF419" s="227">
        <f t="shared" si="157"/>
        <v>-17.990298625872143</v>
      </c>
      <c r="AG419" s="227">
        <f t="shared" si="158"/>
        <v>-54.398516733271066</v>
      </c>
      <c r="AH419" s="229" t="str">
        <f t="shared" si="159"/>
        <v>0.0573585225729554-0.11374275140736i</v>
      </c>
    </row>
    <row r="420" spans="2:34" x14ac:dyDescent="0.2">
      <c r="B420" s="220"/>
      <c r="I420" s="227">
        <v>416</v>
      </c>
      <c r="J420" s="227">
        <f t="shared" si="147"/>
        <v>5.0560509711418948</v>
      </c>
      <c r="K420" s="227">
        <f t="shared" si="169"/>
        <v>113776.08117307216</v>
      </c>
      <c r="L420" s="227">
        <f t="shared" si="160"/>
        <v>714876.20153511898</v>
      </c>
      <c r="M420" s="227">
        <f t="shared" si="148"/>
        <v>110539.13750382279</v>
      </c>
      <c r="N420" s="227">
        <f>SQRT((ABS(AC420)-171.5+'Small Signal'!C$59)^2)</f>
        <v>69.985497401720266</v>
      </c>
      <c r="O420" s="227">
        <f t="shared" si="161"/>
        <v>55.23505604569786</v>
      </c>
      <c r="P420" s="227">
        <f t="shared" si="162"/>
        <v>18.117076709275164</v>
      </c>
      <c r="Q420" s="227">
        <f t="shared" si="170"/>
        <v>113776.08117307216</v>
      </c>
      <c r="R420" s="227" t="str">
        <f t="shared" si="149"/>
        <v>0.0878666666666667+3.35991814721506i</v>
      </c>
      <c r="S420" s="227" t="str">
        <f t="shared" si="150"/>
        <v>0.0085-0.0535727336540018i</v>
      </c>
      <c r="T420" s="227" t="str">
        <f t="shared" si="151"/>
        <v>0.00871329331692518-0.0535023363428119i</v>
      </c>
      <c r="U420" s="227" t="str">
        <f t="shared" si="152"/>
        <v>-0.157049839077617+0.411794337076076i</v>
      </c>
      <c r="V420" s="227">
        <f t="shared" si="163"/>
        <v>-7.1166305669131544</v>
      </c>
      <c r="W420" s="227">
        <f t="shared" si="164"/>
        <v>-249.1241839282402</v>
      </c>
      <c r="X420" s="227" t="str">
        <f t="shared" si="153"/>
        <v>0.907946690509501-0.0893463239028971i</v>
      </c>
      <c r="Y420" s="227" t="str">
        <f t="shared" si="154"/>
        <v>0.158885095235216-7.14958782681411i</v>
      </c>
      <c r="Z420" s="227" t="str">
        <f t="shared" si="155"/>
        <v>-0.25752975795275-3.38785380821156i</v>
      </c>
      <c r="AA420" s="227" t="str">
        <f t="shared" si="156"/>
        <v>-0.981679497647366-0.146967024351363i</v>
      </c>
      <c r="AB420" s="227">
        <f t="shared" si="165"/>
        <v>-6.4341872731738498E-2</v>
      </c>
      <c r="AC420" s="227">
        <f t="shared" si="166"/>
        <v>-171.48549740172027</v>
      </c>
      <c r="AD420" s="229">
        <f t="shared" si="167"/>
        <v>-18.052734836543426</v>
      </c>
      <c r="AE420" s="229">
        <f t="shared" si="168"/>
        <v>116.25044135602241</v>
      </c>
      <c r="AF420" s="227">
        <f t="shared" si="157"/>
        <v>-18.117076709275164</v>
      </c>
      <c r="AG420" s="227">
        <f t="shared" si="158"/>
        <v>-55.23505604569786</v>
      </c>
      <c r="AH420" s="229" t="str">
        <f t="shared" si="159"/>
        <v>0.0553446794109941-0.112225728478627i</v>
      </c>
    </row>
    <row r="421" spans="2:34" x14ac:dyDescent="0.2">
      <c r="B421" s="220"/>
      <c r="I421" s="227">
        <v>417</v>
      </c>
      <c r="J421" s="227">
        <f t="shared" si="147"/>
        <v>5.0658010936686777</v>
      </c>
      <c r="K421" s="227">
        <f t="shared" si="169"/>
        <v>116359.298321678</v>
      </c>
      <c r="L421" s="227">
        <f t="shared" si="160"/>
        <v>731107.03356849344</v>
      </c>
      <c r="M421" s="227">
        <f t="shared" si="148"/>
        <v>113181.00503630631</v>
      </c>
      <c r="N421" s="227">
        <f>SQRT((ABS(AC421)-171.5+'Small Signal'!C$59)^2)</f>
        <v>70.311985830642442</v>
      </c>
      <c r="O421" s="227">
        <f t="shared" si="161"/>
        <v>56.06537663642996</v>
      </c>
      <c r="P421" s="227">
        <f t="shared" si="162"/>
        <v>18.243367482738986</v>
      </c>
      <c r="Q421" s="227">
        <f t="shared" si="170"/>
        <v>116359.298321678</v>
      </c>
      <c r="R421" s="227" t="str">
        <f t="shared" si="149"/>
        <v>0.0878666666666667+3.43620305777192i</v>
      </c>
      <c r="S421" s="227" t="str">
        <f t="shared" si="150"/>
        <v>0.0085-0.0523834002163755i</v>
      </c>
      <c r="T421" s="227" t="str">
        <f t="shared" si="151"/>
        <v>0.00870368604635651-0.0523146041687745i</v>
      </c>
      <c r="U421" s="227" t="str">
        <f t="shared" si="152"/>
        <v>-0.153137342989273+0.402751962464422i</v>
      </c>
      <c r="V421" s="227">
        <f t="shared" si="163"/>
        <v>-7.3128121157260395</v>
      </c>
      <c r="W421" s="227">
        <f t="shared" si="164"/>
        <v>-249.18182336519322</v>
      </c>
      <c r="X421" s="227" t="str">
        <f t="shared" si="153"/>
        <v>0.903719208491284-0.0913748781797822i</v>
      </c>
      <c r="Y421" s="227" t="str">
        <f t="shared" si="154"/>
        <v>0.151900045490025-6.99078215690412i</v>
      </c>
      <c r="Z421" s="227" t="str">
        <f t="shared" si="155"/>
        <v>-0.261162911624593-3.29721280531526i</v>
      </c>
      <c r="AA421" s="227" t="str">
        <f t="shared" si="156"/>
        <v>-0.985938883810057-0.141865436264246i</v>
      </c>
      <c r="AB421" s="227">
        <f t="shared" si="165"/>
        <v>-3.4002150131235247E-2</v>
      </c>
      <c r="AC421" s="227">
        <f t="shared" si="166"/>
        <v>-171.81198583064244</v>
      </c>
      <c r="AD421" s="229">
        <f t="shared" si="167"/>
        <v>-18.209365332607749</v>
      </c>
      <c r="AE421" s="229">
        <f t="shared" si="168"/>
        <v>115.74660919421248</v>
      </c>
      <c r="AF421" s="227">
        <f t="shared" si="157"/>
        <v>-18.243367482738986</v>
      </c>
      <c r="AG421" s="227">
        <f t="shared" si="158"/>
        <v>-56.06537663642996</v>
      </c>
      <c r="AH421" s="229" t="str">
        <f t="shared" si="159"/>
        <v>0.0533842941090239-0.110693837406538i</v>
      </c>
    </row>
    <row r="422" spans="2:34" x14ac:dyDescent="0.2">
      <c r="B422" s="220"/>
      <c r="I422" s="227">
        <v>418</v>
      </c>
      <c r="J422" s="227">
        <f t="shared" si="147"/>
        <v>5.0755512161954615</v>
      </c>
      <c r="K422" s="227">
        <f t="shared" si="169"/>
        <v>119001.16585416152</v>
      </c>
      <c r="L422" s="227">
        <f t="shared" si="160"/>
        <v>747706.37683210871</v>
      </c>
      <c r="M422" s="227">
        <f t="shared" si="148"/>
        <v>115882.85457418032</v>
      </c>
      <c r="N422" s="227">
        <f>SQRT((ABS(AC422)-171.5+'Small Signal'!C$59)^2)</f>
        <v>70.639498073139038</v>
      </c>
      <c r="O422" s="227">
        <f t="shared" si="161"/>
        <v>56.889894946544956</v>
      </c>
      <c r="P422" s="227">
        <f t="shared" si="162"/>
        <v>18.369066175727589</v>
      </c>
      <c r="Q422" s="227">
        <f t="shared" si="170"/>
        <v>119001.16585416152</v>
      </c>
      <c r="R422" s="227" t="str">
        <f t="shared" si="149"/>
        <v>0.0878666666666667+3.51421997111091i</v>
      </c>
      <c r="S422" s="227" t="str">
        <f t="shared" si="150"/>
        <v>0.0085-0.0512204703973322i</v>
      </c>
      <c r="T422" s="227" t="str">
        <f t="shared" si="151"/>
        <v>0.00869450059713469-0.0511532375624219i</v>
      </c>
      <c r="U422" s="227" t="str">
        <f t="shared" si="152"/>
        <v>-0.149396685097967+0.393903835220834i</v>
      </c>
      <c r="V422" s="227">
        <f t="shared" si="163"/>
        <v>-7.5085155650755295</v>
      </c>
      <c r="W422" s="227">
        <f t="shared" si="164"/>
        <v>-249.22966731074376</v>
      </c>
      <c r="X422" s="227" t="str">
        <f t="shared" si="153"/>
        <v>0.899297582402491-0.0934494895553204i</v>
      </c>
      <c r="Y422" s="227" t="str">
        <f t="shared" si="154"/>
        <v>0.145222445738239-6.83550737448834i</v>
      </c>
      <c r="Z422" s="227" t="str">
        <f t="shared" si="155"/>
        <v>-0.264636149244634-3.2082375424417i</v>
      </c>
      <c r="AA422" s="227" t="str">
        <f t="shared" si="156"/>
        <v>-0.990409499901661-0.1367348350531i</v>
      </c>
      <c r="AB422" s="227">
        <f t="shared" si="165"/>
        <v>-1.7054070192515541E-3</v>
      </c>
      <c r="AC422" s="227">
        <f t="shared" si="166"/>
        <v>-172.13949807313904</v>
      </c>
      <c r="AD422" s="229">
        <f t="shared" si="167"/>
        <v>-18.367360768708338</v>
      </c>
      <c r="AE422" s="229">
        <f t="shared" si="168"/>
        <v>115.24960312659408</v>
      </c>
      <c r="AF422" s="227">
        <f t="shared" si="157"/>
        <v>-18.369066175727589</v>
      </c>
      <c r="AG422" s="227">
        <f t="shared" si="158"/>
        <v>-56.889894946544956</v>
      </c>
      <c r="AH422" s="229" t="str">
        <f t="shared" si="159"/>
        <v>0.0514771635917605-0.109149164114082i</v>
      </c>
    </row>
    <row r="423" spans="2:34" x14ac:dyDescent="0.2">
      <c r="B423" s="220"/>
      <c r="I423" s="227">
        <v>419</v>
      </c>
      <c r="J423" s="227">
        <f t="shared" si="147"/>
        <v>5.0853013387222443</v>
      </c>
      <c r="K423" s="227">
        <f t="shared" si="169"/>
        <v>121703.01539203554</v>
      </c>
      <c r="L423" s="227">
        <f t="shared" si="160"/>
        <v>764682.59815068869</v>
      </c>
      <c r="M423" s="227">
        <f t="shared" si="148"/>
        <v>118646.04797262001</v>
      </c>
      <c r="N423" s="227">
        <f>SQRT((ABS(AC423)-171.5+'Small Signal'!C$59)^2)</f>
        <v>70.968554642669631</v>
      </c>
      <c r="O423" s="227">
        <f t="shared" si="161"/>
        <v>57.709069186393137</v>
      </c>
      <c r="P423" s="227">
        <f t="shared" si="162"/>
        <v>18.494064025488125</v>
      </c>
      <c r="Q423" s="227">
        <f t="shared" si="170"/>
        <v>121703.01539203554</v>
      </c>
      <c r="R423" s="227" t="str">
        <f t="shared" si="149"/>
        <v>0.0878666666666667+3.59400821130824i</v>
      </c>
      <c r="S423" s="227" t="str">
        <f t="shared" si="150"/>
        <v>0.0085-0.0500833580272981i</v>
      </c>
      <c r="T423" s="227" t="str">
        <f t="shared" si="151"/>
        <v>0.00868571844912689-0.0500176513619004i</v>
      </c>
      <c r="U423" s="227" t="str">
        <f t="shared" si="152"/>
        <v>-0.145820316184171+0.385246067079218i</v>
      </c>
      <c r="V423" s="227">
        <f t="shared" si="163"/>
        <v>-7.7037421571177482</v>
      </c>
      <c r="W423" s="227">
        <f t="shared" si="164"/>
        <v>-249.26773691013847</v>
      </c>
      <c r="X423" s="227" t="str">
        <f t="shared" si="153"/>
        <v>0.894672896316345-0.0955712037280961i</v>
      </c>
      <c r="Y423" s="227" t="str">
        <f t="shared" si="154"/>
        <v>0.1388387319428-6.68368474608144i</v>
      </c>
      <c r="Z423" s="227" t="str">
        <f t="shared" si="155"/>
        <v>-0.267956526071979-3.12088292589558i</v>
      </c>
      <c r="AA423" s="227" t="str">
        <f t="shared" si="156"/>
        <v>-0.99510315162872-0.131563458842217i</v>
      </c>
      <c r="AB423" s="227">
        <f t="shared" si="165"/>
        <v>3.261963339376299E-2</v>
      </c>
      <c r="AC423" s="227">
        <f t="shared" si="166"/>
        <v>-172.46855464266963</v>
      </c>
      <c r="AD423" s="229">
        <f t="shared" si="167"/>
        <v>-18.52668365888189</v>
      </c>
      <c r="AE423" s="229">
        <f t="shared" si="168"/>
        <v>114.75948545627649</v>
      </c>
      <c r="AF423" s="227">
        <f t="shared" si="157"/>
        <v>-18.494064025488125</v>
      </c>
      <c r="AG423" s="227">
        <f t="shared" si="158"/>
        <v>-57.709069186393137</v>
      </c>
      <c r="AH423" s="229" t="str">
        <f t="shared" si="159"/>
        <v>0.0496229912610614-0.107593735791143i</v>
      </c>
    </row>
    <row r="424" spans="2:34" x14ac:dyDescent="0.2">
      <c r="B424" s="220"/>
      <c r="I424" s="227">
        <v>420</v>
      </c>
      <c r="J424" s="227">
        <f t="shared" si="147"/>
        <v>5.0950514612490281</v>
      </c>
      <c r="K424" s="227">
        <f t="shared" si="169"/>
        <v>124466.20879047523</v>
      </c>
      <c r="L424" s="227">
        <f t="shared" si="160"/>
        <v>782044.25431266055</v>
      </c>
      <c r="M424" s="227">
        <f t="shared" si="148"/>
        <v>121471.97800689889</v>
      </c>
      <c r="N424" s="227">
        <f>SQRT((ABS(AC424)-171.5+'Small Signal'!C$59)^2)</f>
        <v>71.299711063756575</v>
      </c>
      <c r="O424" s="227">
        <f t="shared" si="161"/>
        <v>58.523402041204449</v>
      </c>
      <c r="P424" s="227">
        <f t="shared" si="162"/>
        <v>18.618248189116628</v>
      </c>
      <c r="Q424" s="227">
        <f t="shared" si="170"/>
        <v>124466.20879047523</v>
      </c>
      <c r="R424" s="227" t="str">
        <f t="shared" si="149"/>
        <v>0.0878666666666667+3.6756079952695i</v>
      </c>
      <c r="S424" s="227" t="str">
        <f t="shared" si="150"/>
        <v>0.0085-0.0489714899498694i</v>
      </c>
      <c r="T424" s="227" t="str">
        <f t="shared" si="151"/>
        <v>0.00867732189528207-0.0489072733855402i</v>
      </c>
      <c r="U424" s="227" t="str">
        <f t="shared" si="152"/>
        <v>-0.142401018853393+0.376774828370442i</v>
      </c>
      <c r="V424" s="227">
        <f t="shared" si="163"/>
        <v>-7.8984923248347458</v>
      </c>
      <c r="W424" s="227">
        <f t="shared" si="164"/>
        <v>-249.29605126076427</v>
      </c>
      <c r="X424" s="227" t="str">
        <f t="shared" si="153"/>
        <v>0.889835824848539-0.0977410901386484i</v>
      </c>
      <c r="Y424" s="227" t="str">
        <f t="shared" si="154"/>
        <v>0.132735941183133-6.53523730850432i</v>
      </c>
      <c r="Z424" s="227" t="str">
        <f t="shared" si="155"/>
        <v>-0.271130784689362-3.03510469477982i</v>
      </c>
      <c r="AA424" s="227" t="str">
        <f t="shared" si="156"/>
        <v>-1.00003232157091-0.126338585147733i</v>
      </c>
      <c r="AB424" s="227">
        <f t="shared" si="165"/>
        <v>6.9048568125309684E-2</v>
      </c>
      <c r="AC424" s="227">
        <f t="shared" si="166"/>
        <v>-172.79971106375658</v>
      </c>
      <c r="AD424" s="229">
        <f t="shared" si="167"/>
        <v>-18.687296757241938</v>
      </c>
      <c r="AE424" s="229">
        <f t="shared" si="168"/>
        <v>114.27630902255213</v>
      </c>
      <c r="AF424" s="227">
        <f t="shared" si="157"/>
        <v>-18.618248189116628</v>
      </c>
      <c r="AG424" s="227">
        <f t="shared" si="158"/>
        <v>-58.523402041204449</v>
      </c>
      <c r="AH424" s="229" t="str">
        <f t="shared" si="159"/>
        <v>0.0478213929985272-0.106029517242544i</v>
      </c>
    </row>
    <row r="425" spans="2:34" x14ac:dyDescent="0.2">
      <c r="B425" s="220"/>
      <c r="I425" s="227">
        <v>421</v>
      </c>
      <c r="J425" s="227">
        <f t="shared" si="147"/>
        <v>5.1048015837758109</v>
      </c>
      <c r="K425" s="227">
        <f t="shared" si="169"/>
        <v>127292.1388247541</v>
      </c>
      <c r="L425" s="227">
        <f t="shared" si="160"/>
        <v>799800.09638315917</v>
      </c>
      <c r="M425" s="227">
        <f t="shared" si="148"/>
        <v>124362.0690744114</v>
      </c>
      <c r="N425" s="227">
        <f>SQRT((ABS(AC425)-171.5+'Small Signal'!C$59)^2)</f>
        <v>71.633561185528521</v>
      </c>
      <c r="O425" s="227">
        <f t="shared" si="161"/>
        <v>59.333443682934245</v>
      </c>
      <c r="P425" s="227">
        <f t="shared" si="162"/>
        <v>18.741501648645357</v>
      </c>
      <c r="Q425" s="227">
        <f t="shared" si="170"/>
        <v>127292.1388247541</v>
      </c>
      <c r="R425" s="227" t="str">
        <f t="shared" si="149"/>
        <v>0.0878666666666667+3.75906045300085i</v>
      </c>
      <c r="S425" s="227" t="str">
        <f t="shared" si="150"/>
        <v>0.0085-0.0478843057329144i</v>
      </c>
      <c r="T425" s="227" t="str">
        <f t="shared" si="151"/>
        <v>0.00866929400593866-0.0478215441443807i</v>
      </c>
      <c r="U425" s="227" t="str">
        <f t="shared" si="152"/>
        <v>-0.13913189293639+0.368486348537962i</v>
      </c>
      <c r="V425" s="227">
        <f t="shared" si="163"/>
        <v>-8.0927656927742575</v>
      </c>
      <c r="W425" s="227">
        <f t="shared" si="164"/>
        <v>-249.31462742173684</v>
      </c>
      <c r="X425" s="227" t="str">
        <f t="shared" si="153"/>
        <v>0.884776614353205-0.0999602425085172i</v>
      </c>
      <c r="Y425" s="227" t="str">
        <f t="shared" si="154"/>
        <v>0.126901684784569-6.39008982814287i</v>
      </c>
      <c r="Z425" s="227" t="str">
        <f t="shared" si="155"/>
        <v>-0.274165368980897-2.95085939766121i</v>
      </c>
      <c r="AA425" s="227" t="str">
        <f t="shared" si="156"/>
        <v>-1.00521020726591-0.121046415726016i</v>
      </c>
      <c r="AB425" s="227">
        <f t="shared" si="165"/>
        <v>0.10766146901722508</v>
      </c>
      <c r="AC425" s="227">
        <f t="shared" si="166"/>
        <v>-173.13356118552852</v>
      </c>
      <c r="AD425" s="229">
        <f t="shared" si="167"/>
        <v>-18.849163117662581</v>
      </c>
      <c r="AE425" s="229">
        <f t="shared" si="168"/>
        <v>113.80011750259428</v>
      </c>
      <c r="AF425" s="227">
        <f t="shared" si="157"/>
        <v>-18.741501648645357</v>
      </c>
      <c r="AG425" s="227">
        <f t="shared" si="158"/>
        <v>-59.333443682934245</v>
      </c>
      <c r="AH425" s="229" t="str">
        <f t="shared" si="159"/>
        <v>0.0460719032076839-0.10445840777221i</v>
      </c>
    </row>
    <row r="426" spans="2:34" x14ac:dyDescent="0.2">
      <c r="B426" s="220"/>
      <c r="I426" s="227">
        <v>422</v>
      </c>
      <c r="J426" s="227">
        <f t="shared" si="147"/>
        <v>5.1145517063025947</v>
      </c>
      <c r="K426" s="227">
        <f t="shared" si="169"/>
        <v>130182.22989226661</v>
      </c>
      <c r="L426" s="227">
        <f t="shared" si="160"/>
        <v>817959.07411496469</v>
      </c>
      <c r="M426" s="227">
        <f t="shared" si="148"/>
        <v>127317.77791263285</v>
      </c>
      <c r="N426" s="227">
        <f>SQRT((ABS(AC426)-171.5+'Small Signal'!C$59)^2)</f>
        <v>71.970740854064104</v>
      </c>
      <c r="O426" s="227">
        <f t="shared" si="161"/>
        <v>60.139795127693432</v>
      </c>
      <c r="P426" s="227">
        <f t="shared" si="162"/>
        <v>18.863703110440674</v>
      </c>
      <c r="Q426" s="227">
        <f t="shared" si="170"/>
        <v>130182.22989226661</v>
      </c>
      <c r="R426" s="227" t="str">
        <f t="shared" si="149"/>
        <v>0.0878666666666667+3.84440764834033i</v>
      </c>
      <c r="S426" s="227" t="str">
        <f t="shared" si="150"/>
        <v>0.0085-0.0468212573860911i</v>
      </c>
      <c r="T426" s="227" t="str">
        <f t="shared" si="151"/>
        <v>0.00866161859469869-0.046759916561035i</v>
      </c>
      <c r="U426" s="227" t="str">
        <f t="shared" si="152"/>
        <v>-0.136006341532973+0.360376916522565i</v>
      </c>
      <c r="V426" s="227">
        <f t="shared" si="163"/>
        <v>-8.2865610772222826</v>
      </c>
      <c r="W426" s="227">
        <f t="shared" si="164"/>
        <v>-249.32348043238881</v>
      </c>
      <c r="X426" s="227" t="str">
        <f t="shared" si="153"/>
        <v>0.879485063255304-0.102229779391529i</v>
      </c>
      <c r="Y426" s="227" t="str">
        <f t="shared" si="154"/>
        <v>0.1213241226684-6.24816876120288i</v>
      </c>
      <c r="Z426" s="227" t="str">
        <f t="shared" si="155"/>
        <v>-0.277066437474796-2.86810436970932i</v>
      </c>
      <c r="AA426" s="227" t="str">
        <f t="shared" si="156"/>
        <v>-1.01065075991336-0.115671946774201i</v>
      </c>
      <c r="AB426" s="227">
        <f t="shared" si="165"/>
        <v>0.14854303875268762</v>
      </c>
      <c r="AC426" s="227">
        <f t="shared" si="166"/>
        <v>-173.4707408540641</v>
      </c>
      <c r="AD426" s="229">
        <f t="shared" si="167"/>
        <v>-19.012246149193363</v>
      </c>
      <c r="AE426" s="229">
        <f t="shared" si="168"/>
        <v>113.33094572637067</v>
      </c>
      <c r="AF426" s="227">
        <f t="shared" si="157"/>
        <v>-18.863703110440674</v>
      </c>
      <c r="AG426" s="227">
        <f t="shared" si="158"/>
        <v>-60.139795127693432</v>
      </c>
      <c r="AH426" s="229" t="str">
        <f t="shared" si="159"/>
        <v>0.0443739808521647-0.102882238584422i</v>
      </c>
    </row>
    <row r="427" spans="2:34" x14ac:dyDescent="0.2">
      <c r="B427" s="220"/>
      <c r="I427" s="227">
        <v>423</v>
      </c>
      <c r="J427" s="227">
        <f t="shared" si="147"/>
        <v>5.1243018288293776</v>
      </c>
      <c r="K427" s="227">
        <f t="shared" si="169"/>
        <v>133137.93873048807</v>
      </c>
      <c r="L427" s="227">
        <f t="shared" si="160"/>
        <v>836530.34045957855</v>
      </c>
      <c r="M427" s="227">
        <f t="shared" si="148"/>
        <v>130340.59433338404</v>
      </c>
      <c r="N427" s="227">
        <f>SQRT((ABS(AC427)-171.5+'Small Signal'!C$59)^2)</f>
        <v>72.311931985212283</v>
      </c>
      <c r="O427" s="227">
        <f t="shared" si="161"/>
        <v>60.943111982793326</v>
      </c>
      <c r="P427" s="227">
        <f t="shared" si="162"/>
        <v>18.984726900643466</v>
      </c>
      <c r="Q427" s="227">
        <f t="shared" si="170"/>
        <v>133137.93873048807</v>
      </c>
      <c r="R427" s="227" t="str">
        <f t="shared" si="149"/>
        <v>0.0878666666666667+3.93169260016002i</v>
      </c>
      <c r="S427" s="227" t="str">
        <f t="shared" si="150"/>
        <v>0.0085-0.0457818090846354i</v>
      </c>
      <c r="T427" s="227" t="str">
        <f t="shared" si="151"/>
        <v>0.00865428018579973-0.0457218556947534i</v>
      </c>
      <c r="U427" s="227" t="str">
        <f t="shared" si="152"/>
        <v>-0.13301805767089+0.352442881026987i</v>
      </c>
      <c r="V427" s="227">
        <f t="shared" si="163"/>
        <v>-8.4798764858154421</v>
      </c>
      <c r="W427" s="227">
        <f t="shared" si="164"/>
        <v>-249.322623339686</v>
      </c>
      <c r="X427" s="227" t="str">
        <f t="shared" si="153"/>
        <v>0.8739505014798-0.104550844737598i</v>
      </c>
      <c r="Y427" s="227" t="str">
        <f t="shared" si="154"/>
        <v>0.115991938865778-6.10940221493331i</v>
      </c>
      <c r="Z427" s="227" t="str">
        <f t="shared" si="155"/>
        <v>-0.279839876080615-2.78679771029334i</v>
      </c>
      <c r="AA427" s="227" t="str">
        <f t="shared" si="156"/>
        <v>-1.01636872319723-0.110198822408319i</v>
      </c>
      <c r="AB427" s="227">
        <f t="shared" si="165"/>
        <v>0.191782766581163</v>
      </c>
      <c r="AC427" s="227">
        <f t="shared" si="166"/>
        <v>-173.81193198521228</v>
      </c>
      <c r="AD427" s="229">
        <f t="shared" si="167"/>
        <v>-19.176509667224629</v>
      </c>
      <c r="AE427" s="229">
        <f t="shared" si="168"/>
        <v>112.86882000241896</v>
      </c>
      <c r="AF427" s="227">
        <f t="shared" si="157"/>
        <v>-18.984726900643466</v>
      </c>
      <c r="AG427" s="227">
        <f t="shared" si="158"/>
        <v>-60.943111982793326</v>
      </c>
      <c r="AH427" s="229" t="str">
        <f t="shared" si="159"/>
        <v>0.0427270154500695-0.101302770680149i</v>
      </c>
    </row>
    <row r="428" spans="2:34" x14ac:dyDescent="0.2">
      <c r="B428" s="220"/>
      <c r="I428" s="227">
        <v>424</v>
      </c>
      <c r="J428" s="227">
        <f t="shared" si="147"/>
        <v>5.1340519513561613</v>
      </c>
      <c r="K428" s="227">
        <f t="shared" si="169"/>
        <v>136160.75515123925</v>
      </c>
      <c r="L428" s="227">
        <f t="shared" si="160"/>
        <v>855523.25618074369</v>
      </c>
      <c r="M428" s="227">
        <f t="shared" si="148"/>
        <v>133432.04197376125</v>
      </c>
      <c r="N428" s="227">
        <f>SQRT((ABS(AC428)-171.5+'Small Signal'!C$59)^2)</f>
        <v>72.657867084993455</v>
      </c>
      <c r="O428" s="227">
        <f t="shared" si="161"/>
        <v>61.744108632759449</v>
      </c>
      <c r="P428" s="227">
        <f t="shared" si="162"/>
        <v>19.104442858906427</v>
      </c>
      <c r="Q428" s="227">
        <f t="shared" si="170"/>
        <v>136160.75515123925</v>
      </c>
      <c r="R428" s="227" t="str">
        <f t="shared" si="149"/>
        <v>0.0878666666666667+4.0209593040495i</v>
      </c>
      <c r="S428" s="227" t="str">
        <f t="shared" si="150"/>
        <v>0.0085-0.0447654368992798i</v>
      </c>
      <c r="T428" s="227" t="str">
        <f t="shared" si="151"/>
        <v>0.00864726398291871-0.0447068384725496i</v>
      </c>
      <c r="U428" s="227" t="str">
        <f t="shared" si="152"/>
        <v>-0.130161011552625+0.344680650670502i</v>
      </c>
      <c r="V428" s="227">
        <f t="shared" si="163"/>
        <v>-8.6727091166020447</v>
      </c>
      <c r="W428" s="227">
        <f t="shared" si="164"/>
        <v>-249.31206723461307</v>
      </c>
      <c r="X428" s="227" t="str">
        <f t="shared" si="153"/>
        <v>0.868161768936137-0.106924608469332i</v>
      </c>
      <c r="Y428" s="227" t="str">
        <f t="shared" si="154"/>
        <v>0.110894318140928-5.97371990979109i</v>
      </c>
      <c r="Z428" s="227" t="str">
        <f t="shared" si="155"/>
        <v>-0.282491310249415-2.7068982610217i</v>
      </c>
      <c r="AA428" s="227" t="str">
        <f t="shared" si="156"/>
        <v>-1.02237967154579-0.104609169031085i</v>
      </c>
      <c r="AB428" s="227">
        <f t="shared" si="165"/>
        <v>0.23747508153845856</v>
      </c>
      <c r="AC428" s="227">
        <f t="shared" si="166"/>
        <v>-174.15786708499346</v>
      </c>
      <c r="AD428" s="229">
        <f t="shared" si="167"/>
        <v>-19.341917940444887</v>
      </c>
      <c r="AE428" s="229">
        <f t="shared" si="168"/>
        <v>112.41375845223401</v>
      </c>
      <c r="AF428" s="227">
        <f t="shared" si="157"/>
        <v>-19.104442858906427</v>
      </c>
      <c r="AG428" s="227">
        <f t="shared" si="158"/>
        <v>-61.744108632759449</v>
      </c>
      <c r="AH428" s="229" t="str">
        <f t="shared" si="159"/>
        <v>0.0411303329885475-0.0997216932240869i</v>
      </c>
    </row>
    <row r="429" spans="2:34" x14ac:dyDescent="0.2">
      <c r="B429" s="220"/>
      <c r="I429" s="227">
        <v>425</v>
      </c>
      <c r="J429" s="227">
        <f t="shared" si="147"/>
        <v>5.1438020738829451</v>
      </c>
      <c r="K429" s="227">
        <f t="shared" si="169"/>
        <v>139252.20279161647</v>
      </c>
      <c r="L429" s="227">
        <f t="shared" si="160"/>
        <v>874947.39457267674</v>
      </c>
      <c r="M429" s="227">
        <f t="shared" si="148"/>
        <v>136593.6790641204</v>
      </c>
      <c r="N429" s="227">
        <f>SQRT((ABS(AC429)-171.5+'Small Signal'!C$59)^2)</f>
        <v>73.009334270836348</v>
      </c>
      <c r="O429" s="227">
        <f t="shared" si="161"/>
        <v>62.543562919697678</v>
      </c>
      <c r="P429" s="227">
        <f t="shared" si="162"/>
        <v>19.222716233340314</v>
      </c>
      <c r="Q429" s="227">
        <f t="shared" si="170"/>
        <v>139252.20279161647</v>
      </c>
      <c r="R429" s="227" t="str">
        <f t="shared" si="149"/>
        <v>0.0878666666666667+4.11225275449158i</v>
      </c>
      <c r="S429" s="227" t="str">
        <f t="shared" si="150"/>
        <v>0.0085-0.0437716285321705i</v>
      </c>
      <c r="T429" s="227" t="str">
        <f t="shared" si="151"/>
        <v>0.00864055583934513-0.0437143534262609i</v>
      </c>
      <c r="U429" s="227" t="str">
        <f t="shared" si="152"/>
        <v>-0.127429438364111+0.337086694042758i</v>
      </c>
      <c r="V429" s="227">
        <f t="shared" si="163"/>
        <v>-8.8650553565682628</v>
      </c>
      <c r="W429" s="227">
        <f t="shared" si="164"/>
        <v>-249.2918212975859</v>
      </c>
      <c r="X429" s="227" t="str">
        <f t="shared" si="153"/>
        <v>0.862107193014631-0.109352267071722i</v>
      </c>
      <c r="Y429" s="227" t="str">
        <f t="shared" si="154"/>
        <v>0.106020923672189-5.84105314252131i</v>
      </c>
      <c r="Z429" s="227" t="str">
        <f t="shared" si="155"/>
        <v>-0.28502611658358-2.62836558420948i</v>
      </c>
      <c r="AA429" s="227" t="str">
        <f t="shared" si="156"/>
        <v>-1.0287000469161-0.0988834078396014i</v>
      </c>
      <c r="AB429" s="227">
        <f t="shared" si="165"/>
        <v>0.28571950031941912</v>
      </c>
      <c r="AC429" s="227">
        <f t="shared" si="166"/>
        <v>-174.50933427083635</v>
      </c>
      <c r="AD429" s="229">
        <f t="shared" si="167"/>
        <v>-19.508435733659734</v>
      </c>
      <c r="AE429" s="229">
        <f t="shared" si="168"/>
        <v>111.96577135113867</v>
      </c>
      <c r="AF429" s="227">
        <f t="shared" si="157"/>
        <v>-19.222716233340314</v>
      </c>
      <c r="AG429" s="227">
        <f t="shared" si="158"/>
        <v>-62.543562919697678</v>
      </c>
      <c r="AH429" s="229" t="str">
        <f t="shared" si="159"/>
        <v>0.0395832017265066-0.0981406223560753i</v>
      </c>
    </row>
    <row r="430" spans="2:34" x14ac:dyDescent="0.2">
      <c r="B430" s="220"/>
      <c r="I430" s="227">
        <v>426</v>
      </c>
      <c r="J430" s="227">
        <f t="shared" si="147"/>
        <v>5.1535521964097288</v>
      </c>
      <c r="K430" s="227">
        <f t="shared" si="169"/>
        <v>142413.83988197561</v>
      </c>
      <c r="L430" s="227">
        <f t="shared" si="160"/>
        <v>894812.54628545535</v>
      </c>
      <c r="M430" s="227">
        <f t="shared" si="148"/>
        <v>139827.09921349556</v>
      </c>
      <c r="N430" s="227">
        <f>SQRT((ABS(AC430)-171.5+'Small Signal'!C$59)^2)</f>
        <v>73.367182853884913</v>
      </c>
      <c r="O430" s="227">
        <f t="shared" si="161"/>
        <v>63.342321380251249</v>
      </c>
      <c r="P430" s="227">
        <f t="shared" si="162"/>
        <v>19.339407580376193</v>
      </c>
      <c r="Q430" s="227">
        <f t="shared" si="170"/>
        <v>142413.83988197561</v>
      </c>
      <c r="R430" s="227" t="str">
        <f t="shared" si="149"/>
        <v>0.0878666666666667+4.20561896754164i</v>
      </c>
      <c r="S430" s="227" t="str">
        <f t="shared" si="150"/>
        <v>0.0085-0.0427998830586446i</v>
      </c>
      <c r="T430" s="227" t="str">
        <f t="shared" si="151"/>
        <v>0.00863414222946324-0.0427439004354101i</v>
      </c>
      <c r="U430" s="227" t="str">
        <f t="shared" si="152"/>
        <v>-0.124817826620513+0.329657539665559i</v>
      </c>
      <c r="V430" s="227">
        <f t="shared" si="163"/>
        <v>-9.0569107796488577</v>
      </c>
      <c r="W430" s="227">
        <f t="shared" si="164"/>
        <v>-249.26189285297033</v>
      </c>
      <c r="X430" s="227" t="str">
        <f t="shared" si="153"/>
        <v>0.855774565049394-0.111835044195228i</v>
      </c>
      <c r="Y430" s="227" t="str">
        <f t="shared" si="154"/>
        <v>0.101361875741618-5.71133475012816i</v>
      </c>
      <c r="Z430" s="227" t="str">
        <f t="shared" si="155"/>
        <v>-0.287449433922005-2.55115994175983i</v>
      </c>
      <c r="AA430" s="227" t="str">
        <f t="shared" si="156"/>
        <v>-1.03534719289296-0.0930000423061955i</v>
      </c>
      <c r="AB430" s="227">
        <f t="shared" si="165"/>
        <v>0.33662076618410003</v>
      </c>
      <c r="AC430" s="227">
        <f t="shared" si="166"/>
        <v>-174.86718285388491</v>
      </c>
      <c r="AD430" s="229">
        <f t="shared" si="167"/>
        <v>-19.676028346560294</v>
      </c>
      <c r="AE430" s="229">
        <f t="shared" si="168"/>
        <v>111.52486147363366</v>
      </c>
      <c r="AF430" s="227">
        <f t="shared" si="157"/>
        <v>-19.339407580376193</v>
      </c>
      <c r="AG430" s="227">
        <f t="shared" si="158"/>
        <v>-63.342321380251249</v>
      </c>
      <c r="AH430" s="229" t="str">
        <f t="shared" si="159"/>
        <v>0.0380848378572038-0.0965611004191703i</v>
      </c>
    </row>
    <row r="431" spans="2:34" x14ac:dyDescent="0.2">
      <c r="B431" s="220"/>
      <c r="I431" s="227">
        <v>427</v>
      </c>
      <c r="J431" s="227">
        <f t="shared" si="147"/>
        <v>5.1633023189365126</v>
      </c>
      <c r="K431" s="227">
        <f t="shared" si="169"/>
        <v>145647.26003135077</v>
      </c>
      <c r="L431" s="227">
        <f t="shared" si="160"/>
        <v>915128.72425994778</v>
      </c>
      <c r="M431" s="227">
        <f t="shared" si="148"/>
        <v>143133.9322128511</v>
      </c>
      <c r="N431" s="227">
        <f>SQRT((ABS(AC431)-171.5+'Small Signal'!C$59)^2)</f>
        <v>73.732329550496559</v>
      </c>
      <c r="O431" s="227">
        <f t="shared" si="161"/>
        <v>64.141305109142465</v>
      </c>
      <c r="P431" s="227">
        <f t="shared" si="162"/>
        <v>19.454372674237852</v>
      </c>
      <c r="Q431" s="227">
        <f t="shared" si="170"/>
        <v>145647.26003135077</v>
      </c>
      <c r="R431" s="227" t="str">
        <f t="shared" si="149"/>
        <v>0.0878666666666667+4.30110500402175i</v>
      </c>
      <c r="S431" s="227" t="str">
        <f t="shared" si="150"/>
        <v>0.0085-0.041849710674743i</v>
      </c>
      <c r="T431" s="227" t="str">
        <f t="shared" si="151"/>
        <v>0.00862801022148602-0.0417949904757456i</v>
      </c>
      <c r="U431" s="227" t="str">
        <f t="shared" si="152"/>
        <v>-0.122320907025361+0.322389775870614i</v>
      </c>
      <c r="V431" s="227">
        <f t="shared" si="163"/>
        <v>-9.2482701442480604</v>
      </c>
      <c r="W431" s="227">
        <f t="shared" si="164"/>
        <v>-249.2222874327951</v>
      </c>
      <c r="X431" s="227" t="str">
        <f t="shared" si="153"/>
        <v>0.849151115700339-0.114374191272554i</v>
      </c>
      <c r="Y431" s="227" t="str">
        <f t="shared" si="154"/>
        <v>0.0969077313863654-5.58449907471129i</v>
      </c>
      <c r="Z431" s="227" t="str">
        <f t="shared" si="155"/>
        <v>-0.289766173924897-2.47524227444483i</v>
      </c>
      <c r="AA431" s="227" t="str">
        <f t="shared" si="156"/>
        <v>-1.04233938451218-0.0869354169859388i</v>
      </c>
      <c r="AB431" s="227">
        <f t="shared" si="165"/>
        <v>0.39028897431306409</v>
      </c>
      <c r="AC431" s="227">
        <f t="shared" si="166"/>
        <v>-175.23232955049656</v>
      </c>
      <c r="AD431" s="229">
        <f t="shared" si="167"/>
        <v>-19.844661648550918</v>
      </c>
      <c r="AE431" s="229">
        <f t="shared" si="168"/>
        <v>111.09102444135409</v>
      </c>
      <c r="AF431" s="227">
        <f t="shared" si="157"/>
        <v>-19.454372674237852</v>
      </c>
      <c r="AG431" s="227">
        <f t="shared" si="158"/>
        <v>-64.141305109142465</v>
      </c>
      <c r="AH431" s="229" t="str">
        <f t="shared" si="159"/>
        <v>0.0366344110062138-0.0949845955756292i</v>
      </c>
    </row>
    <row r="432" spans="2:34" x14ac:dyDescent="0.2">
      <c r="B432" s="220"/>
      <c r="I432" s="227">
        <v>428</v>
      </c>
      <c r="J432" s="227">
        <f t="shared" si="147"/>
        <v>5.1730524414632955</v>
      </c>
      <c r="K432" s="227">
        <f t="shared" si="169"/>
        <v>148954.09303070631</v>
      </c>
      <c r="L432" s="227">
        <f t="shared" si="160"/>
        <v>935906.16877479514</v>
      </c>
      <c r="M432" s="227">
        <f t="shared" si="148"/>
        <v>146515.8448565701</v>
      </c>
      <c r="N432" s="227">
        <f>SQRT((ABS(AC432)-171.5+'Small Signal'!C$59)^2)</f>
        <v>74.105765399951792</v>
      </c>
      <c r="O432" s="227">
        <f t="shared" si="161"/>
        <v>64.941516328054831</v>
      </c>
      <c r="P432" s="227">
        <f t="shared" si="162"/>
        <v>19.567462431932558</v>
      </c>
      <c r="Q432" s="227">
        <f t="shared" si="170"/>
        <v>148954.09303070631</v>
      </c>
      <c r="R432" s="227" t="str">
        <f t="shared" si="149"/>
        <v>0.0878666666666667+4.39875899324154i</v>
      </c>
      <c r="S432" s="227" t="str">
        <f t="shared" si="150"/>
        <v>0.0085-0.0409206324503253i</v>
      </c>
      <c r="T432" s="227" t="str">
        <f t="shared" si="151"/>
        <v>0.00862214745138589-0.0408671453733315i</v>
      </c>
      <c r="U432" s="227" t="str">
        <f t="shared" si="152"/>
        <v>-0.11993364182035+0.315280050600706i</v>
      </c>
      <c r="V432" s="227">
        <f t="shared" si="163"/>
        <v>-9.4391273903012145</v>
      </c>
      <c r="W432" s="227">
        <f t="shared" si="164"/>
        <v>-249.1730088497647</v>
      </c>
      <c r="X432" s="227" t="str">
        <f t="shared" si="153"/>
        <v>0.84222348920462-0.116970988149428i</v>
      </c>
      <c r="Y432" s="227" t="str">
        <f t="shared" si="154"/>
        <v>0.0926494649675247-5.46048192914557i</v>
      </c>
      <c r="Z432" s="227" t="str">
        <f t="shared" si="155"/>
        <v>-0.291981031181331-2.40057418157308i</v>
      </c>
      <c r="AA432" s="227" t="str">
        <f t="shared" si="156"/>
        <v>-1.04969585173182-0.0806634434543187i</v>
      </c>
      <c r="AB432" s="227">
        <f t="shared" si="165"/>
        <v>0.44683967782516398</v>
      </c>
      <c r="AC432" s="227">
        <f t="shared" si="166"/>
        <v>-175.60576539995179</v>
      </c>
      <c r="AD432" s="229">
        <f t="shared" si="167"/>
        <v>-20.014302109757722</v>
      </c>
      <c r="AE432" s="229">
        <f t="shared" si="168"/>
        <v>110.66424907189696</v>
      </c>
      <c r="AF432" s="227">
        <f t="shared" si="157"/>
        <v>-19.567462431932558</v>
      </c>
      <c r="AG432" s="227">
        <f t="shared" si="158"/>
        <v>-64.941516328054831</v>
      </c>
      <c r="AH432" s="229" t="str">
        <f t="shared" si="159"/>
        <v>0.0352310495439286-0.0934125017815344i</v>
      </c>
    </row>
    <row r="433" spans="2:34" x14ac:dyDescent="0.2">
      <c r="B433" s="220"/>
      <c r="I433" s="227">
        <v>429</v>
      </c>
      <c r="J433" s="227">
        <f t="shared" si="147"/>
        <v>5.1828025639900792</v>
      </c>
      <c r="K433" s="227">
        <f t="shared" si="169"/>
        <v>152336.00567442531</v>
      </c>
      <c r="L433" s="227">
        <f t="shared" si="160"/>
        <v>957155.35260797513</v>
      </c>
      <c r="M433" s="227">
        <f t="shared" si="148"/>
        <v>149974.54178259347</v>
      </c>
      <c r="N433" s="227">
        <f>SQRT((ABS(AC433)-171.5+'Small Signal'!C$59)^2)</f>
        <v>74.488563475423831</v>
      </c>
      <c r="O433" s="227">
        <f t="shared" si="161"/>
        <v>65.744045748505542</v>
      </c>
      <c r="P433" s="227">
        <f t="shared" si="162"/>
        <v>19.678522861172251</v>
      </c>
      <c r="Q433" s="227">
        <f t="shared" si="170"/>
        <v>152336.00567442531</v>
      </c>
      <c r="R433" s="227" t="str">
        <f t="shared" si="149"/>
        <v>0.0878666666666667+4.49863015725748i</v>
      </c>
      <c r="S433" s="227" t="str">
        <f t="shared" si="150"/>
        <v>0.0085-0.0400121800876678i</v>
      </c>
      <c r="T433" s="227" t="str">
        <f t="shared" si="151"/>
        <v>0.00861654209796971-0.0399598975640708i</v>
      </c>
      <c r="U433" s="227" t="str">
        <f t="shared" si="152"/>
        <v>-0.117651214604144+0.308325071141246i</v>
      </c>
      <c r="V433" s="227">
        <f t="shared" si="163"/>
        <v>-9.6294756359118132</v>
      </c>
      <c r="W433" s="227">
        <f t="shared" si="164"/>
        <v>-249.11405927969241</v>
      </c>
      <c r="X433" s="227" t="str">
        <f t="shared" si="153"/>
        <v>0.834977716445593-0.119626743729701i</v>
      </c>
      <c r="Y433" s="227" t="str">
        <f t="shared" si="154"/>
        <v>0.0885784496140199-5.33922056358083i</v>
      </c>
      <c r="Z433" s="227" t="str">
        <f t="shared" si="155"/>
        <v>-0.2940984928616-2.32711790103071i</v>
      </c>
      <c r="AA433" s="227" t="str">
        <f t="shared" si="156"/>
        <v>-1.05743679385489-0.0741552885498204i</v>
      </c>
      <c r="AB433" s="227">
        <f t="shared" si="165"/>
        <v>0.50639396718415708</v>
      </c>
      <c r="AC433" s="227">
        <f t="shared" si="166"/>
        <v>-175.98856347542383</v>
      </c>
      <c r="AD433" s="229">
        <f t="shared" si="167"/>
        <v>-20.184916828356407</v>
      </c>
      <c r="AE433" s="229">
        <f t="shared" si="168"/>
        <v>110.24451772691829</v>
      </c>
      <c r="AF433" s="227">
        <f t="shared" si="157"/>
        <v>-19.678522861172251</v>
      </c>
      <c r="AG433" s="227">
        <f t="shared" si="158"/>
        <v>-65.744045748505542</v>
      </c>
      <c r="AH433" s="229" t="str">
        <f t="shared" si="159"/>
        <v>0.0338738456951981-0.0918461390905395i</v>
      </c>
    </row>
    <row r="434" spans="2:34" x14ac:dyDescent="0.2">
      <c r="B434" s="220"/>
      <c r="I434" s="227">
        <v>430</v>
      </c>
      <c r="J434" s="227">
        <f t="shared" si="147"/>
        <v>5.1925526865168621</v>
      </c>
      <c r="K434" s="227">
        <f t="shared" si="169"/>
        <v>155794.70260044868</v>
      </c>
      <c r="L434" s="227">
        <f t="shared" si="160"/>
        <v>978886.98631555249</v>
      </c>
      <c r="M434" s="227">
        <f t="shared" si="148"/>
        <v>153511.76633163815</v>
      </c>
      <c r="N434" s="227">
        <f>SQRT((ABS(AC434)-171.5+'Small Signal'!C$59)^2)</f>
        <v>74.881887486496538</v>
      </c>
      <c r="O434" s="227">
        <f t="shared" si="161"/>
        <v>66.550080828458434</v>
      </c>
      <c r="P434" s="227">
        <f t="shared" si="162"/>
        <v>19.787395040497174</v>
      </c>
      <c r="Q434" s="227">
        <f t="shared" si="170"/>
        <v>155794.70260044868</v>
      </c>
      <c r="R434" s="227" t="str">
        <f t="shared" si="149"/>
        <v>0.0878666666666667+4.6007688356831i</v>
      </c>
      <c r="S434" s="227" t="str">
        <f t="shared" si="150"/>
        <v>0.0085-0.0391238956854207i</v>
      </c>
      <c r="T434" s="227" t="str">
        <f t="shared" si="151"/>
        <v>0.00861118285904776-0.0390727898585406i</v>
      </c>
      <c r="U434" s="227" t="str">
        <f t="shared" si="152"/>
        <v>-0.115469020599471+0.301521603788586i</v>
      </c>
      <c r="V434" s="227">
        <f t="shared" si="163"/>
        <v>-9.8193071736061395</v>
      </c>
      <c r="W434" s="227">
        <f t="shared" si="164"/>
        <v>-249.0454393534813</v>
      </c>
      <c r="X434" s="227" t="str">
        <f t="shared" si="153"/>
        <v>0.82739918678498-0.122342796635095i</v>
      </c>
      <c r="Y434" s="227" t="str">
        <f t="shared" si="154"/>
        <v>0.0846864395011367-5.2206536327394i</v>
      </c>
      <c r="Z434" s="227" t="str">
        <f t="shared" si="155"/>
        <v>-0.296122847935347-2.25483628968274i</v>
      </c>
      <c r="AA434" s="227" t="str">
        <f t="shared" si="156"/>
        <v>-1.06558338141526-0.0673790193815536i</v>
      </c>
      <c r="AB434" s="227">
        <f t="shared" si="165"/>
        <v>0.5690785138713329</v>
      </c>
      <c r="AC434" s="227">
        <f t="shared" si="166"/>
        <v>-176.38188748649654</v>
      </c>
      <c r="AD434" s="229">
        <f t="shared" si="167"/>
        <v>-20.356473554368506</v>
      </c>
      <c r="AE434" s="229">
        <f t="shared" si="168"/>
        <v>109.8318066580381</v>
      </c>
      <c r="AF434" s="227">
        <f t="shared" si="157"/>
        <v>-19.787395040497174</v>
      </c>
      <c r="AG434" s="227">
        <f t="shared" si="158"/>
        <v>-66.550080828458434</v>
      </c>
      <c r="AH434" s="229" t="str">
        <f t="shared" si="159"/>
        <v>0.0325618604320201-0.0902867542573465i</v>
      </c>
    </row>
    <row r="435" spans="2:34" x14ac:dyDescent="0.2">
      <c r="B435" s="220"/>
      <c r="I435" s="227">
        <v>431</v>
      </c>
      <c r="J435" s="227">
        <f t="shared" si="147"/>
        <v>5.2023028090436458</v>
      </c>
      <c r="K435" s="227">
        <f t="shared" si="169"/>
        <v>159331.92714949336</v>
      </c>
      <c r="L435" s="227">
        <f t="shared" si="160"/>
        <v>1001112.023630305</v>
      </c>
      <c r="M435" s="227">
        <f t="shared" si="148"/>
        <v>157129.30142591623</v>
      </c>
      <c r="N435" s="227">
        <f>SQRT((ABS(AC435)-171.5+'Small Signal'!C$59)^2)</f>
        <v>75.287001384052132</v>
      </c>
      <c r="O435" s="227">
        <f t="shared" si="161"/>
        <v>67.360915034826363</v>
      </c>
      <c r="P435" s="227">
        <f t="shared" si="162"/>
        <v>19.893915143184621</v>
      </c>
      <c r="Q435" s="227">
        <f t="shared" si="170"/>
        <v>159331.92714949336</v>
      </c>
      <c r="R435" s="227" t="str">
        <f t="shared" si="149"/>
        <v>0.0878666666666667+4.70522651106243i</v>
      </c>
      <c r="S435" s="227" t="str">
        <f t="shared" si="150"/>
        <v>0.0085-0.0382553315078037i</v>
      </c>
      <c r="T435" s="227" t="str">
        <f t="shared" si="151"/>
        <v>0.00860605892864891-0.0382053752120223i</v>
      </c>
      <c r="U435" s="227" t="str">
        <f t="shared" si="152"/>
        <v>-0.113382657348712+0.294866473461088i</v>
      </c>
      <c r="V435" s="227">
        <f t="shared" si="163"/>
        <v>-10.00861346625115</v>
      </c>
      <c r="W435" s="227">
        <f t="shared" si="164"/>
        <v>-248.96714825879803</v>
      </c>
      <c r="X435" s="227" t="str">
        <f t="shared" si="153"/>
        <v>0.819472618601447-0.125120515879929i</v>
      </c>
      <c r="Y435" s="227" t="str">
        <f t="shared" si="154"/>
        <v>0.0809655529254905-5.10472116399104i</v>
      </c>
      <c r="Z435" s="227" t="str">
        <f t="shared" si="155"/>
        <v>-0.298058195975415-2.18369280412302i</v>
      </c>
      <c r="AA435" s="227" t="str">
        <f t="shared" si="156"/>
        <v>-1.07415774102765-0.06029919875538i</v>
      </c>
      <c r="AB435" s="227">
        <f t="shared" si="165"/>
        <v>0.63502556689684186</v>
      </c>
      <c r="AC435" s="227">
        <f t="shared" si="166"/>
        <v>-176.78700138405213</v>
      </c>
      <c r="AD435" s="229">
        <f t="shared" si="167"/>
        <v>-20.528940710081464</v>
      </c>
      <c r="AE435" s="229">
        <f t="shared" si="168"/>
        <v>109.42608634922577</v>
      </c>
      <c r="AF435" s="227">
        <f t="shared" si="157"/>
        <v>-19.893915143184621</v>
      </c>
      <c r="AG435" s="227">
        <f t="shared" si="158"/>
        <v>-67.360915034826363</v>
      </c>
      <c r="AH435" s="229" t="str">
        <f t="shared" si="159"/>
        <v>0.0312941281382849-0.0887355216119638i</v>
      </c>
    </row>
    <row r="436" spans="2:34" x14ac:dyDescent="0.2">
      <c r="I436" s="227">
        <v>432</v>
      </c>
      <c r="J436" s="227">
        <f t="shared" si="147"/>
        <v>5.2120529315704287</v>
      </c>
      <c r="K436" s="227">
        <f t="shared" si="169"/>
        <v>162949.46224377144</v>
      </c>
      <c r="L436" s="227">
        <f t="shared" si="160"/>
        <v>1023841.6669828795</v>
      </c>
      <c r="M436" s="227">
        <f t="shared" si="148"/>
        <v>160828.97046781206</v>
      </c>
      <c r="N436" s="227">
        <f>SQRT((ABS(AC436)-171.5+'Small Signal'!C$59)^2)</f>
        <v>75.705280092245232</v>
      </c>
      <c r="O436" s="227">
        <f t="shared" si="161"/>
        <v>68.177958237771747</v>
      </c>
      <c r="P436" s="227">
        <f t="shared" si="162"/>
        <v>19.997914519386313</v>
      </c>
      <c r="Q436" s="227">
        <f t="shared" si="170"/>
        <v>162949.46224377144</v>
      </c>
      <c r="R436" s="227" t="str">
        <f t="shared" si="149"/>
        <v>0.0878666666666667+4.81205583481953i</v>
      </c>
      <c r="S436" s="227" t="str">
        <f t="shared" si="150"/>
        <v>0.0085-0.0374060497589281i</v>
      </c>
      <c r="T436" s="227" t="str">
        <f t="shared" si="151"/>
        <v>0.00860115997523575-0.0373572164996162i</v>
      </c>
      <c r="U436" s="227" t="str">
        <f t="shared" si="152"/>
        <v>-0.111387915819089+0.288356563258452i</v>
      </c>
      <c r="V436" s="227">
        <f t="shared" si="163"/>
        <v>-10.197385142688125</v>
      </c>
      <c r="W436" s="227">
        <f t="shared" si="164"/>
        <v>-248.87918385158454</v>
      </c>
      <c r="X436" s="227" t="str">
        <f t="shared" si="153"/>
        <v>0.8111820284762-0.127961301561164i</v>
      </c>
      <c r="Y436" s="227" t="str">
        <f t="shared" si="154"/>
        <v>0.0774082561397781-4.99136452618415i</v>
      </c>
      <c r="Z436" s="227" t="str">
        <f t="shared" si="155"/>
        <v>-0.299908455566432-2.11365148176031i</v>
      </c>
      <c r="AA436" s="227" t="str">
        <f t="shared" si="156"/>
        <v>-1.08318291741509-0.0528764237698285i</v>
      </c>
      <c r="AB436" s="227">
        <f t="shared" si="165"/>
        <v>0.70437288787214392</v>
      </c>
      <c r="AC436" s="227">
        <f t="shared" si="166"/>
        <v>-177.20528009224523</v>
      </c>
      <c r="AD436" s="229">
        <f t="shared" si="167"/>
        <v>-20.702287407258456</v>
      </c>
      <c r="AE436" s="229">
        <f t="shared" si="168"/>
        <v>109.02732185447348</v>
      </c>
      <c r="AF436" s="227">
        <f t="shared" si="157"/>
        <v>-19.997914519386313</v>
      </c>
      <c r="AG436" s="227">
        <f t="shared" si="158"/>
        <v>-68.177958237771747</v>
      </c>
      <c r="AH436" s="229" t="str">
        <f t="shared" si="159"/>
        <v>0.0300696610384332-0.087193544176414i</v>
      </c>
    </row>
    <row r="437" spans="2:34" x14ac:dyDescent="0.2">
      <c r="I437" s="227">
        <v>433</v>
      </c>
      <c r="J437" s="227">
        <f t="shared" si="147"/>
        <v>5.2218030540972125</v>
      </c>
      <c r="K437" s="227">
        <f t="shared" si="169"/>
        <v>166649.13128566727</v>
      </c>
      <c r="L437" s="227">
        <f t="shared" si="160"/>
        <v>1047087.3731483466</v>
      </c>
      <c r="M437" s="227">
        <f t="shared" si="148"/>
        <v>164612.6382589587</v>
      </c>
      <c r="N437" s="227">
        <f>SQRT((ABS(AC437)-171.5+'Small Signal'!C$59)^2)</f>
        <v>76.138221507522161</v>
      </c>
      <c r="O437" s="227">
        <f t="shared" si="161"/>
        <v>69.002748377828524</v>
      </c>
      <c r="P437" s="227">
        <f t="shared" si="162"/>
        <v>20.099219854499282</v>
      </c>
      <c r="Q437" s="227">
        <f t="shared" si="170"/>
        <v>166649.13128566727</v>
      </c>
      <c r="R437" s="227" t="str">
        <f t="shared" si="149"/>
        <v>0.0878666666666667+4.92131065379723i</v>
      </c>
      <c r="S437" s="227" t="str">
        <f t="shared" si="150"/>
        <v>0.0085-0.0365756223621271i</v>
      </c>
      <c r="T437" s="227" t="str">
        <f t="shared" si="151"/>
        <v>0.00859647612087616-0.0365278862963259i</v>
      </c>
      <c r="U437" s="227" t="str">
        <f t="shared" si="152"/>
        <v>-0.109480771899377+0.281988813974446i</v>
      </c>
      <c r="V437" s="227">
        <f t="shared" si="163"/>
        <v>-10.385611993139515</v>
      </c>
      <c r="W437" s="227">
        <f t="shared" si="164"/>
        <v>-248.78154277756514</v>
      </c>
      <c r="X437" s="227" t="str">
        <f t="shared" si="153"/>
        <v>0.802510698963431-0.130866585564116i</v>
      </c>
      <c r="Y437" s="227" t="str">
        <f t="shared" si="154"/>
        <v>0.0740073479126519-4.88052639921399i</v>
      </c>
      <c r="Z437" s="227" t="str">
        <f t="shared" si="155"/>
        <v>-0.301677372336232-2.04467692222916i</v>
      </c>
      <c r="AA437" s="227" t="str">
        <f t="shared" si="156"/>
        <v>-1.0926828051838-0.0450667993371625i</v>
      </c>
      <c r="AB437" s="227">
        <f t="shared" si="165"/>
        <v>0.77726360680589379</v>
      </c>
      <c r="AC437" s="227">
        <f t="shared" si="166"/>
        <v>-177.63822150752216</v>
      </c>
      <c r="AD437" s="229">
        <f t="shared" si="167"/>
        <v>-20.876483461305174</v>
      </c>
      <c r="AE437" s="229">
        <f t="shared" si="168"/>
        <v>108.63547312969364</v>
      </c>
      <c r="AF437" s="227">
        <f t="shared" si="157"/>
        <v>-20.099219854499282</v>
      </c>
      <c r="AG437" s="227">
        <f t="shared" si="158"/>
        <v>-69.002748377828524</v>
      </c>
      <c r="AH437" s="229" t="str">
        <f t="shared" si="159"/>
        <v>0.0288874533845354-0.0856618549964732i</v>
      </c>
    </row>
    <row r="438" spans="2:34" x14ac:dyDescent="0.2">
      <c r="I438" s="227">
        <v>434</v>
      </c>
      <c r="J438" s="227">
        <f t="shared" si="147"/>
        <v>5.2315531766239953</v>
      </c>
      <c r="K438" s="227">
        <f t="shared" si="169"/>
        <v>170432.79907681391</v>
      </c>
      <c r="L438" s="227">
        <f t="shared" si="160"/>
        <v>1070860.8590209277</v>
      </c>
      <c r="M438" s="227">
        <f t="shared" si="148"/>
        <v>168482.21194018325</v>
      </c>
      <c r="N438" s="227">
        <f>SQRT((ABS(AC438)-171.5+'Small Signal'!C$59)^2)</f>
        <v>76.587459921179601</v>
      </c>
      <c r="O438" s="227">
        <f t="shared" si="161"/>
        <v>69.836964563278386</v>
      </c>
      <c r="P438" s="227">
        <f t="shared" si="162"/>
        <v>20.197653426195455</v>
      </c>
      <c r="Q438" s="227">
        <f t="shared" si="170"/>
        <v>170432.79907681391</v>
      </c>
      <c r="R438" s="227" t="str">
        <f t="shared" si="149"/>
        <v>0.0878666666666667+5.03304603739836i</v>
      </c>
      <c r="S438" s="227" t="str">
        <f t="shared" si="150"/>
        <v>0.0085-0.0357636307441853i</v>
      </c>
      <c r="T438" s="227" t="str">
        <f t="shared" si="151"/>
        <v>0.00859199792132901-0.0357169666620045i</v>
      </c>
      <c r="U438" s="227" t="str">
        <f t="shared" si="152"/>
        <v>-0.107657378270846+0.275760223567736i</v>
      </c>
      <c r="V438" s="227">
        <f t="shared" si="163"/>
        <v>-10.573282964454354</v>
      </c>
      <c r="W438" s="227">
        <f t="shared" si="164"/>
        <v>-248.67422060390919</v>
      </c>
      <c r="X438" s="227" t="str">
        <f t="shared" si="153"/>
        <v>0.793441144880657-0.133837832284193i</v>
      </c>
      <c r="Y438" s="227" t="str">
        <f t="shared" si="154"/>
        <v>0.0707559447803017-4.77215074430774i</v>
      </c>
      <c r="Z438" s="227" t="str">
        <f t="shared" si="155"/>
        <v>-0.303368526627386-1.97673426911357i</v>
      </c>
      <c r="AA438" s="227" t="str">
        <f t="shared" si="156"/>
        <v>-1.10268204082249-0.03682133730499i</v>
      </c>
      <c r="AB438" s="227">
        <f t="shared" si="165"/>
        <v>0.85384597637116422</v>
      </c>
      <c r="AC438" s="227">
        <f t="shared" si="166"/>
        <v>-178.0874599211796</v>
      </c>
      <c r="AD438" s="229">
        <f t="shared" si="167"/>
        <v>-21.05149940256662</v>
      </c>
      <c r="AE438" s="229">
        <f t="shared" si="168"/>
        <v>108.25049535790122</v>
      </c>
      <c r="AF438" s="227">
        <f t="shared" si="157"/>
        <v>-20.197653426195455</v>
      </c>
      <c r="AG438" s="227">
        <f t="shared" si="158"/>
        <v>-69.836964563278386</v>
      </c>
      <c r="AH438" s="229" t="str">
        <f t="shared" si="159"/>
        <v>0.0277464853986926-0.0841414186620406i</v>
      </c>
    </row>
    <row r="439" spans="2:34" x14ac:dyDescent="0.2">
      <c r="I439" s="227">
        <v>435</v>
      </c>
      <c r="J439" s="227">
        <f t="shared" si="147"/>
        <v>5.2413032991507791</v>
      </c>
      <c r="K439" s="227">
        <f t="shared" si="169"/>
        <v>174302.37275803846</v>
      </c>
      <c r="L439" s="227">
        <f t="shared" si="160"/>
        <v>1095174.1075198466</v>
      </c>
      <c r="M439" s="227">
        <f t="shared" si="148"/>
        <v>172439.64195279137</v>
      </c>
      <c r="N439" s="227">
        <f>SQRT((ABS(AC439)-171.5+'Small Signal'!C$59)^2)</f>
        <v>77.054781039539819</v>
      </c>
      <c r="O439" s="227">
        <f t="shared" si="161"/>
        <v>70.682441772674096</v>
      </c>
      <c r="P439" s="227">
        <f t="shared" si="162"/>
        <v>20.293033488040209</v>
      </c>
      <c r="Q439" s="227">
        <f t="shared" si="170"/>
        <v>174302.37275803846</v>
      </c>
      <c r="R439" s="227" t="str">
        <f t="shared" si="149"/>
        <v>0.0878666666666667+5.14731830534328i</v>
      </c>
      <c r="S439" s="227" t="str">
        <f t="shared" si="150"/>
        <v>0.0085-0.0349696656243596i</v>
      </c>
      <c r="T439" s="227" t="str">
        <f t="shared" si="151"/>
        <v>0.00858771634700415-0.0349240489310575i</v>
      </c>
      <c r="U439" s="227" t="str">
        <f t="shared" si="152"/>
        <v>-0.105914056635956+0.269667846595273i</v>
      </c>
      <c r="V439" s="227">
        <f t="shared" si="163"/>
        <v>-10.7603861552605</v>
      </c>
      <c r="W439" s="227">
        <f t="shared" si="164"/>
        <v>-248.55721196120919</v>
      </c>
      <c r="X439" s="227" t="str">
        <f t="shared" si="153"/>
        <v>0.783955078050971-0.136876539365016i</v>
      </c>
      <c r="Y439" s="227" t="str">
        <f t="shared" si="154"/>
        <v>0.0676474669585902-4.6661827750092i</v>
      </c>
      <c r="Z439" s="227" t="str">
        <f t="shared" si="155"/>
        <v>-0.304985340825193-1.90978919197323i</v>
      </c>
      <c r="AA439" s="227" t="str">
        <f t="shared" si="156"/>
        <v>-1.11320584273497-0.0280852707135582i</v>
      </c>
      <c r="AB439" s="227">
        <f t="shared" si="165"/>
        <v>0.93427299688622378</v>
      </c>
      <c r="AC439" s="227">
        <f t="shared" si="166"/>
        <v>-178.55478103953982</v>
      </c>
      <c r="AD439" s="229">
        <f t="shared" si="167"/>
        <v>-21.227306484926434</v>
      </c>
      <c r="AE439" s="229">
        <f t="shared" si="168"/>
        <v>107.87233926686572</v>
      </c>
      <c r="AF439" s="227">
        <f t="shared" si="157"/>
        <v>-20.293033488040209</v>
      </c>
      <c r="AG439" s="227">
        <f t="shared" si="158"/>
        <v>-70.682441772674096</v>
      </c>
      <c r="AH439" s="229" t="str">
        <f t="shared" si="159"/>
        <v>0.0266457269698383-0.082633132990949i</v>
      </c>
    </row>
    <row r="440" spans="2:34" x14ac:dyDescent="0.2">
      <c r="I440" s="227">
        <v>436</v>
      </c>
      <c r="J440" s="227">
        <f t="shared" si="147"/>
        <v>5.2510534216775619</v>
      </c>
      <c r="K440" s="227">
        <f t="shared" si="169"/>
        <v>178259.80277064658</v>
      </c>
      <c r="L440" s="227">
        <f t="shared" si="160"/>
        <v>1120039.3736292575</v>
      </c>
      <c r="M440" s="227">
        <f t="shared" si="148"/>
        <v>176486.92302168166</v>
      </c>
      <c r="N440" s="227">
        <f>SQRT((ABS(AC440)-171.5+'Small Signal'!C$59)^2)</f>
        <v>77.542138794101987</v>
      </c>
      <c r="O440" s="227">
        <f t="shared" si="161"/>
        <v>71.541187355575687</v>
      </c>
      <c r="P440" s="227">
        <f t="shared" si="162"/>
        <v>20.385174814464911</v>
      </c>
      <c r="Q440" s="227">
        <f t="shared" si="170"/>
        <v>178259.80277064658</v>
      </c>
      <c r="R440" s="227" t="str">
        <f t="shared" si="149"/>
        <v>0.0878666666666667+5.26418505605751i</v>
      </c>
      <c r="S440" s="227" t="str">
        <f t="shared" si="150"/>
        <v>0.0085-0.0341933268080828i</v>
      </c>
      <c r="T440" s="227" t="str">
        <f t="shared" si="151"/>
        <v>0.00858362276475813-0.0341487335067967i</v>
      </c>
      <c r="U440" s="227" t="str">
        <f t="shared" si="152"/>
        <v>-0.104247290289008+0.263708793612252i</v>
      </c>
      <c r="V440" s="227">
        <f t="shared" si="163"/>
        <v>-10.946908811101716</v>
      </c>
      <c r="W440" s="227">
        <f t="shared" si="164"/>
        <v>-248.43051069593409</v>
      </c>
      <c r="X440" s="227" t="str">
        <f t="shared" si="153"/>
        <v>0.774033370426099-0.139984238453295i</v>
      </c>
      <c r="Y440" s="227" t="str">
        <f t="shared" si="154"/>
        <v>0.0646756248851462-4.56256892884372i</v>
      </c>
      <c r="Z440" s="227" t="str">
        <f t="shared" si="155"/>
        <v>-0.306531086357894-1.84380786866058i</v>
      </c>
      <c r="AA440" s="227" t="str">
        <f t="shared" si="156"/>
        <v>-1.12427978372014-0.0187972715663304i</v>
      </c>
      <c r="AB440" s="227">
        <f t="shared" si="165"/>
        <v>1.0187018774171601</v>
      </c>
      <c r="AC440" s="227">
        <f t="shared" si="166"/>
        <v>-179.04213879410199</v>
      </c>
      <c r="AD440" s="229">
        <f t="shared" si="167"/>
        <v>-21.403876691882072</v>
      </c>
      <c r="AE440" s="229">
        <f t="shared" si="168"/>
        <v>107.5009514385263</v>
      </c>
      <c r="AF440" s="227">
        <f t="shared" si="157"/>
        <v>-20.385174814464911</v>
      </c>
      <c r="AG440" s="227">
        <f t="shared" si="158"/>
        <v>-71.541187355575687</v>
      </c>
      <c r="AH440" s="229" t="str">
        <f t="shared" si="159"/>
        <v>0.0255841411059446-0.0811378308523182i</v>
      </c>
    </row>
    <row r="441" spans="2:34" x14ac:dyDescent="0.2">
      <c r="I441" s="227">
        <v>437</v>
      </c>
      <c r="J441" s="227">
        <f t="shared" si="147"/>
        <v>5.2608035442043457</v>
      </c>
      <c r="K441" s="227">
        <f t="shared" si="169"/>
        <v>182307.08383953688</v>
      </c>
      <c r="L441" s="227">
        <f t="shared" si="160"/>
        <v>1145469.1905753352</v>
      </c>
      <c r="M441" s="227">
        <f t="shared" si="148"/>
        <v>180626.09516077369</v>
      </c>
      <c r="N441" s="227">
        <f>SQRT((ABS(AC441)-171.5+'Small Signal'!C$59)^2)</f>
        <v>78.051674152269214</v>
      </c>
      <c r="O441" s="227">
        <f t="shared" si="161"/>
        <v>72.415399542693564</v>
      </c>
      <c r="P441" s="227">
        <f t="shared" si="162"/>
        <v>20.473889450376412</v>
      </c>
      <c r="Q441" s="227">
        <f t="shared" si="170"/>
        <v>182307.08383953688</v>
      </c>
      <c r="R441" s="227" t="str">
        <f t="shared" si="149"/>
        <v>0.0878666666666667+5.38370519570408i</v>
      </c>
      <c r="S441" s="227" t="str">
        <f t="shared" si="150"/>
        <v>0.0085-0.0334342229852464i</v>
      </c>
      <c r="T441" s="227" t="str">
        <f t="shared" si="151"/>
        <v>0.00857970892048908-0.0333906296603408i</v>
      </c>
      <c r="U441" s="227" t="str">
        <f t="shared" si="152"/>
        <v>-0.10265371701368+0.257880230542407i</v>
      </c>
      <c r="V441" s="227">
        <f t="shared" si="163"/>
        <v>-11.132837319642665</v>
      </c>
      <c r="W441" s="227">
        <f t="shared" si="164"/>
        <v>-248.29411003351004</v>
      </c>
      <c r="X441" s="227" t="str">
        <f t="shared" si="153"/>
        <v>0.763656015515905-0.143162495970857i</v>
      </c>
      <c r="Y441" s="227" t="str">
        <f t="shared" si="154"/>
        <v>0.0618344063632274-4.46125683964673i</v>
      </c>
      <c r="Z441" s="227" t="str">
        <f t="shared" si="155"/>
        <v>-0.308008890383922-1.77875696791862i</v>
      </c>
      <c r="AA441" s="227" t="str">
        <f t="shared" si="156"/>
        <v>-1.13592947599319-0.00888855939257688i</v>
      </c>
      <c r="AB441" s="227">
        <f t="shared" si="165"/>
        <v>1.1072932898913812</v>
      </c>
      <c r="AC441" s="227">
        <f t="shared" si="166"/>
        <v>-179.55167415226921</v>
      </c>
      <c r="AD441" s="229">
        <f t="shared" si="167"/>
        <v>-21.581182740267792</v>
      </c>
      <c r="AE441" s="229">
        <f t="shared" si="168"/>
        <v>107.13627460957565</v>
      </c>
      <c r="AF441" s="227">
        <f t="shared" si="157"/>
        <v>-20.473889450376412</v>
      </c>
      <c r="AG441" s="227">
        <f t="shared" si="158"/>
        <v>-72.415399542693564</v>
      </c>
      <c r="AH441" s="229" t="str">
        <f t="shared" si="159"/>
        <v>0.0245606871443488-0.0796562821069333i</v>
      </c>
    </row>
    <row r="442" spans="2:34" x14ac:dyDescent="0.2">
      <c r="I442" s="227">
        <v>438</v>
      </c>
      <c r="J442" s="227">
        <f t="shared" si="147"/>
        <v>5.2705536667311286</v>
      </c>
      <c r="K442" s="227">
        <f t="shared" si="169"/>
        <v>186446.25597862891</v>
      </c>
      <c r="L442" s="227">
        <f t="shared" si="160"/>
        <v>1171476.3761435652</v>
      </c>
      <c r="M442" s="227">
        <f t="shared" si="148"/>
        <v>184859.24470127144</v>
      </c>
      <c r="N442" s="227">
        <f>SQRT((ABS(AC442)-171.5+'Small Signal'!C$59)^2)</f>
        <v>78.585736156360667</v>
      </c>
      <c r="O442" s="227">
        <f t="shared" si="161"/>
        <v>73.307488193640779</v>
      </c>
      <c r="P442" s="227">
        <f t="shared" si="162"/>
        <v>20.558987719259832</v>
      </c>
      <c r="Q442" s="227">
        <f t="shared" si="170"/>
        <v>186446.25597862891</v>
      </c>
      <c r="R442" s="227" t="str">
        <f t="shared" si="149"/>
        <v>0.0878666666666667+5.50593896787476i</v>
      </c>
      <c r="S442" s="227" t="str">
        <f t="shared" si="150"/>
        <v>0.0085-0.0326919715329643i</v>
      </c>
      <c r="T442" s="227" t="str">
        <f t="shared" si="151"/>
        <v>0.00857596692249561-0.0326493553339698i</v>
      </c>
      <c r="U442" s="227" t="str">
        <f t="shared" si="152"/>
        <v>-0.101130122293048+0.252179378022183i</v>
      </c>
      <c r="V442" s="227">
        <f t="shared" si="163"/>
        <v>-11.31815720602958</v>
      </c>
      <c r="W442" s="227">
        <f t="shared" si="164"/>
        <v>-248.14800275217794</v>
      </c>
      <c r="X442" s="227" t="str">
        <f t="shared" si="153"/>
        <v>0.752802088046589-0.146412913904189i</v>
      </c>
      <c r="Y442" s="227" t="str">
        <f t="shared" si="154"/>
        <v>0.0591180642796414-4.36219531053904i</v>
      </c>
      <c r="Z442" s="227" t="str">
        <f t="shared" si="155"/>
        <v>-0.309421742180512-1.71460363224919i</v>
      </c>
      <c r="AA442" s="227" t="str">
        <f t="shared" si="156"/>
        <v>-1.1481801433568+0.00171811303750517i</v>
      </c>
      <c r="AB442" s="227">
        <f t="shared" si="165"/>
        <v>1.2002103625347846</v>
      </c>
      <c r="AC442" s="227">
        <f t="shared" si="166"/>
        <v>-180.08573615636067</v>
      </c>
      <c r="AD442" s="229">
        <f t="shared" si="167"/>
        <v>-21.759198081794615</v>
      </c>
      <c r="AE442" s="229">
        <f t="shared" si="168"/>
        <v>106.77824796271989</v>
      </c>
      <c r="AF442" s="227">
        <f t="shared" si="157"/>
        <v>-20.558987719259832</v>
      </c>
      <c r="AG442" s="227">
        <f t="shared" si="158"/>
        <v>-73.307488193640779</v>
      </c>
      <c r="AH442" s="229" t="str">
        <f t="shared" si="159"/>
        <v>0.0235743237244075-0.0781891956435696i</v>
      </c>
    </row>
    <row r="443" spans="2:34" x14ac:dyDescent="0.2">
      <c r="I443" s="227">
        <v>439</v>
      </c>
      <c r="J443" s="227">
        <f t="shared" si="147"/>
        <v>5.2803037892579123</v>
      </c>
      <c r="K443" s="227">
        <f t="shared" si="169"/>
        <v>190679.40551912665</v>
      </c>
      <c r="L443" s="227">
        <f t="shared" si="160"/>
        <v>1198074.0391395148</v>
      </c>
      <c r="M443" s="227">
        <f t="shared" si="148"/>
        <v>189188.50534326717</v>
      </c>
      <c r="N443" s="227">
        <f>SQRT((ABS(AC443)-171.5+'Small Signal'!C$59)^2)</f>
        <v>79.146905432853316</v>
      </c>
      <c r="O443" s="227">
        <f t="shared" si="161"/>
        <v>74.220098024641416</v>
      </c>
      <c r="P443" s="227">
        <f t="shared" si="162"/>
        <v>20.640279556778967</v>
      </c>
      <c r="Q443" s="227">
        <f t="shared" si="170"/>
        <v>190679.40551912665</v>
      </c>
      <c r="R443" s="227" t="str">
        <f t="shared" si="149"/>
        <v>0.0878666666666667+5.63094798395572i</v>
      </c>
      <c r="S443" s="227" t="str">
        <f t="shared" si="150"/>
        <v>0.0085-0.0319661983227113i</v>
      </c>
      <c r="T443" s="227" t="str">
        <f t="shared" si="151"/>
        <v>0.00857238922556626-0.031924536948825i</v>
      </c>
      <c r="U443" s="227" t="str">
        <f t="shared" si="152"/>
        <v>-0.0996734328182959+0.246603510721895i</v>
      </c>
      <c r="V443" s="227">
        <f t="shared" si="163"/>
        <v>-11.502853128506469</v>
      </c>
      <c r="W443" s="227">
        <f t="shared" si="164"/>
        <v>-247.99218136775681</v>
      </c>
      <c r="X443" s="227" t="str">
        <f t="shared" si="153"/>
        <v>0.741449701766204-0.149737130611912i</v>
      </c>
      <c r="Y443" s="227" t="str">
        <f t="shared" si="154"/>
        <v>0.056521104870944-4.26533428753153i</v>
      </c>
      <c r="Z443" s="227" t="str">
        <f t="shared" si="155"/>
        <v>-0.310772499247075-1.65131546104114i</v>
      </c>
      <c r="AA443" s="227" t="str">
        <f t="shared" si="156"/>
        <v>-1.16105604817704+0.0131096110301351i</v>
      </c>
      <c r="AB443" s="227">
        <f t="shared" si="165"/>
        <v>1.297617345794472</v>
      </c>
      <c r="AC443" s="227">
        <f t="shared" si="166"/>
        <v>-180.64690543285332</v>
      </c>
      <c r="AD443" s="229">
        <f t="shared" si="167"/>
        <v>-21.937896902573438</v>
      </c>
      <c r="AE443" s="229">
        <f t="shared" si="168"/>
        <v>106.4268074082119</v>
      </c>
      <c r="AF443" s="227">
        <f t="shared" si="157"/>
        <v>-20.640279556778967</v>
      </c>
      <c r="AG443" s="227">
        <f t="shared" si="158"/>
        <v>-74.220098024641416</v>
      </c>
      <c r="AH443" s="229" t="str">
        <f t="shared" si="159"/>
        <v>0.0226240115279564-0.0767372214916487i</v>
      </c>
    </row>
    <row r="444" spans="2:34" x14ac:dyDescent="0.2">
      <c r="I444" s="227">
        <v>440</v>
      </c>
      <c r="J444" s="227">
        <f t="shared" si="147"/>
        <v>5.290053911784697</v>
      </c>
      <c r="K444" s="227">
        <f t="shared" si="169"/>
        <v>195008.66616112238</v>
      </c>
      <c r="L444" s="227">
        <f t="shared" si="160"/>
        <v>1225275.5859962532</v>
      </c>
      <c r="M444" s="227">
        <f t="shared" si="148"/>
        <v>193616.05923122255</v>
      </c>
      <c r="N444" s="227">
        <f>SQRT((ABS(AC444)-171.5+'Small Signal'!C$59)^2)</f>
        <v>79.738020422501876</v>
      </c>
      <c r="O444" s="227">
        <f t="shared" si="161"/>
        <v>75.156134567151568</v>
      </c>
      <c r="P444" s="227">
        <f t="shared" si="162"/>
        <v>20.717576253178688</v>
      </c>
      <c r="Q444" s="227">
        <f t="shared" si="170"/>
        <v>195008.66616112238</v>
      </c>
      <c r="R444" s="227" t="str">
        <f t="shared" si="149"/>
        <v>0.0878666666666667+5.75879525418239i</v>
      </c>
      <c r="S444" s="227" t="str">
        <f t="shared" si="150"/>
        <v>0.0085-0.0312565375317473i</v>
      </c>
      <c r="T444" s="227" t="str">
        <f t="shared" si="151"/>
        <v>0.00856896861576738-0.0312158092168695i</v>
      </c>
      <c r="U444" s="227" t="str">
        <f t="shared" si="152"/>
        <v>-0.0982807102829729+0.241149956646959i</v>
      </c>
      <c r="V444" s="227">
        <f t="shared" si="163"/>
        <v>-11.68690887438671</v>
      </c>
      <c r="W444" s="227">
        <f t="shared" si="164"/>
        <v>-247.82663832943433</v>
      </c>
      <c r="X444" s="227" t="str">
        <f t="shared" si="153"/>
        <v>0.729575965312426-0.153136821650588i</v>
      </c>
      <c r="Y444" s="227" t="str">
        <f t="shared" si="154"/>
        <v>0.0540382765129105-4.17062483374458i</v>
      </c>
      <c r="Z444" s="227" t="str">
        <f t="shared" si="155"/>
        <v>-0.312063893136417-1.58886049394905i</v>
      </c>
      <c r="AA444" s="227" t="str">
        <f t="shared" si="156"/>
        <v>-1.17457973203043+0.0253837203801616i</v>
      </c>
      <c r="AB444" s="227">
        <f t="shared" si="165"/>
        <v>1.3996778676046797</v>
      </c>
      <c r="AC444" s="227">
        <f t="shared" si="166"/>
        <v>-181.23802042250188</v>
      </c>
      <c r="AD444" s="229">
        <f t="shared" si="167"/>
        <v>-22.117254120783368</v>
      </c>
      <c r="AE444" s="229">
        <f t="shared" si="168"/>
        <v>106.08188585535031</v>
      </c>
      <c r="AF444" s="227">
        <f t="shared" si="157"/>
        <v>-20.717576253178688</v>
      </c>
      <c r="AG444" s="227">
        <f t="shared" si="158"/>
        <v>-75.156134567151568</v>
      </c>
      <c r="AH444" s="229" t="str">
        <f t="shared" si="159"/>
        <v>0.0217087157941486-0.0753009529920838i</v>
      </c>
    </row>
    <row r="445" spans="2:34" x14ac:dyDescent="0.2">
      <c r="I445" s="227">
        <v>441</v>
      </c>
      <c r="J445" s="227">
        <f t="shared" si="147"/>
        <v>5.2998040343114798</v>
      </c>
      <c r="K445" s="227">
        <f t="shared" si="169"/>
        <v>199436.22004907776</v>
      </c>
      <c r="L445" s="227">
        <f t="shared" si="160"/>
        <v>1253094.7275318003</v>
      </c>
      <c r="M445" s="227">
        <f t="shared" si="148"/>
        <v>198144.13805387335</v>
      </c>
      <c r="N445" s="227">
        <f>SQRT((ABS(AC445)-171.5+'Small Signal'!C$59)^2)</f>
        <v>80.362206581274876</v>
      </c>
      <c r="O445" s="227">
        <f t="shared" si="161"/>
        <v>76.118793107563206</v>
      </c>
      <c r="P445" s="227">
        <f t="shared" si="162"/>
        <v>20.790692707967818</v>
      </c>
      <c r="Q445" s="227">
        <f t="shared" si="170"/>
        <v>199436.22004907776</v>
      </c>
      <c r="R445" s="227" t="str">
        <f t="shared" si="149"/>
        <v>0.0878666666666667+5.88954521939946i</v>
      </c>
      <c r="S445" s="227" t="str">
        <f t="shared" si="150"/>
        <v>0.0085-0.0305626314587248i</v>
      </c>
      <c r="T445" s="227" t="str">
        <f t="shared" si="151"/>
        <v>0.00856569819589884-0.0305228149570088i</v>
      </c>
      <c r="U445" s="227" t="str">
        <f t="shared" si="152"/>
        <v>-0.0969491454502093+0.235816096421855i</v>
      </c>
      <c r="V445" s="227">
        <f t="shared" si="163"/>
        <v>-11.870307356492916</v>
      </c>
      <c r="W445" s="227">
        <f t="shared" si="164"/>
        <v>-247.65136622667546</v>
      </c>
      <c r="X445" s="227" t="str">
        <f t="shared" si="153"/>
        <v>0.717156936053588-0.15661370061928i</v>
      </c>
      <c r="Y445" s="227" t="str">
        <f t="shared" si="154"/>
        <v>0.0516645590096986-4.07801910422603i</v>
      </c>
      <c r="Z445" s="227" t="str">
        <f t="shared" si="155"/>
        <v>-0.313298535026029-1.52720719451259i</v>
      </c>
      <c r="AA445" s="227" t="str">
        <f t="shared" si="156"/>
        <v>-1.18877101782487+0.0386506137068415i</v>
      </c>
      <c r="AB445" s="227">
        <f t="shared" si="165"/>
        <v>1.5065526746725375</v>
      </c>
      <c r="AC445" s="227">
        <f t="shared" si="166"/>
        <v>-181.86220658127488</v>
      </c>
      <c r="AD445" s="229">
        <f t="shared" si="167"/>
        <v>-22.297245382640355</v>
      </c>
      <c r="AE445" s="229">
        <f t="shared" si="168"/>
        <v>105.74341347371167</v>
      </c>
      <c r="AF445" s="227">
        <f t="shared" si="157"/>
        <v>-20.790692707967818</v>
      </c>
      <c r="AG445" s="227">
        <f t="shared" si="158"/>
        <v>-76.118793107563206</v>
      </c>
      <c r="AH445" s="229" t="str">
        <f t="shared" si="159"/>
        <v>0.0208274086161389-0.0738809290096626i</v>
      </c>
    </row>
    <row r="446" spans="2:34" x14ac:dyDescent="0.2">
      <c r="I446" s="227">
        <v>442</v>
      </c>
      <c r="J446" s="227">
        <f t="shared" si="147"/>
        <v>5.3095541568382636</v>
      </c>
      <c r="K446" s="227">
        <f t="shared" si="169"/>
        <v>203964.29887172856</v>
      </c>
      <c r="L446" s="227">
        <f t="shared" si="160"/>
        <v>1281545.4858600309</v>
      </c>
      <c r="M446" s="227">
        <f t="shared" si="148"/>
        <v>202775.02416909594</v>
      </c>
      <c r="N446" s="227">
        <f>SQRT((ABS(AC446)-171.5+'Small Signal'!C$59)^2)</f>
        <v>81.022908786186377</v>
      </c>
      <c r="O446" s="227">
        <f t="shared" si="161"/>
        <v>77.111590842227542</v>
      </c>
      <c r="P446" s="227">
        <f t="shared" si="162"/>
        <v>20.859450325259708</v>
      </c>
      <c r="Q446" s="227">
        <f t="shared" si="170"/>
        <v>203964.29887172856</v>
      </c>
      <c r="R446" s="227" t="str">
        <f t="shared" si="149"/>
        <v>0.0878666666666667+6.02326378354214i</v>
      </c>
      <c r="S446" s="227" t="str">
        <f t="shared" si="150"/>
        <v>0.0085-0.0298841303433911i</v>
      </c>
      <c r="T446" s="227" t="str">
        <f t="shared" si="151"/>
        <v>0.0085625713715882-0.0298452049152803i</v>
      </c>
      <c r="U446" s="227" t="str">
        <f t="shared" si="152"/>
        <v>-0.0956760524808591+0.230599362559372i</v>
      </c>
      <c r="V446" s="227">
        <f t="shared" si="163"/>
        <v>-12.053030610182079</v>
      </c>
      <c r="W446" s="227">
        <f t="shared" si="164"/>
        <v>-247.46635800732074</v>
      </c>
      <c r="X446" s="227" t="str">
        <f t="shared" si="153"/>
        <v>0.704167571809879-0.160169520023281i</v>
      </c>
      <c r="Y446" s="227" t="str">
        <f t="shared" si="154"/>
        <v>0.0493951533600803-3.98747032135248i</v>
      </c>
      <c r="Z446" s="227" t="str">
        <f t="shared" si="155"/>
        <v>-0.314478921041173-1.4663244340068i</v>
      </c>
      <c r="AA446" s="227" t="str">
        <f t="shared" si="156"/>
        <v>-1.20364570734471+0.0530344905382594i</v>
      </c>
      <c r="AB446" s="227">
        <f t="shared" si="165"/>
        <v>1.6183967315604999</v>
      </c>
      <c r="AC446" s="227">
        <f t="shared" si="166"/>
        <v>-182.52290878618638</v>
      </c>
      <c r="AD446" s="229">
        <f t="shared" si="167"/>
        <v>-22.477847056820206</v>
      </c>
      <c r="AE446" s="229">
        <f t="shared" si="168"/>
        <v>105.41131794395884</v>
      </c>
      <c r="AF446" s="227">
        <f t="shared" si="157"/>
        <v>-20.859450325259708</v>
      </c>
      <c r="AG446" s="227">
        <f t="shared" si="158"/>
        <v>-77.111590842227542</v>
      </c>
      <c r="AH446" s="229" t="str">
        <f t="shared" si="159"/>
        <v>0.0199790710278024-0.0724776361717219i</v>
      </c>
    </row>
    <row r="447" spans="2:34" x14ac:dyDescent="0.2">
      <c r="I447" s="227">
        <v>443</v>
      </c>
      <c r="J447" s="227">
        <f t="shared" si="147"/>
        <v>5.3193042793650465</v>
      </c>
      <c r="K447" s="227">
        <f t="shared" si="169"/>
        <v>208595.18498695115</v>
      </c>
      <c r="L447" s="227">
        <f t="shared" si="160"/>
        <v>1310642.2014584192</v>
      </c>
      <c r="M447" s="227">
        <f t="shared" si="148"/>
        <v>207511.05175432545</v>
      </c>
      <c r="N447" s="227">
        <f>SQRT((ABS(AC447)-171.5+'Small Signal'!C$59)^2)</f>
        <v>81.72392714080172</v>
      </c>
      <c r="O447" s="227">
        <f t="shared" si="161"/>
        <v>78.138402442662169</v>
      </c>
      <c r="P447" s="227">
        <f t="shared" si="162"/>
        <v>20.923680708707391</v>
      </c>
      <c r="Q447" s="227">
        <f t="shared" si="170"/>
        <v>208595.18498695115</v>
      </c>
      <c r="R447" s="227" t="str">
        <f t="shared" si="149"/>
        <v>0.0878666666666667+6.16001834685457i</v>
      </c>
      <c r="S447" s="227" t="str">
        <f t="shared" si="150"/>
        <v>0.0085-0.0292206921902938i</v>
      </c>
      <c r="T447" s="227" t="str">
        <f t="shared" si="151"/>
        <v>0.00855958183799536-0.0291826375890272i</v>
      </c>
      <c r="U447" s="227" t="str">
        <f t="shared" si="152"/>
        <v>-0.0944588635110863+0.225497238717517i</v>
      </c>
      <c r="V447" s="227">
        <f t="shared" si="163"/>
        <v>-12.235059791078784</v>
      </c>
      <c r="W447" s="227">
        <f t="shared" si="164"/>
        <v>-247.27160720691489</v>
      </c>
      <c r="X447" s="227" t="str">
        <f t="shared" si="153"/>
        <v>0.690581680357402-0.163806072157456i</v>
      </c>
      <c r="Y447" s="227" t="str">
        <f t="shared" si="154"/>
        <v>0.0472254719792233-3.89893275080053i</v>
      </c>
      <c r="Z447" s="227" t="str">
        <f t="shared" si="155"/>
        <v>-0.315607437341062-1.40618147551479i</v>
      </c>
      <c r="AA447" s="227" t="str">
        <f t="shared" si="156"/>
        <v>-1.21921389095771+0.0686753952308805i</v>
      </c>
      <c r="AB447" s="227">
        <f t="shared" si="165"/>
        <v>1.7353555187704286</v>
      </c>
      <c r="AC447" s="227">
        <f t="shared" si="166"/>
        <v>-183.22392714080172</v>
      </c>
      <c r="AD447" s="229">
        <f t="shared" si="167"/>
        <v>-22.65903622747782</v>
      </c>
      <c r="AE447" s="229">
        <f t="shared" si="168"/>
        <v>105.08552469813955</v>
      </c>
      <c r="AF447" s="227">
        <f t="shared" si="157"/>
        <v>-20.923680708707391</v>
      </c>
      <c r="AG447" s="227">
        <f t="shared" si="158"/>
        <v>-78.138402442662169</v>
      </c>
      <c r="AH447" s="229" t="str">
        <f t="shared" si="159"/>
        <v>0.0191626948892669-0.0710915111193328i</v>
      </c>
    </row>
    <row r="448" spans="2:34" x14ac:dyDescent="0.2">
      <c r="I448" s="227">
        <v>444</v>
      </c>
      <c r="J448" s="227">
        <f t="shared" si="147"/>
        <v>5.3290544018918302</v>
      </c>
      <c r="K448" s="227">
        <f t="shared" si="169"/>
        <v>213331.21257218067</v>
      </c>
      <c r="L448" s="227">
        <f t="shared" si="160"/>
        <v>1340399.5403963306</v>
      </c>
      <c r="M448" s="227">
        <f t="shared" si="148"/>
        <v>212354.60798308233</v>
      </c>
      <c r="N448" s="227">
        <f>SQRT((ABS(AC448)-171.5+'Small Signal'!C$59)^2)</f>
        <v>82.469456300716104</v>
      </c>
      <c r="O448" s="227">
        <f t="shared" si="161"/>
        <v>79.20349915127079</v>
      </c>
      <c r="P448" s="227">
        <f t="shared" si="162"/>
        <v>20.983230352283453</v>
      </c>
      <c r="Q448" s="227">
        <f t="shared" si="170"/>
        <v>213331.21257218067</v>
      </c>
      <c r="R448" s="227" t="str">
        <f t="shared" si="149"/>
        <v>0.0878666666666667+6.29987783986275i</v>
      </c>
      <c r="S448" s="227" t="str">
        <f t="shared" si="150"/>
        <v>0.0085-0.0285719825963992i</v>
      </c>
      <c r="T448" s="227" t="str">
        <f t="shared" si="151"/>
        <v>0.00855672356710088-0.0285347790549624i</v>
      </c>
      <c r="U448" s="227" t="str">
        <f t="shared" si="152"/>
        <v>-0.0932951234683977+0.220507258946148i</v>
      </c>
      <c r="V448" s="227">
        <f t="shared" si="163"/>
        <v>-12.416375173650858</v>
      </c>
      <c r="W448" s="227">
        <f t="shared" si="164"/>
        <v>-247.0671081892618</v>
      </c>
      <c r="X448" s="227" t="str">
        <f t="shared" si="153"/>
        <v>0.676371866613213-0.167525190009646i</v>
      </c>
      <c r="Y448" s="227" t="str">
        <f t="shared" si="154"/>
        <v>0.0451511293554978-3.81236167807218i</v>
      </c>
      <c r="Z448" s="227" t="str">
        <f t="shared" si="155"/>
        <v>-0.31668636497871-1.34674795821273i</v>
      </c>
      <c r="AA448" s="227" t="str">
        <f t="shared" si="156"/>
        <v>-1.23547776505327+0.0857312069423899i</v>
      </c>
      <c r="AB448" s="227">
        <f t="shared" si="165"/>
        <v>1.8575603337208788</v>
      </c>
      <c r="AC448" s="227">
        <f t="shared" si="166"/>
        <v>-183.9694563007161</v>
      </c>
      <c r="AD448" s="229">
        <f t="shared" si="167"/>
        <v>-22.840790686004333</v>
      </c>
      <c r="AE448" s="229">
        <f t="shared" si="168"/>
        <v>104.76595714944531</v>
      </c>
      <c r="AF448" s="227">
        <f t="shared" si="157"/>
        <v>-20.983230352283453</v>
      </c>
      <c r="AG448" s="227">
        <f t="shared" si="158"/>
        <v>-79.20349915127079</v>
      </c>
      <c r="AH448" s="229" t="str">
        <f t="shared" si="159"/>
        <v>0.0183772845804471-0.0697229427585285i</v>
      </c>
    </row>
    <row r="449" spans="9:34" x14ac:dyDescent="0.2">
      <c r="I449" s="227">
        <v>445</v>
      </c>
      <c r="J449" s="227">
        <f t="shared" si="147"/>
        <v>5.3388045244186131</v>
      </c>
      <c r="K449" s="227">
        <f t="shared" si="169"/>
        <v>218174.76880093754</v>
      </c>
      <c r="L449" s="227">
        <f t="shared" si="160"/>
        <v>1370832.501727354</v>
      </c>
      <c r="M449" s="227">
        <f t="shared" si="148"/>
        <v>217308.1342282205</v>
      </c>
      <c r="N449" s="227">
        <f>SQRT((ABS(AC449)-171.5+'Small Signal'!C$59)^2)</f>
        <v>83.264128312871179</v>
      </c>
      <c r="O449" s="227">
        <f t="shared" si="161"/>
        <v>80.311591401412201</v>
      </c>
      <c r="P449" s="227">
        <f t="shared" si="162"/>
        <v>21.037966568279948</v>
      </c>
      <c r="Q449" s="227">
        <f t="shared" si="170"/>
        <v>218174.76880093754</v>
      </c>
      <c r="R449" s="227" t="str">
        <f t="shared" si="149"/>
        <v>0.0878666666666667+6.44291275811856i</v>
      </c>
      <c r="S449" s="227" t="str">
        <f t="shared" si="150"/>
        <v>0.0085-0.0279376745825382i</v>
      </c>
      <c r="T449" s="227" t="str">
        <f t="shared" si="151"/>
        <v>0.00855399079555236-0.0279013028010423i</v>
      </c>
      <c r="U449" s="227" t="str">
        <f t="shared" si="152"/>
        <v>-0.0921824851156327+0.2156270069254i</v>
      </c>
      <c r="V449" s="227">
        <f t="shared" si="163"/>
        <v>-12.596956150762724</v>
      </c>
      <c r="W449" s="227">
        <f t="shared" si="164"/>
        <v>-246.85285639816968</v>
      </c>
      <c r="X449" s="227" t="str">
        <f t="shared" si="153"/>
        <v>0.661509477394897-0.171328748184568i</v>
      </c>
      <c r="Y449" s="227" t="str">
        <f t="shared" si="154"/>
        <v>0.0431679331226735-3.72771338556229i</v>
      </c>
      <c r="Z449" s="227" t="str">
        <f t="shared" si="155"/>
        <v>-0.31771788454471-1.28799388185918i</v>
      </c>
      <c r="AA449" s="227" t="str">
        <f t="shared" si="156"/>
        <v>-1.25242882712352+0.104379779879848i</v>
      </c>
      <c r="AB449" s="227">
        <f t="shared" si="165"/>
        <v>1.9851223533725575</v>
      </c>
      <c r="AC449" s="227">
        <f t="shared" si="166"/>
        <v>-184.76412831287118</v>
      </c>
      <c r="AD449" s="229">
        <f t="shared" si="167"/>
        <v>-23.023088921652505</v>
      </c>
      <c r="AE449" s="229">
        <f t="shared" si="168"/>
        <v>104.45253691145898</v>
      </c>
      <c r="AF449" s="227">
        <f t="shared" si="157"/>
        <v>-21.037966568279948</v>
      </c>
      <c r="AG449" s="227">
        <f t="shared" si="158"/>
        <v>-80.311591401412201</v>
      </c>
      <c r="AH449" s="229" t="str">
        <f t="shared" si="159"/>
        <v>0.0176218585120856-0.0683722745004572i</v>
      </c>
    </row>
    <row r="450" spans="9:34" x14ac:dyDescent="0.2">
      <c r="I450" s="227">
        <v>446</v>
      </c>
      <c r="J450" s="227">
        <f t="shared" si="147"/>
        <v>5.3485546469453968</v>
      </c>
      <c r="K450" s="227">
        <f t="shared" si="169"/>
        <v>223128.29504607571</v>
      </c>
      <c r="L450" s="227">
        <f t="shared" si="160"/>
        <v>1401956.4250495345</v>
      </c>
      <c r="M450" s="227">
        <f t="shared" si="148"/>
        <v>222374.12729248701</v>
      </c>
      <c r="N450" s="227">
        <f>SQRT((ABS(AC450)-171.5+'Small Signal'!C$59)^2)</f>
        <v>84.113058760952782</v>
      </c>
      <c r="O450" s="227">
        <f t="shared" si="161"/>
        <v>81.467874753986536</v>
      </c>
      <c r="P450" s="227">
        <f t="shared" si="162"/>
        <v>21.087784947843652</v>
      </c>
      <c r="Q450" s="227">
        <f t="shared" si="170"/>
        <v>223128.29504607571</v>
      </c>
      <c r="R450" s="227" t="str">
        <f t="shared" si="149"/>
        <v>0.0878666666666667+6.58919519773281i</v>
      </c>
      <c r="S450" s="227" t="str">
        <f t="shared" si="150"/>
        <v>0.0085-0.0273174484285932i</v>
      </c>
      <c r="T450" s="227" t="str">
        <f t="shared" si="151"/>
        <v>0.00855137801304434-0.0272818895620615i</v>
      </c>
      <c r="U450" s="227" t="str">
        <f t="shared" si="152"/>
        <v>-0.091118704312863+0.21085411519765i</v>
      </c>
      <c r="V450" s="227">
        <f t="shared" si="163"/>
        <v>-12.776781234353972</v>
      </c>
      <c r="W450" s="227">
        <f t="shared" si="164"/>
        <v>-246.62884862029227</v>
      </c>
      <c r="X450" s="227" t="str">
        <f t="shared" si="153"/>
        <v>0.645964543643246-0.175218663848708i</v>
      </c>
      <c r="Y450" s="227" t="str">
        <f t="shared" si="154"/>
        <v>0.0412718755289327-3.64494513015373i</v>
      </c>
      <c r="Z450" s="227" t="str">
        <f t="shared" si="155"/>
        <v>-0.31870408060464-1.22988959147942i</v>
      </c>
      <c r="AA450" s="227" t="str">
        <f t="shared" si="156"/>
        <v>-1.27004428793389+0.12482118710666i</v>
      </c>
      <c r="AB450" s="227">
        <f t="shared" si="165"/>
        <v>2.1181251633132927</v>
      </c>
      <c r="AC450" s="227">
        <f t="shared" si="166"/>
        <v>-185.61305876095278</v>
      </c>
      <c r="AD450" s="229">
        <f t="shared" si="167"/>
        <v>-23.205910111156946</v>
      </c>
      <c r="AE450" s="229">
        <f t="shared" si="168"/>
        <v>104.14518400696625</v>
      </c>
      <c r="AF450" s="227">
        <f t="shared" si="157"/>
        <v>-21.087784947843652</v>
      </c>
      <c r="AG450" s="227">
        <f t="shared" si="158"/>
        <v>-81.467874753986536</v>
      </c>
      <c r="AH450" s="229" t="str">
        <f t="shared" si="159"/>
        <v>0.016895450463981-0.0670398064805654i</v>
      </c>
    </row>
    <row r="451" spans="9:34" x14ac:dyDescent="0.2">
      <c r="I451" s="227">
        <v>447</v>
      </c>
      <c r="J451" s="227">
        <f t="shared" si="147"/>
        <v>5.3583047694721797</v>
      </c>
      <c r="K451" s="227">
        <f t="shared" si="169"/>
        <v>228194.28811034223</v>
      </c>
      <c r="L451" s="227">
        <f t="shared" si="160"/>
        <v>1433786.9982372075</v>
      </c>
      <c r="M451" s="227">
        <f t="shared" si="148"/>
        <v>227555.14066702873</v>
      </c>
      <c r="N451" s="227">
        <f>SQRT((ABS(AC451)-171.5+'Small Signal'!C$59)^2)</f>
        <v>85.021895700053932</v>
      </c>
      <c r="O451" s="227">
        <f t="shared" si="161"/>
        <v>82.67807863360143</v>
      </c>
      <c r="P451" s="227">
        <f t="shared" si="162"/>
        <v>21.132618712725908</v>
      </c>
      <c r="Q451" s="227">
        <f t="shared" si="170"/>
        <v>228194.28811034223</v>
      </c>
      <c r="R451" s="227" t="str">
        <f t="shared" si="149"/>
        <v>0.0878666666666667+6.73879889171488i</v>
      </c>
      <c r="S451" s="227" t="str">
        <f t="shared" si="150"/>
        <v>0.0085-0.0267109915123456i</v>
      </c>
      <c r="T451" s="227" t="str">
        <f t="shared" si="151"/>
        <v>0.00854887995120838-0.0266762271588919i</v>
      </c>
      <c r="U451" s="227" t="str">
        <f t="shared" si="152"/>
        <v>-0.0901016354876139+0.206186264394736i</v>
      </c>
      <c r="V451" s="227">
        <f t="shared" si="163"/>
        <v>-12.955828057392987</v>
      </c>
      <c r="W451" s="227">
        <f t="shared" si="164"/>
        <v>-246.39508325892297</v>
      </c>
      <c r="X451" s="227" t="str">
        <f t="shared" si="153"/>
        <v>0.629705719991567-0.179196897696658i</v>
      </c>
      <c r="Y451" s="227" t="str">
        <f t="shared" si="154"/>
        <v>0.0394591252847378-3.56401512132763i</v>
      </c>
      <c r="Z451" s="227" t="str">
        <f t="shared" si="155"/>
        <v>-0.319646945939356-1.17240576223643i</v>
      </c>
      <c r="AA451" s="227" t="str">
        <f t="shared" si="156"/>
        <v>-1.28828250513812+0.147279983399721i</v>
      </c>
      <c r="AB451" s="227">
        <f t="shared" si="165"/>
        <v>2.2566153947409351</v>
      </c>
      <c r="AC451" s="227">
        <f t="shared" si="166"/>
        <v>-186.52189570005393</v>
      </c>
      <c r="AD451" s="229">
        <f t="shared" si="167"/>
        <v>-23.389234107466844</v>
      </c>
      <c r="AE451" s="229">
        <f t="shared" si="168"/>
        <v>103.8438170664525</v>
      </c>
      <c r="AF451" s="227">
        <f t="shared" si="157"/>
        <v>-21.132618712725908</v>
      </c>
      <c r="AG451" s="227">
        <f t="shared" si="158"/>
        <v>-82.67807863360143</v>
      </c>
      <c r="AH451" s="229" t="str">
        <f t="shared" si="159"/>
        <v>0.0161971107601763-0.0657257977481165i</v>
      </c>
    </row>
    <row r="452" spans="9:34" x14ac:dyDescent="0.2">
      <c r="I452" s="227">
        <v>448</v>
      </c>
      <c r="J452" s="227">
        <f t="shared" ref="J452:J504" si="171">1+I452*(LOG(fsw)-1)/500</f>
        <v>5.3680548919989635</v>
      </c>
      <c r="K452" s="227">
        <f t="shared" si="169"/>
        <v>233375.30148488394</v>
      </c>
      <c r="L452" s="227">
        <f t="shared" si="160"/>
        <v>1466340.2653484291</v>
      </c>
      <c r="M452" s="227">
        <f t="shared" ref="M452:M504" si="172">SQRT((Fco_target-K453)^2)</f>
        <v>232853.78581846273</v>
      </c>
      <c r="N452" s="227">
        <f>SQRT((ABS(AC452)-171.5+'Small Signal'!C$59)^2)</f>
        <v>85.996870403509831</v>
      </c>
      <c r="O452" s="227">
        <f t="shared" si="161"/>
        <v>83.948516887070596</v>
      </c>
      <c r="P452" s="227">
        <f t="shared" si="162"/>
        <v>21.172450389557941</v>
      </c>
      <c r="Q452" s="227">
        <f t="shared" si="170"/>
        <v>233375.30148488394</v>
      </c>
      <c r="R452" s="227" t="str">
        <f t="shared" ref="R452:R503" si="173">IMSUM(COMPLEX(DCRss,Lss*L452),COMPLEX(Rdsonss,0),COMPLEX(40/3*Risense,0))</f>
        <v>0.0878666666666667+6.89179924713762i</v>
      </c>
      <c r="S452" s="227" t="str">
        <f t="shared" ref="S452:S504" si="174">IMSUM(COMPLEX(ESRss,0),IMDIV(COMPLEX(1,0),COMPLEX(0,L452*Cbulkss)))</f>
        <v>0.0085-0.0261179981518991i</v>
      </c>
      <c r="T452" s="227" t="str">
        <f t="shared" ref="T452:T504" si="175">IMDIV(IMPRODUCT(S452,COMPLEX(Ross,0)),IMSUM(S452,COMPLEX(Ross,0)))</f>
        <v>0.00854649157299088-0.0260840103412803i</v>
      </c>
      <c r="U452" s="227" t="str">
        <f t="shared" ref="U452:U504" si="176">IMPRODUCT(COMPLEX(Vinss,0),COMPLEX(M^2,0),IMDIV(IMSUB(COMPLEX(1,0),IMDIV(IMPRODUCT(R452,COMPLEX(M^2,0)),COMPLEX(Ross,0))),IMSUM(COMPLEX(1,0),IMDIV(IMPRODUCT(R452,COMPLEX(M^2,0)),T452))))</f>
        <v>-0.0891292273042311+0.201621182461953i</v>
      </c>
      <c r="V452" s="227">
        <f t="shared" si="163"/>
        <v>-13.134073377263498</v>
      </c>
      <c r="W452" s="227">
        <f t="shared" si="164"/>
        <v>-246.15156061853514</v>
      </c>
      <c r="X452" s="227" t="str">
        <f t="shared" ref="X452:X504" si="177">IMSUM(COMPLEX(1,L452/(wn*q0)),IMPOWER(COMPLEX(0,L452/wn),2))</f>
        <v>0.612700221559748-0.183265454939396i</v>
      </c>
      <c r="Y452" s="227" t="str">
        <f t="shared" ref="Y452:Y504" si="178">IMPRODUCT(COMPLEX(2*Ioutss*M^2,0),IMDIV(IMSUM(COMPLEX(1,0),IMDIV(COMPLEX(Ross,0),IMPRODUCT(COMPLEX(2,0),S452))),IMSUM(COMPLEX(1,0),IMDIV(IMPRODUCT(R452,COMPLEX(M^2,0)),T452))))</f>
        <v>0.0377260197725689-3.48488249977607i</v>
      </c>
      <c r="Z452" s="227" t="str">
        <f t="shared" ref="Z452:Z504" si="179">IMPRODUCT(COMPLEX(Fm*40/3*Risense,0),Y452,X452)</f>
        <v>-0.32054838559706-1.11551338447991i</v>
      </c>
      <c r="AA452" s="227" t="str">
        <f t="shared" ref="AA452:AA504" si="180">IMDIV(IMPRODUCT(COMPLEX(Fm,0),U452),IMSUM(COMPLEX(1,0),Z452))</f>
        <v>-1.3070772041316+0.172007346681548i</v>
      </c>
      <c r="AB452" s="227">
        <f t="shared" si="165"/>
        <v>2.400591038145957</v>
      </c>
      <c r="AC452" s="227">
        <f t="shared" si="166"/>
        <v>-187.49687040350983</v>
      </c>
      <c r="AD452" s="229">
        <f t="shared" si="167"/>
        <v>-23.573041427703899</v>
      </c>
      <c r="AE452" s="229">
        <f t="shared" si="168"/>
        <v>103.54835351643924</v>
      </c>
      <c r="AF452" s="227">
        <f t="shared" ref="AF452:AF504" si="181">AD452+AB452</f>
        <v>-21.172450389557941</v>
      </c>
      <c r="AG452" s="227">
        <f t="shared" ref="AG452:AG504" si="182">AE452+AC452</f>
        <v>-83.948516887070596</v>
      </c>
      <c r="AH452" s="229" t="str">
        <f t="shared" ref="AH452:AH504" si="183">IMDIV(IMPRODUCT(COMPLEX(gea*Rea*Rslss/(Rslss+Rshss),0),COMPLEX(1,L452*Ccompss*Rcompss),COMPLEX(1,k_3*L452*Cffss*Rshss)),IMPRODUCT(COMPLEX(1,L452*Rea*Ccompss),COMPLEX(1,L452*Rcompss*Chfss),COMPLEX(1,k_3*L452*Rffss*Cffss)))</f>
        <v>0.0155259072908641-0.0644304684184488i</v>
      </c>
    </row>
    <row r="453" spans="9:34" x14ac:dyDescent="0.2">
      <c r="I453" s="227">
        <v>449</v>
      </c>
      <c r="J453" s="227">
        <f t="shared" si="171"/>
        <v>5.3778050145257463</v>
      </c>
      <c r="K453" s="227">
        <f t="shared" si="169"/>
        <v>238673.94663631794</v>
      </c>
      <c r="L453" s="227">
        <f t="shared" ref="L453:L503" si="184">2*PI()*K453</f>
        <v>1499632.6347118774</v>
      </c>
      <c r="M453" s="227">
        <f t="shared" si="172"/>
        <v>238272.73350517862</v>
      </c>
      <c r="N453" s="227">
        <f>SQRT((ABS(AC453)-171.5+'Small Signal'!C$59)^2)</f>
        <v>87.044848274782197</v>
      </c>
      <c r="O453" s="227">
        <f t="shared" ref="O453:O504" si="185">ABS(AG453)</f>
        <v>85.28613851692883</v>
      </c>
      <c r="P453" s="227">
        <f t="shared" ref="P453:P504" si="186">ABS(AF453)</f>
        <v>21.207326318172207</v>
      </c>
      <c r="Q453" s="227">
        <f t="shared" si="170"/>
        <v>238673.94663631794</v>
      </c>
      <c r="R453" s="227" t="str">
        <f t="shared" si="173"/>
        <v>0.0878666666666667+7.04827338314582i</v>
      </c>
      <c r="S453" s="227" t="str">
        <f t="shared" si="174"/>
        <v>0.0085-0.0255381694516029i</v>
      </c>
      <c r="T453" s="227" t="str">
        <f t="shared" si="175"/>
        <v>0.00854420806249719-0.0255049406341312i</v>
      </c>
      <c r="U453" s="227" t="str">
        <f t="shared" si="176"/>
        <v>-0.0881995185236386+0.197156643880228i</v>
      </c>
      <c r="V453" s="227">
        <f t="shared" ref="V453:V504" si="187">20*LOG(IMABS(U453))</f>
        <v>-13.311493080747017</v>
      </c>
      <c r="W453" s="227">
        <f t="shared" ref="W453:W504" si="188">IF(DEGREES(IMARGUMENT(U453))&gt;0,DEGREES(IMARGUMENT(U453))-360, DEGREES(IMARGUMENT(U453)))</f>
        <v>-245.89828319978903</v>
      </c>
      <c r="X453" s="227" t="str">
        <f t="shared" si="177"/>
        <v>0.594913757845646-0.187426386315002i</v>
      </c>
      <c r="Y453" s="227" t="str">
        <f t="shared" si="178"/>
        <v>0.036069057602435-3.4075073165055i</v>
      </c>
      <c r="Z453" s="227" t="str">
        <f t="shared" si="179"/>
        <v>-0.321410220765556-1.0591837489655i</v>
      </c>
      <c r="AA453" s="227" t="str">
        <f t="shared" si="180"/>
        <v>-1.32633021282923+0.199282876360689i</v>
      </c>
      <c r="AB453" s="227">
        <f t="shared" ref="AB453:AB504" si="189">20*LOG(IMABS(AA453))</f>
        <v>2.5499869222768008</v>
      </c>
      <c r="AC453" s="227">
        <f t="shared" ref="AC453:AC504" si="190">IF(DEGREES(IMARGUMENT(AA453))&gt;0,DEGREES(IMARGUMENT(AA453))-360, DEGREES(IMARGUMENT(AA453)))</f>
        <v>-188.5448482747822</v>
      </c>
      <c r="AD453" s="229">
        <f t="shared" ref="AD453:AD504" si="191">20*LOG(IMABS(AH453))</f>
        <v>-23.757313240449008</v>
      </c>
      <c r="AE453" s="229">
        <f t="shared" ref="AE453:AE504" si="192">180+DEGREES(IMARGUMENT(AH453))</f>
        <v>103.25870975785337</v>
      </c>
      <c r="AF453" s="227">
        <f t="shared" si="181"/>
        <v>-21.207326318172207</v>
      </c>
      <c r="AG453" s="227">
        <f t="shared" si="182"/>
        <v>-85.28613851692883</v>
      </c>
      <c r="AH453" s="229" t="str">
        <f t="shared" si="183"/>
        <v>0.0148809263906939-0.0631540017814335i</v>
      </c>
    </row>
    <row r="454" spans="9:34" x14ac:dyDescent="0.2">
      <c r="I454" s="227">
        <v>450</v>
      </c>
      <c r="J454" s="227">
        <f t="shared" si="171"/>
        <v>5.3875551370525301</v>
      </c>
      <c r="K454" s="227">
        <f t="shared" si="169"/>
        <v>244092.89432303383</v>
      </c>
      <c r="L454" s="227">
        <f t="shared" si="184"/>
        <v>1533680.8871974256</v>
      </c>
      <c r="M454" s="227">
        <f t="shared" si="172"/>
        <v>243814.71512352055</v>
      </c>
      <c r="N454" s="227">
        <f>SQRT((ABS(AC454)-171.5+'Small Signal'!C$59)^2)</f>
        <v>88.173377321319549</v>
      </c>
      <c r="O454" s="227">
        <f t="shared" si="185"/>
        <v>86.698575986673646</v>
      </c>
      <c r="P454" s="227">
        <f t="shared" si="186"/>
        <v>21.237374588918883</v>
      </c>
      <c r="Q454" s="227">
        <f t="shared" si="170"/>
        <v>244092.89432303383</v>
      </c>
      <c r="R454" s="227" t="str">
        <f t="shared" si="173"/>
        <v>0.0878666666666667+7.2083001698279i</v>
      </c>
      <c r="S454" s="227" t="str">
        <f t="shared" si="174"/>
        <v>0.0085-0.0249712131513937i</v>
      </c>
      <c r="T454" s="227" t="str">
        <f t="shared" si="175"/>
        <v>0.00854202481528165-0.0249387261871925i</v>
      </c>
      <c r="U454" s="227" t="str">
        <f t="shared" si="176"/>
        <v>-0.0873106340450889+0.192790468887751i</v>
      </c>
      <c r="V454" s="227">
        <f t="shared" si="187"/>
        <v>-13.48806219076986</v>
      </c>
      <c r="W454" s="227">
        <f t="shared" si="188"/>
        <v>-245.63525600465698</v>
      </c>
      <c r="X454" s="227" t="str">
        <f t="shared" si="177"/>
        <v>0.576310463580474-0.191681789122326i</v>
      </c>
      <c r="Y454" s="227" t="str">
        <f t="shared" si="178"/>
        <v>0.0344848914974577-3.3318505124178i</v>
      </c>
      <c r="Z454" s="227" t="str">
        <f t="shared" si="179"/>
        <v>-0.322234192472734-1.00338843223522i</v>
      </c>
      <c r="AA454" s="227" t="str">
        <f t="shared" si="180"/>
        <v>-1.34590240333784+0.229415711506553i</v>
      </c>
      <c r="AB454" s="227">
        <f t="shared" si="189"/>
        <v>2.7046567635384893</v>
      </c>
      <c r="AC454" s="227">
        <f t="shared" si="190"/>
        <v>-189.67337732131955</v>
      </c>
      <c r="AD454" s="229">
        <f t="shared" si="191"/>
        <v>-23.94203135245737</v>
      </c>
      <c r="AE454" s="229">
        <f t="shared" si="192"/>
        <v>102.9748013346459</v>
      </c>
      <c r="AF454" s="227">
        <f t="shared" si="181"/>
        <v>-21.237374588918883</v>
      </c>
      <c r="AG454" s="227">
        <f t="shared" si="182"/>
        <v>-86.698575986673646</v>
      </c>
      <c r="AH454" s="229" t="str">
        <f t="shared" si="183"/>
        <v>0.0142612735830048-0.0618965463605436i</v>
      </c>
    </row>
    <row r="455" spans="9:34" x14ac:dyDescent="0.2">
      <c r="I455" s="227">
        <v>451</v>
      </c>
      <c r="J455" s="227">
        <f t="shared" si="171"/>
        <v>5.397305259579313</v>
      </c>
      <c r="K455" s="227">
        <f t="shared" si="169"/>
        <v>249634.87594137577</v>
      </c>
      <c r="L455" s="227">
        <f t="shared" si="184"/>
        <v>1568502.1846744509</v>
      </c>
      <c r="M455" s="227">
        <f t="shared" si="172"/>
        <v>249482.52408453595</v>
      </c>
      <c r="N455" s="227">
        <f>SQRT((ABS(AC455)-171.5+'Small Signal'!C$59)^2)</f>
        <v>89.390730249278477</v>
      </c>
      <c r="O455" s="227">
        <f t="shared" si="185"/>
        <v>88.194187156376699</v>
      </c>
      <c r="P455" s="227">
        <f t="shared" si="186"/>
        <v>21.262827081775832</v>
      </c>
      <c r="Q455" s="227">
        <f t="shared" si="170"/>
        <v>249634.87594137577</v>
      </c>
      <c r="R455" s="227" t="str">
        <f t="shared" si="173"/>
        <v>0.0878666666666667+7.37196026796992i</v>
      </c>
      <c r="S455" s="227" t="str">
        <f t="shared" si="174"/>
        <v>0.0085-0.0244168434794845i</v>
      </c>
      <c r="T455" s="227" t="str">
        <f t="shared" si="175"/>
        <v>0.00853993742906387-0.0243850816280744i</v>
      </c>
      <c r="U455" s="227" t="str">
        <f t="shared" si="176"/>
        <v>-0.0864607811219195+0.188520522702263i</v>
      </c>
      <c r="V455" s="227">
        <f t="shared" si="187"/>
        <v>-13.66375487508588</v>
      </c>
      <c r="W455" s="227">
        <f t="shared" si="188"/>
        <v>-245.36248685122888</v>
      </c>
      <c r="X455" s="227" t="str">
        <f t="shared" si="177"/>
        <v>0.556852826408775-0.196033808278119i</v>
      </c>
      <c r="Y455" s="227" t="str">
        <f t="shared" si="178"/>
        <v>0.0329703214949772-3.25787389835893i</v>
      </c>
      <c r="Z455" s="227" t="str">
        <f t="shared" si="179"/>
        <v>-0.323021965123013-0.948099282152082i</v>
      </c>
      <c r="AA455" s="227" t="str">
        <f t="shared" si="180"/>
        <v>-1.36560251601534+0.262744471332541i</v>
      </c>
      <c r="AB455" s="227">
        <f t="shared" si="189"/>
        <v>2.8643511131153754</v>
      </c>
      <c r="AC455" s="227">
        <f t="shared" si="190"/>
        <v>-190.89073024927848</v>
      </c>
      <c r="AD455" s="229">
        <f t="shared" si="191"/>
        <v>-24.127178194891208</v>
      </c>
      <c r="AE455" s="229">
        <f t="shared" si="192"/>
        <v>102.69654309290178</v>
      </c>
      <c r="AF455" s="227">
        <f t="shared" si="181"/>
        <v>-21.262827081775832</v>
      </c>
      <c r="AG455" s="227">
        <f t="shared" si="182"/>
        <v>-88.194187156376699</v>
      </c>
      <c r="AH455" s="229" t="str">
        <f t="shared" si="183"/>
        <v>0.0136660741993093-0.0606582179178662i</v>
      </c>
    </row>
    <row r="456" spans="9:34" x14ac:dyDescent="0.2">
      <c r="I456" s="227">
        <v>452</v>
      </c>
      <c r="J456" s="227">
        <f t="shared" si="171"/>
        <v>5.4070553821060967</v>
      </c>
      <c r="K456" s="227">
        <f t="shared" si="169"/>
        <v>255302.68490239116</v>
      </c>
      <c r="L456" s="227">
        <f t="shared" si="184"/>
        <v>1604114.0786622036</v>
      </c>
      <c r="M456" s="227">
        <f t="shared" si="172"/>
        <v>255279.01722197983</v>
      </c>
      <c r="N456" s="227">
        <f>SQRT((ABS(AC456)-171.5+'Small Signal'!C$59)^2)</f>
        <v>90.705934403211501</v>
      </c>
      <c r="O456" s="227">
        <f t="shared" si="185"/>
        <v>89.78208507250632</v>
      </c>
      <c r="P456" s="227">
        <f t="shared" si="186"/>
        <v>21.284046336364284</v>
      </c>
      <c r="Q456" s="227">
        <f t="shared" si="170"/>
        <v>255302.68490239116</v>
      </c>
      <c r="R456" s="227" t="str">
        <f t="shared" si="173"/>
        <v>0.0878666666666667+7.53933616971236i</v>
      </c>
      <c r="S456" s="227" t="str">
        <f t="shared" si="174"/>
        <v>0.0085-0.0238747810083215i</v>
      </c>
      <c r="T456" s="227" t="str">
        <f t="shared" si="175"/>
        <v>0.00853794169485258-0.0238437279185238i</v>
      </c>
      <c r="U456" s="227" t="str">
        <f t="shared" si="176"/>
        <v>-0.085648245743635+0.18434471474505i</v>
      </c>
      <c r="V456" s="227">
        <f t="shared" si="187"/>
        <v>-13.838544457071984</v>
      </c>
      <c r="W456" s="227">
        <f t="shared" si="188"/>
        <v>-245.07998669767613</v>
      </c>
      <c r="X456" s="227" t="str">
        <f t="shared" si="177"/>
        <v>0.536501611247149-0.200484637398172i</v>
      </c>
      <c r="Y456" s="227" t="str">
        <f t="shared" si="178"/>
        <v>0.0315222884488215-3.18554013562279i</v>
      </c>
      <c r="Z456" s="227" t="str">
        <f t="shared" si="179"/>
        <v>-0.323775129877081-0.893288403580083i</v>
      </c>
      <c r="AA456" s="227" t="str">
        <f t="shared" si="180"/>
        <v>-1.38517355869647+0.299635303164443i</v>
      </c>
      <c r="AB456" s="227">
        <f t="shared" si="189"/>
        <v>3.0286904727932646</v>
      </c>
      <c r="AC456" s="227">
        <f t="shared" si="190"/>
        <v>-192.2059344032115</v>
      </c>
      <c r="AD456" s="229">
        <f t="shared" si="191"/>
        <v>-24.312736809157549</v>
      </c>
      <c r="AE456" s="229">
        <f t="shared" si="192"/>
        <v>102.42384933070518</v>
      </c>
      <c r="AF456" s="227">
        <f t="shared" si="181"/>
        <v>-21.284046336364284</v>
      </c>
      <c r="AG456" s="227">
        <f t="shared" si="182"/>
        <v>-89.78208507250632</v>
      </c>
      <c r="AH456" s="229" t="str">
        <f t="shared" si="183"/>
        <v>0.0130944738830942-0.0594391014011836i</v>
      </c>
    </row>
    <row r="457" spans="9:34" x14ac:dyDescent="0.2">
      <c r="I457" s="227">
        <v>453</v>
      </c>
      <c r="J457" s="227">
        <f t="shared" si="171"/>
        <v>5.4168055046328796</v>
      </c>
      <c r="K457" s="227">
        <f t="shared" si="169"/>
        <v>261099.17803983504</v>
      </c>
      <c r="L457" s="227">
        <f t="shared" si="184"/>
        <v>1640534.5191765584</v>
      </c>
      <c r="M457" s="227">
        <f t="shared" si="172"/>
        <v>261207.11623229389</v>
      </c>
      <c r="N457" s="227">
        <f>SQRT((ABS(AC457)-171.5+'Small Signal'!C$59)^2)</f>
        <v>92.128781316933015</v>
      </c>
      <c r="O457" s="227">
        <f t="shared" si="185"/>
        <v>91.472147377896988</v>
      </c>
      <c r="P457" s="227">
        <f t="shared" si="186"/>
        <v>21.301557989950528</v>
      </c>
      <c r="Q457" s="227">
        <f t="shared" si="170"/>
        <v>261099.17803983504</v>
      </c>
      <c r="R457" s="227" t="str">
        <f t="shared" si="173"/>
        <v>0.0878666666666667+7.71051224012982i</v>
      </c>
      <c r="S457" s="227" t="str">
        <f t="shared" si="174"/>
        <v>0.0085-0.0233447525137408i</v>
      </c>
      <c r="T457" s="227" t="str">
        <f t="shared" si="175"/>
        <v>0.00853603358845924-0.0233143922138846i</v>
      </c>
      <c r="U457" s="227" t="str">
        <f t="shared" si="176"/>
        <v>-0.084871389177021+0.180260997867649i</v>
      </c>
      <c r="V457" s="227">
        <f t="shared" si="187"/>
        <v>-14.012403428813489</v>
      </c>
      <c r="W457" s="227">
        <f t="shared" si="188"/>
        <v>-244.78776997474927</v>
      </c>
      <c r="X457" s="227" t="str">
        <f t="shared" si="177"/>
        <v>0.515215781169227-0.205036519902994i</v>
      </c>
      <c r="Y457" s="227" t="str">
        <f t="shared" si="178"/>
        <v>0.0301378678194899-3.11481271689971i</v>
      </c>
      <c r="Z457" s="227" t="str">
        <f t="shared" si="179"/>
        <v>-0.32449520788187-0.838928144202374i</v>
      </c>
      <c r="AA457" s="227" t="str">
        <f t="shared" si="180"/>
        <v>-1.40427655584976+0.340477038484555i</v>
      </c>
      <c r="AB457" s="227">
        <f t="shared" si="189"/>
        <v>3.1971328424765524</v>
      </c>
      <c r="AC457" s="227">
        <f t="shared" si="190"/>
        <v>-193.62878131693301</v>
      </c>
      <c r="AD457" s="229">
        <f t="shared" si="191"/>
        <v>-24.49869083242708</v>
      </c>
      <c r="AE457" s="229">
        <f t="shared" si="192"/>
        <v>102.15663393903603</v>
      </c>
      <c r="AF457" s="227">
        <f t="shared" si="181"/>
        <v>-21.301557989950528</v>
      </c>
      <c r="AG457" s="227">
        <f t="shared" si="182"/>
        <v>-91.472147377896988</v>
      </c>
      <c r="AH457" s="229" t="str">
        <f t="shared" si="183"/>
        <v>0.0125456389867167-0.0582392528300393i</v>
      </c>
    </row>
    <row r="458" spans="9:34" x14ac:dyDescent="0.2">
      <c r="I458" s="227">
        <v>454</v>
      </c>
      <c r="J458" s="227">
        <f t="shared" si="171"/>
        <v>5.4265556271596633</v>
      </c>
      <c r="K458" s="227">
        <f t="shared" si="169"/>
        <v>267027.2770501491</v>
      </c>
      <c r="L458" s="227">
        <f t="shared" si="184"/>
        <v>1677781.8637776696</v>
      </c>
      <c r="M458" s="227">
        <f t="shared" si="172"/>
        <v>267269.80914726865</v>
      </c>
      <c r="N458" s="227">
        <f>SQRT((ABS(AC458)-171.5+'Small Signal'!C$59)^2)</f>
        <v>93.669804443582649</v>
      </c>
      <c r="O458" s="227">
        <f t="shared" si="185"/>
        <v>93.274993909593192</v>
      </c>
      <c r="P458" s="227">
        <f t="shared" si="186"/>
        <v>21.316089437373758</v>
      </c>
      <c r="Q458" s="227">
        <f t="shared" si="170"/>
        <v>267027.2770501491</v>
      </c>
      <c r="R458" s="227" t="str">
        <f t="shared" si="173"/>
        <v>0.0878666666666667+7.88557475975505i</v>
      </c>
      <c r="S458" s="227" t="str">
        <f t="shared" si="174"/>
        <v>0.0085-0.0228264908372502i</v>
      </c>
      <c r="T458" s="227" t="str">
        <f t="shared" si="175"/>
        <v>0.00853420926238415-0.0227968077256725i</v>
      </c>
      <c r="U458" s="227" t="str">
        <f t="shared" si="176"/>
        <v>-0.0841286446592681+0.17626736758212i</v>
      </c>
      <c r="V458" s="227">
        <f t="shared" si="187"/>
        <v>-14.185303466660812</v>
      </c>
      <c r="W458" s="227">
        <f t="shared" si="188"/>
        <v>-244.48585492608598</v>
      </c>
      <c r="X458" s="227" t="str">
        <f t="shared" si="177"/>
        <v>0.4929524146573-0.209691750148605i</v>
      </c>
      <c r="Y458" s="227" t="str">
        <f t="shared" si="178"/>
        <v>0.0288142637392804-3.04565594765937i</v>
      </c>
      <c r="Z458" s="227" t="str">
        <f t="shared" si="179"/>
        <v>-0.325183653357577-0.78499108046963i</v>
      </c>
      <c r="AA458" s="227" t="str">
        <f t="shared" si="180"/>
        <v>-1.4224716150302+0.385672101751445i</v>
      </c>
      <c r="AB458" s="227">
        <f t="shared" si="189"/>
        <v>3.3689350455349221</v>
      </c>
      <c r="AC458" s="227">
        <f t="shared" si="190"/>
        <v>-195.16980444358265</v>
      </c>
      <c r="AD458" s="229">
        <f t="shared" si="191"/>
        <v>-24.68502448290868</v>
      </c>
      <c r="AE458" s="229">
        <f t="shared" si="192"/>
        <v>101.89481053398946</v>
      </c>
      <c r="AF458" s="227">
        <f t="shared" si="181"/>
        <v>-21.316089437373758</v>
      </c>
      <c r="AG458" s="227">
        <f t="shared" si="182"/>
        <v>-93.274993909593192</v>
      </c>
      <c r="AH458" s="229" t="str">
        <f t="shared" si="183"/>
        <v>0.0120187568698464-0.0570587011183603i</v>
      </c>
    </row>
    <row r="459" spans="9:34" x14ac:dyDescent="0.2">
      <c r="I459" s="227">
        <v>455</v>
      </c>
      <c r="J459" s="227">
        <f t="shared" si="171"/>
        <v>5.4363057496864471</v>
      </c>
      <c r="K459" s="227">
        <f t="shared" si="169"/>
        <v>273089.96996512386</v>
      </c>
      <c r="L459" s="227">
        <f t="shared" si="184"/>
        <v>1715874.8868229808</v>
      </c>
      <c r="M459" s="227">
        <f t="shared" si="172"/>
        <v>273470.15184015024</v>
      </c>
      <c r="N459" s="227">
        <f>SQRT((ABS(AC459)-171.5+'Small Signal'!C$59)^2)</f>
        <v>95.340209628556579</v>
      </c>
      <c r="O459" s="227">
        <f t="shared" si="185"/>
        <v>95.201917047936121</v>
      </c>
      <c r="P459" s="227">
        <f t="shared" si="186"/>
        <v>21.328615127882244</v>
      </c>
      <c r="Q459" s="227">
        <f t="shared" si="170"/>
        <v>273089.96996512386</v>
      </c>
      <c r="R459" s="227" t="str">
        <f t="shared" si="173"/>
        <v>0.0878666666666667+8.06461196806801i</v>
      </c>
      <c r="S459" s="227" t="str">
        <f t="shared" si="174"/>
        <v>0.0085-0.0223197347513697i</v>
      </c>
      <c r="T459" s="227" t="str">
        <f t="shared" si="175"/>
        <v>0.00853246503805883-0.0222907135871955i</v>
      </c>
      <c r="U459" s="227" t="str">
        <f t="shared" si="176"/>
        <v>-0.0834185142364398+0.172361861295727i</v>
      </c>
      <c r="V459" s="227">
        <f t="shared" si="187"/>
        <v>-14.357215449435863</v>
      </c>
      <c r="W459" s="227">
        <f t="shared" si="188"/>
        <v>-244.17426395549171</v>
      </c>
      <c r="X459" s="227" t="str">
        <f t="shared" si="177"/>
        <v>0.469666619053851-0.214452674582987i</v>
      </c>
      <c r="Y459" s="227" t="str">
        <f t="shared" si="178"/>
        <v>0.0275488033401433-2.97803492795688i</v>
      </c>
      <c r="Z459" s="227" t="str">
        <f t="shared" si="179"/>
        <v>-0.325841856547942-0.731450003671094i</v>
      </c>
      <c r="AA459" s="227" t="str">
        <f t="shared" si="180"/>
        <v>-1.43919664758044+0.43562140149682i</v>
      </c>
      <c r="AB459" s="227">
        <f t="shared" si="189"/>
        <v>3.5431074170625325</v>
      </c>
      <c r="AC459" s="227">
        <f t="shared" si="190"/>
        <v>-196.84020962855658</v>
      </c>
      <c r="AD459" s="229">
        <f t="shared" si="191"/>
        <v>-24.871722544944777</v>
      </c>
      <c r="AE459" s="229">
        <f t="shared" si="192"/>
        <v>101.63829258062046</v>
      </c>
      <c r="AF459" s="227">
        <f t="shared" si="181"/>
        <v>-21.328615127882244</v>
      </c>
      <c r="AG459" s="227">
        <f t="shared" si="182"/>
        <v>-95.201917047936121</v>
      </c>
      <c r="AH459" s="229" t="str">
        <f t="shared" si="183"/>
        <v>0.0115130361075646-0.0558974498318546i</v>
      </c>
    </row>
    <row r="460" spans="9:34" x14ac:dyDescent="0.2">
      <c r="I460" s="227">
        <v>456</v>
      </c>
      <c r="J460" s="227">
        <f t="shared" si="171"/>
        <v>5.44605587221323</v>
      </c>
      <c r="K460" s="227">
        <f t="shared" si="169"/>
        <v>279290.31265800545</v>
      </c>
      <c r="L460" s="227">
        <f t="shared" si="184"/>
        <v>1754832.7889303726</v>
      </c>
      <c r="M460" s="227">
        <f t="shared" si="172"/>
        <v>279811.2695659431</v>
      </c>
      <c r="N460" s="227">
        <f>SQRT((ABS(AC460)-171.5+'Small Signal'!C$59)^2)</f>
        <v>97.151738143479633</v>
      </c>
      <c r="O460" s="227">
        <f t="shared" si="185"/>
        <v>97.26474463476076</v>
      </c>
      <c r="P460" s="227">
        <f t="shared" si="186"/>
        <v>21.340408426516237</v>
      </c>
      <c r="Q460" s="227">
        <f t="shared" si="170"/>
        <v>279290.31265800545</v>
      </c>
      <c r="R460" s="227" t="str">
        <f t="shared" si="173"/>
        <v>0.0878666666666667+8.24771410797275i</v>
      </c>
      <c r="S460" s="227" t="str">
        <f t="shared" si="174"/>
        <v>0.0085-0.021824228827961i</v>
      </c>
      <c r="T460" s="227" t="str">
        <f t="shared" si="175"/>
        <v>0.00853079739842898-0.0217958547221547i</v>
      </c>
      <c r="U460" s="227" t="str">
        <f t="shared" si="176"/>
        <v>-0.0827395657408808+0.168542557550747i</v>
      </c>
      <c r="V460" s="227">
        <f t="shared" si="187"/>
        <v>-14.528109479467382</v>
      </c>
      <c r="W460" s="227">
        <f t="shared" si="188"/>
        <v>-243.85302398024294</v>
      </c>
      <c r="X460" s="227" t="str">
        <f t="shared" si="177"/>
        <v>0.445311440038355-0.219321692928807i</v>
      </c>
      <c r="Y460" s="227" t="str">
        <f t="shared" si="178"/>
        <v>0.0263389313324353-2.911915534653i</v>
      </c>
      <c r="Z460" s="227" t="str">
        <f t="shared" si="179"/>
        <v>-0.326471146540091-0.678277906120834i</v>
      </c>
      <c r="AA460" s="227" t="str">
        <f t="shared" si="180"/>
        <v>-1.45374471591664+0.490701003183654i</v>
      </c>
      <c r="AB460" s="227">
        <f t="shared" si="189"/>
        <v>3.7183619274730373</v>
      </c>
      <c r="AC460" s="227">
        <f t="shared" si="190"/>
        <v>-198.65173814347963</v>
      </c>
      <c r="AD460" s="229">
        <f t="shared" si="191"/>
        <v>-25.058770353989274</v>
      </c>
      <c r="AE460" s="229">
        <f t="shared" si="192"/>
        <v>101.38699350871887</v>
      </c>
      <c r="AF460" s="227">
        <f t="shared" si="181"/>
        <v>-21.340408426516237</v>
      </c>
      <c r="AG460" s="227">
        <f t="shared" si="182"/>
        <v>-97.26474463476076</v>
      </c>
      <c r="AH460" s="229" t="str">
        <f t="shared" si="183"/>
        <v>0.0110277066158609-0.0547554788789481i</v>
      </c>
    </row>
    <row r="461" spans="9:34" x14ac:dyDescent="0.2">
      <c r="I461" s="227">
        <v>457</v>
      </c>
      <c r="J461" s="227">
        <f t="shared" si="171"/>
        <v>5.4558059947400146</v>
      </c>
      <c r="K461" s="227">
        <f t="shared" si="169"/>
        <v>285631.43038379832</v>
      </c>
      <c r="L461" s="227">
        <f t="shared" si="184"/>
        <v>1794675.2066561705</v>
      </c>
      <c r="M461" s="227">
        <f t="shared" si="172"/>
        <v>286296.35853667249</v>
      </c>
      <c r="N461" s="227">
        <f>SQRT((ABS(AC461)-171.5+'Small Signal'!C$59)^2)</f>
        <v>99.116436941812452</v>
      </c>
      <c r="O461" s="227">
        <f t="shared" si="185"/>
        <v>99.475610120983987</v>
      </c>
      <c r="P461" s="227">
        <f t="shared" si="186"/>
        <v>21.353099108592364</v>
      </c>
      <c r="Q461" s="227">
        <f t="shared" si="170"/>
        <v>285631.43038379832</v>
      </c>
      <c r="R461" s="227" t="str">
        <f t="shared" si="173"/>
        <v>0.0878666666666667+8.434973471284i</v>
      </c>
      <c r="S461" s="227" t="str">
        <f t="shared" si="174"/>
        <v>0.0085-0.0213397233094794i</v>
      </c>
      <c r="T461" s="227" t="str">
        <f t="shared" si="175"/>
        <v>0.00852920298086305-0.0213119817161548i</v>
      </c>
      <c r="U461" s="227" t="str">
        <f t="shared" si="176"/>
        <v>-0.0820904299014478+0.164807575270052i</v>
      </c>
      <c r="V461" s="227">
        <f t="shared" si="187"/>
        <v>-14.697954906631974</v>
      </c>
      <c r="W461" s="227">
        <f t="shared" si="188"/>
        <v>-243.52216678933738</v>
      </c>
      <c r="X461" s="227" t="str">
        <f t="shared" si="177"/>
        <v>0.419837766946882-0.224301259392986i</v>
      </c>
      <c r="Y461" s="227" t="str">
        <f t="shared" si="178"/>
        <v>0.0251822048235805-2.84726440403763i</v>
      </c>
      <c r="Z461" s="227" t="str">
        <f t="shared" si="179"/>
        <v>-0.327072793959539-0.625447967451678i</v>
      </c>
      <c r="AA461" s="227" t="str">
        <f t="shared" si="180"/>
        <v>-1.46524198636593+0.551228040981558i</v>
      </c>
      <c r="AB461" s="227">
        <f t="shared" si="189"/>
        <v>3.893054672931719</v>
      </c>
      <c r="AC461" s="227">
        <f t="shared" si="190"/>
        <v>-200.61643694181245</v>
      </c>
      <c r="AD461" s="229">
        <f t="shared" si="191"/>
        <v>-25.246153781524082</v>
      </c>
      <c r="AE461" s="229">
        <f t="shared" si="192"/>
        <v>101.14082682082847</v>
      </c>
      <c r="AF461" s="227">
        <f t="shared" si="181"/>
        <v>-21.353099108592364</v>
      </c>
      <c r="AG461" s="227">
        <f t="shared" si="182"/>
        <v>-99.475610120983987</v>
      </c>
      <c r="AH461" s="229" t="str">
        <f t="shared" si="183"/>
        <v>0.010562019701897-0.0536327461345306i</v>
      </c>
    </row>
    <row r="462" spans="9:34" x14ac:dyDescent="0.2">
      <c r="I462" s="227">
        <v>458</v>
      </c>
      <c r="J462" s="227">
        <f t="shared" si="171"/>
        <v>5.4655561172667975</v>
      </c>
      <c r="K462" s="227">
        <f t="shared" si="169"/>
        <v>292116.5193545277</v>
      </c>
      <c r="L462" s="227">
        <f t="shared" si="184"/>
        <v>1835422.2223928096</v>
      </c>
      <c r="M462" s="227">
        <f t="shared" si="172"/>
        <v>292928.68753242964</v>
      </c>
      <c r="N462" s="227">
        <f>SQRT((ABS(AC462)-171.5+'Small Signal'!C$59)^2)</f>
        <v>101.24630602230448</v>
      </c>
      <c r="O462" s="227">
        <f t="shared" si="185"/>
        <v>101.8465998294791</v>
      </c>
      <c r="P462" s="227">
        <f t="shared" si="186"/>
        <v>21.368734176923038</v>
      </c>
      <c r="Q462" s="227">
        <f t="shared" si="170"/>
        <v>292116.5193545277</v>
      </c>
      <c r="R462" s="227" t="str">
        <f t="shared" si="173"/>
        <v>0.0878666666666667+8.6264844452462i</v>
      </c>
      <c r="S462" s="227" t="str">
        <f t="shared" si="174"/>
        <v>0.0085-0.0208659739830856i</v>
      </c>
      <c r="T462" s="227" t="str">
        <f t="shared" si="175"/>
        <v>0.00852767857037219-0.0208388506910672i</v>
      </c>
      <c r="U462" s="227" t="str">
        <f t="shared" si="176"/>
        <v>-0.081469797580743+0.161155073009096i</v>
      </c>
      <c r="V462" s="227">
        <f t="shared" si="187"/>
        <v>-14.866720355570045</v>
      </c>
      <c r="W462" s="227">
        <f t="shared" si="188"/>
        <v>-243.18172940549056</v>
      </c>
      <c r="X462" s="227" t="str">
        <f t="shared" si="177"/>
        <v>0.393194233743615-0.229393883903725i</v>
      </c>
      <c r="Y462" s="227" t="str">
        <f t="shared" si="178"/>
        <v>0.0240762883657798-2.78404891484804i</v>
      </c>
      <c r="Z462" s="227" t="str">
        <f t="shared" si="179"/>
        <v>-0.32764801354609-0.572933541009769i</v>
      </c>
      <c r="AA462" s="227" t="str">
        <f t="shared" si="180"/>
        <v>-1.47262974341102+0.617413266019099i</v>
      </c>
      <c r="AB462" s="227">
        <f t="shared" si="189"/>
        <v>4.0651250430404815</v>
      </c>
      <c r="AC462" s="227">
        <f t="shared" si="190"/>
        <v>-202.74630602230448</v>
      </c>
      <c r="AD462" s="229">
        <f t="shared" si="191"/>
        <v>-25.433859219963519</v>
      </c>
      <c r="AE462" s="229">
        <f t="shared" si="192"/>
        <v>100.89970619282538</v>
      </c>
      <c r="AF462" s="227">
        <f t="shared" si="181"/>
        <v>-21.368734176923038</v>
      </c>
      <c r="AG462" s="227">
        <f t="shared" si="182"/>
        <v>-101.8465998294791</v>
      </c>
      <c r="AH462" s="229" t="str">
        <f t="shared" si="183"/>
        <v>0.010115248046027-0.0525291889962369i</v>
      </c>
    </row>
    <row r="463" spans="9:34" x14ac:dyDescent="0.2">
      <c r="I463" s="227">
        <v>459</v>
      </c>
      <c r="J463" s="227">
        <f t="shared" si="171"/>
        <v>5.4753062397935812</v>
      </c>
      <c r="K463" s="227">
        <f t="shared" si="169"/>
        <v>298748.84835028485</v>
      </c>
      <c r="L463" s="227">
        <f t="shared" si="184"/>
        <v>1877094.3744913321</v>
      </c>
      <c r="M463" s="227">
        <f t="shared" si="172"/>
        <v>299711.59954897879</v>
      </c>
      <c r="N463" s="227">
        <f>SQRT((ABS(AC463)-171.5+'Small Signal'!C$59)^2)</f>
        <v>103.55278992645776</v>
      </c>
      <c r="O463" s="227">
        <f t="shared" si="185"/>
        <v>104.38924435908939</v>
      </c>
      <c r="P463" s="227">
        <f t="shared" si="186"/>
        <v>21.389837645327169</v>
      </c>
      <c r="Q463" s="227">
        <f t="shared" si="170"/>
        <v>298748.84835028485</v>
      </c>
      <c r="R463" s="227" t="str">
        <f t="shared" si="173"/>
        <v>0.0878666666666667+8.82234356010926i</v>
      </c>
      <c r="S463" s="227" t="str">
        <f t="shared" si="174"/>
        <v>0.0085-0.0204027420575504i</v>
      </c>
      <c r="T463" s="227" t="str">
        <f t="shared" si="175"/>
        <v>0.00852622109312786-0.0203762231821746i</v>
      </c>
      <c r="U463" s="227" t="str">
        <f t="shared" si="176"/>
        <v>-0.0808764171337377+0.157583248214809i</v>
      </c>
      <c r="V463" s="227">
        <f t="shared" si="187"/>
        <v>-15.0343737562433</v>
      </c>
      <c r="W463" s="227">
        <f t="shared" si="188"/>
        <v>-242.83175444954969</v>
      </c>
      <c r="X463" s="227" t="str">
        <f t="shared" si="177"/>
        <v>0.365327115444469-0.234602133375634i</v>
      </c>
      <c r="Y463" s="227" t="str">
        <f t="shared" si="178"/>
        <v>0.0230189492226544-2.72223717167173i</v>
      </c>
      <c r="Z463" s="227" t="str">
        <f t="shared" si="179"/>
        <v>-0.328197966615851-0.52070814034212i</v>
      </c>
      <c r="AA463" s="227" t="str">
        <f t="shared" si="180"/>
        <v>-1.47465590575731+0.689298176045688i</v>
      </c>
      <c r="AB463" s="227">
        <f t="shared" si="189"/>
        <v>4.232035922267201</v>
      </c>
      <c r="AC463" s="227">
        <f t="shared" si="190"/>
        <v>-205.05278992645776</v>
      </c>
      <c r="AD463" s="229">
        <f t="shared" si="191"/>
        <v>-25.621873567594371</v>
      </c>
      <c r="AE463" s="229">
        <f t="shared" si="192"/>
        <v>100.66354556736837</v>
      </c>
      <c r="AF463" s="227">
        <f t="shared" si="181"/>
        <v>-21.389837645327169</v>
      </c>
      <c r="AG463" s="227">
        <f t="shared" si="182"/>
        <v>-104.38924435908939</v>
      </c>
      <c r="AH463" s="229" t="str">
        <f t="shared" si="183"/>
        <v>0.00968668562217121-0.0514447258733632i</v>
      </c>
    </row>
    <row r="464" spans="9:34" x14ac:dyDescent="0.2">
      <c r="I464" s="227">
        <v>460</v>
      </c>
      <c r="J464" s="227">
        <f t="shared" si="171"/>
        <v>5.4850563623203641</v>
      </c>
      <c r="K464" s="227">
        <f t="shared" si="169"/>
        <v>305531.760366834</v>
      </c>
      <c r="L464" s="227">
        <f t="shared" si="184"/>
        <v>1919712.6676136057</v>
      </c>
      <c r="M464" s="227">
        <f t="shared" si="172"/>
        <v>306648.51348278596</v>
      </c>
      <c r="N464" s="227">
        <f>SQRT((ABS(AC464)-171.5+'Small Signal'!C$59)^2)</f>
        <v>106.04608200267694</v>
      </c>
      <c r="O464" s="227">
        <f t="shared" si="185"/>
        <v>107.11382276213953</v>
      </c>
      <c r="P464" s="227">
        <f t="shared" si="186"/>
        <v>21.419462132451372</v>
      </c>
      <c r="Q464" s="227">
        <f t="shared" si="170"/>
        <v>305531.760366834</v>
      </c>
      <c r="R464" s="227" t="str">
        <f t="shared" si="173"/>
        <v>0.0878666666666667+9.02264953778395i</v>
      </c>
      <c r="S464" s="227" t="str">
        <f t="shared" si="174"/>
        <v>0.0085-0.0199497940428937i</v>
      </c>
      <c r="T464" s="227" t="str">
        <f t="shared" si="175"/>
        <v>0.008524827610264-0.0199238660180428i</v>
      </c>
      <c r="U464" s="227" t="str">
        <f t="shared" si="176"/>
        <v>-0.0803090918824677+0.154090336491889i</v>
      </c>
      <c r="V464" s="227">
        <f t="shared" si="187"/>
        <v>-15.200882377988954</v>
      </c>
      <c r="W464" s="227">
        <f t="shared" si="188"/>
        <v>-242.47229050585707</v>
      </c>
      <c r="X464" s="227" t="str">
        <f t="shared" si="177"/>
        <v>0.336180219784132-0.239928633003562i</v>
      </c>
      <c r="Y464" s="227" t="str">
        <f t="shared" si="178"/>
        <v>0.0220080528450525-2.66179798872527i</v>
      </c>
      <c r="Z464" s="227" t="str">
        <f t="shared" si="179"/>
        <v>-0.328723763414412-0.468745425770341i</v>
      </c>
      <c r="AA464" s="227" t="str">
        <f t="shared" si="180"/>
        <v>-1.46988384821722+0.766676296330886i</v>
      </c>
      <c r="AB464" s="227">
        <f t="shared" si="189"/>
        <v>4.3907220811396392</v>
      </c>
      <c r="AC464" s="227">
        <f t="shared" si="190"/>
        <v>-207.54608200267694</v>
      </c>
      <c r="AD464" s="229">
        <f t="shared" si="191"/>
        <v>-25.810184213591011</v>
      </c>
      <c r="AE464" s="229">
        <f t="shared" si="192"/>
        <v>100.43225924053741</v>
      </c>
      <c r="AF464" s="227">
        <f t="shared" si="181"/>
        <v>-21.419462132451372</v>
      </c>
      <c r="AG464" s="227">
        <f t="shared" si="182"/>
        <v>-107.11382276213953</v>
      </c>
      <c r="AH464" s="229" t="str">
        <f t="shared" si="183"/>
        <v>0.00927564756276727-0.050379257608889i</v>
      </c>
    </row>
    <row r="465" spans="9:34" x14ac:dyDescent="0.2">
      <c r="I465" s="227">
        <v>461</v>
      </c>
      <c r="J465" s="227">
        <f t="shared" si="171"/>
        <v>5.4948064848471478</v>
      </c>
      <c r="K465" s="227">
        <f t="shared" si="169"/>
        <v>312468.67430064117</v>
      </c>
      <c r="L465" s="227">
        <f t="shared" si="184"/>
        <v>1963298.5833196722</v>
      </c>
      <c r="M465" s="227">
        <f t="shared" si="172"/>
        <v>313742.92585429107</v>
      </c>
      <c r="N465" s="227">
        <f>SQRT((ABS(AC465)-171.5+'Small Signal'!C$59)^2)</f>
        <v>108.73421986922057</v>
      </c>
      <c r="O465" s="227">
        <f t="shared" si="185"/>
        <v>110.02845792725184</v>
      </c>
      <c r="P465" s="227">
        <f t="shared" si="186"/>
        <v>21.461221644177005</v>
      </c>
      <c r="Q465" s="227">
        <f t="shared" si="170"/>
        <v>312468.67430064117</v>
      </c>
      <c r="R465" s="227" t="str">
        <f t="shared" si="173"/>
        <v>0.0878666666666667+9.22750334160246i</v>
      </c>
      <c r="S465" s="227" t="str">
        <f t="shared" si="174"/>
        <v>0.0085-0.0195069016326946i</v>
      </c>
      <c r="T465" s="227" t="str">
        <f t="shared" si="175"/>
        <v>0.0085234953119514-0.0194815512030538i</v>
      </c>
      <c r="U465" s="227" t="str">
        <f t="shared" si="176"/>
        <v>-0.0797666777016908+0.150674610876931i</v>
      </c>
      <c r="V465" s="227">
        <f t="shared" si="187"/>
        <v>-15.366212867215459</v>
      </c>
      <c r="W465" s="227">
        <f t="shared" si="188"/>
        <v>-242.10339248696607</v>
      </c>
      <c r="X465" s="227" t="str">
        <f t="shared" si="177"/>
        <v>0.30569477390791-0.245376067585824i</v>
      </c>
      <c r="Y465" s="227" t="str">
        <f t="shared" si="178"/>
        <v>0.0210415585467732-2.60270087400025i</v>
      </c>
      <c r="Z465" s="227" t="str">
        <f t="shared" si="179"/>
        <v>-0.329226465366102-0.417019191043179i</v>
      </c>
      <c r="AA465" s="227" t="str">
        <f t="shared" si="180"/>
        <v>-1.45672861904421+0.849001451877375i</v>
      </c>
      <c r="AB465" s="227">
        <f t="shared" si="189"/>
        <v>4.5375573789671391</v>
      </c>
      <c r="AC465" s="227">
        <f t="shared" si="190"/>
        <v>-210.23421986922057</v>
      </c>
      <c r="AD465" s="229">
        <f t="shared" si="191"/>
        <v>-25.998779023144145</v>
      </c>
      <c r="AE465" s="229">
        <f t="shared" si="192"/>
        <v>100.20576194196873</v>
      </c>
      <c r="AF465" s="227">
        <f t="shared" si="181"/>
        <v>-21.461221644177005</v>
      </c>
      <c r="AG465" s="227">
        <f t="shared" si="182"/>
        <v>-110.02845792725184</v>
      </c>
      <c r="AH465" s="229" t="str">
        <f t="shared" si="183"/>
        <v>0.00888146997413346-0.0493326688353558i</v>
      </c>
    </row>
    <row r="466" spans="9:34" x14ac:dyDescent="0.2">
      <c r="I466" s="227">
        <v>462</v>
      </c>
      <c r="J466" s="227">
        <f t="shared" si="171"/>
        <v>5.5045566073739307</v>
      </c>
      <c r="K466" s="227">
        <f t="shared" si="169"/>
        <v>319563.08667214628</v>
      </c>
      <c r="L466" s="227">
        <f t="shared" si="184"/>
        <v>2007874.0908953862</v>
      </c>
      <c r="M466" s="227">
        <f t="shared" si="172"/>
        <v>320998.41257031984</v>
      </c>
      <c r="N466" s="227">
        <f>SQRT((ABS(AC466)-171.5+'Small Signal'!C$59)^2)</f>
        <v>111.62197311264978</v>
      </c>
      <c r="O466" s="227">
        <f t="shared" si="185"/>
        <v>113.138004203855</v>
      </c>
      <c r="P466" s="227">
        <f t="shared" si="186"/>
        <v>21.519291223411901</v>
      </c>
      <c r="Q466" s="227">
        <f t="shared" si="170"/>
        <v>319563.08667214628</v>
      </c>
      <c r="R466" s="227" t="str">
        <f t="shared" si="173"/>
        <v>0.0878666666666667+9.43700822720831i</v>
      </c>
      <c r="S466" s="227" t="str">
        <f t="shared" si="174"/>
        <v>0.0085-0.0190738415890147i</v>
      </c>
      <c r="T466" s="227" t="str">
        <f t="shared" si="175"/>
        <v>0.00852222151173214-0.0190490558025449i</v>
      </c>
      <c r="U466" s="227" t="str">
        <f t="shared" si="176"/>
        <v>-0.0792480807106214+0.147334381120756i</v>
      </c>
      <c r="V466" s="227">
        <f t="shared" si="187"/>
        <v>-15.530331288872581</v>
      </c>
      <c r="W466" s="227">
        <f t="shared" si="188"/>
        <v>-241.72512199597514</v>
      </c>
      <c r="X466" s="227" t="str">
        <f t="shared" si="177"/>
        <v>0.273809305860056-0.250947182877456i</v>
      </c>
      <c r="Y466" s="227" t="str">
        <f t="shared" si="178"/>
        <v>0.0201175153712497-2.54491601376759i</v>
      </c>
      <c r="Z466" s="227" t="str">
        <f t="shared" si="179"/>
        <v>-0.329707087223863-0.365503350061i</v>
      </c>
      <c r="AA466" s="227" t="str">
        <f t="shared" si="180"/>
        <v>-1.43353187294799+0.935291260465747i</v>
      </c>
      <c r="AB466" s="227">
        <f t="shared" si="189"/>
        <v>4.6683550993232323</v>
      </c>
      <c r="AC466" s="227">
        <f t="shared" si="190"/>
        <v>-213.12197311264978</v>
      </c>
      <c r="AD466" s="229">
        <f t="shared" si="191"/>
        <v>-26.187646322735134</v>
      </c>
      <c r="AE466" s="229">
        <f t="shared" si="192"/>
        <v>99.983968908794779</v>
      </c>
      <c r="AF466" s="227">
        <f t="shared" si="181"/>
        <v>-21.519291223411901</v>
      </c>
      <c r="AG466" s="227">
        <f t="shared" si="182"/>
        <v>-113.138004203855</v>
      </c>
      <c r="AH466" s="229" t="str">
        <f t="shared" si="183"/>
        <v>0.00850350970771347-0.0483048292656282i</v>
      </c>
    </row>
    <row r="467" spans="9:34" x14ac:dyDescent="0.2">
      <c r="I467" s="227">
        <v>463</v>
      </c>
      <c r="J467" s="227">
        <f t="shared" si="171"/>
        <v>5.5143067299007145</v>
      </c>
      <c r="K467" s="227">
        <f t="shared" si="169"/>
        <v>326818.57338817505</v>
      </c>
      <c r="L467" s="227">
        <f t="shared" si="184"/>
        <v>2053461.6584259749</v>
      </c>
      <c r="M467" s="227">
        <f t="shared" si="172"/>
        <v>328418.63072649797</v>
      </c>
      <c r="N467" s="227">
        <f>SQRT((ABS(AC467)-171.5+'Small Signal'!C$59)^2)</f>
        <v>114.70956396335498</v>
      </c>
      <c r="O467" s="227">
        <f t="shared" si="185"/>
        <v>116.44276800966634</v>
      </c>
      <c r="P467" s="227">
        <f t="shared" si="186"/>
        <v>21.598356192935086</v>
      </c>
      <c r="Q467" s="227">
        <f t="shared" si="170"/>
        <v>326818.57338817505</v>
      </c>
      <c r="R467" s="227" t="str">
        <f t="shared" si="173"/>
        <v>0.0878666666666667+9.65126979460208i</v>
      </c>
      <c r="S467" s="227" t="str">
        <f t="shared" si="174"/>
        <v>0.0085-0.0186503956298759i</v>
      </c>
      <c r="T467" s="227" t="str">
        <f t="shared" si="175"/>
        <v>0.00852100364110282-0.0186261618304945i</v>
      </c>
      <c r="U467" s="227" t="str">
        <f t="shared" si="176"/>
        <v>-0.0787522550660866+0.144067992979266i</v>
      </c>
      <c r="V467" s="227">
        <f t="shared" si="187"/>
        <v>-15.693203171812387</v>
      </c>
      <c r="W467" s="227">
        <f t="shared" si="188"/>
        <v>-241.33754768460682</v>
      </c>
      <c r="X467" s="227" t="str">
        <f t="shared" si="177"/>
        <v>0.240459520629462-0.256644786974202i</v>
      </c>
      <c r="Y467" s="227" t="str">
        <f t="shared" si="178"/>
        <v>0.0192340581408001-2.48841425743201i</v>
      </c>
      <c r="Z467" s="227" t="str">
        <f t="shared" si="179"/>
        <v>-0.330166599124203-0.314171923665083i</v>
      </c>
      <c r="AA467" s="227" t="str">
        <f t="shared" si="180"/>
        <v>-1.398685407379+1.02404154808158i</v>
      </c>
      <c r="AB467" s="227">
        <f t="shared" si="189"/>
        <v>4.778418692651007</v>
      </c>
      <c r="AC467" s="227">
        <f t="shared" si="190"/>
        <v>-216.20956396335498</v>
      </c>
      <c r="AD467" s="229">
        <f t="shared" si="191"/>
        <v>-26.376774885586094</v>
      </c>
      <c r="AE467" s="229">
        <f t="shared" si="192"/>
        <v>99.766795953688643</v>
      </c>
      <c r="AF467" s="227">
        <f t="shared" si="181"/>
        <v>-21.598356192935086</v>
      </c>
      <c r="AG467" s="227">
        <f t="shared" si="182"/>
        <v>-116.44276800966634</v>
      </c>
      <c r="AH467" s="229" t="str">
        <f t="shared" si="183"/>
        <v>0.00814114409230304-0.047295594919775i</v>
      </c>
    </row>
    <row r="468" spans="9:34" x14ac:dyDescent="0.2">
      <c r="I468" s="227">
        <v>464</v>
      </c>
      <c r="J468" s="227">
        <f t="shared" si="171"/>
        <v>5.5240568524274973</v>
      </c>
      <c r="K468" s="227">
        <f t="shared" si="169"/>
        <v>334238.79154435318</v>
      </c>
      <c r="L468" s="227">
        <f t="shared" si="184"/>
        <v>2100084.2641209406</v>
      </c>
      <c r="M468" s="227">
        <f t="shared" si="172"/>
        <v>336007.32045060099</v>
      </c>
      <c r="N468" s="227">
        <f>SQRT((ABS(AC468)-171.5+'Small Signal'!C$59)^2)</f>
        <v>117.99131986554229</v>
      </c>
      <c r="O468" s="227">
        <f t="shared" si="185"/>
        <v>119.93716033823284</v>
      </c>
      <c r="P468" s="227">
        <f t="shared" si="186"/>
        <v>21.70349316750757</v>
      </c>
      <c r="Q468" s="227">
        <f t="shared" si="170"/>
        <v>334238.79154435318</v>
      </c>
      <c r="R468" s="227" t="str">
        <f t="shared" si="173"/>
        <v>0.0878666666666667+9.87039604136842i</v>
      </c>
      <c r="S468" s="227" t="str">
        <f t="shared" si="174"/>
        <v>0.0085-0.0182363503192365i</v>
      </c>
      <c r="T468" s="227" t="str">
        <f t="shared" si="175"/>
        <v>0.00851983924433564-0.0182126561396989i</v>
      </c>
      <c r="U468" s="227" t="str">
        <f t="shared" si="176"/>
        <v>-0.0782782008526422+0.140873827513162i</v>
      </c>
      <c r="V468" s="227">
        <f t="shared" si="187"/>
        <v>-15.854793558137128</v>
      </c>
      <c r="W468" s="227">
        <f t="shared" si="188"/>
        <v>-240.94074560504012</v>
      </c>
      <c r="X468" s="227" t="str">
        <f t="shared" si="177"/>
        <v>0.205578170502901-0.262471751727924i</v>
      </c>
      <c r="Y468" s="227" t="str">
        <f t="shared" si="178"/>
        <v>0.0183894036801755-2.43316710272845i</v>
      </c>
      <c r="Z468" s="227" t="str">
        <f t="shared" si="179"/>
        <v>-0.33060592855145-0.262999026484908i</v>
      </c>
      <c r="AA468" s="227" t="str">
        <f t="shared" si="180"/>
        <v>-1.35080705819484+1.11317574685308i</v>
      </c>
      <c r="AB468" s="227">
        <f t="shared" si="189"/>
        <v>4.8626607498033501</v>
      </c>
      <c r="AC468" s="227">
        <f t="shared" si="190"/>
        <v>-219.49131986554229</v>
      </c>
      <c r="AD468" s="229">
        <f t="shared" si="191"/>
        <v>-26.56615391731092</v>
      </c>
      <c r="AE468" s="229">
        <f t="shared" si="192"/>
        <v>99.554159527309452</v>
      </c>
      <c r="AF468" s="227">
        <f t="shared" si="181"/>
        <v>-21.70349316750757</v>
      </c>
      <c r="AG468" s="227">
        <f t="shared" si="182"/>
        <v>-119.93716033823284</v>
      </c>
      <c r="AH468" s="229" t="str">
        <f t="shared" si="183"/>
        <v>0.00779377063200999-0.0463048092895031i</v>
      </c>
    </row>
    <row r="469" spans="9:34" x14ac:dyDescent="0.2">
      <c r="I469" s="227">
        <v>465</v>
      </c>
      <c r="J469" s="227">
        <f t="shared" si="171"/>
        <v>5.5338069749542811</v>
      </c>
      <c r="K469" s="227">
        <f t="shared" ref="K469:K504" si="193">10^(J469)</f>
        <v>341827.48126845621</v>
      </c>
      <c r="L469" s="227">
        <f t="shared" si="184"/>
        <v>2147765.4078961695</v>
      </c>
      <c r="M469" s="227">
        <f t="shared" si="172"/>
        <v>343768.3067877405</v>
      </c>
      <c r="N469" s="227">
        <f>SQRT((ABS(AC469)-171.5+'Small Signal'!C$59)^2)</f>
        <v>121.45442792812176</v>
      </c>
      <c r="O469" s="227">
        <f t="shared" si="185"/>
        <v>123.60845115268651</v>
      </c>
      <c r="P469" s="227">
        <f t="shared" si="186"/>
        <v>21.839969050945719</v>
      </c>
      <c r="Q469" s="227">
        <f t="shared" ref="Q469:Q504" si="194">K469</f>
        <v>341827.48126845621</v>
      </c>
      <c r="R469" s="227" t="str">
        <f t="shared" si="173"/>
        <v>0.0878666666666667+10.094497417112i</v>
      </c>
      <c r="S469" s="227" t="str">
        <f t="shared" si="174"/>
        <v>0.0085-0.0178314969594095i</v>
      </c>
      <c r="T469" s="227" t="str">
        <f t="shared" si="175"/>
        <v>0.00851872597352677-0.0178083303143842i</v>
      </c>
      <c r="U469" s="227" t="str">
        <f t="shared" si="176"/>
        <v>-0.0778249620653833+0.137750300396717i</v>
      </c>
      <c r="V469" s="227">
        <f t="shared" si="187"/>
        <v>-16.015067056614075</v>
      </c>
      <c r="W469" s="227">
        <f t="shared" si="188"/>
        <v>-240.53479955336255</v>
      </c>
      <c r="X469" s="227" t="str">
        <f t="shared" si="177"/>
        <v>0.169094919464271-0.268431014194144i</v>
      </c>
      <c r="Y469" s="227" t="str">
        <f t="shared" si="178"/>
        <v>0.0175818472069289-2.37914668125231i</v>
      </c>
      <c r="Z469" s="227" t="str">
        <f t="shared" si="179"/>
        <v>-0.331025962215268-0.211958853836411i</v>
      </c>
      <c r="AA469" s="227" t="str">
        <f t="shared" si="180"/>
        <v>-1.28896025362961+1.20005957302176i</v>
      </c>
      <c r="AB469" s="227">
        <f t="shared" si="189"/>
        <v>4.9158039908448607</v>
      </c>
      <c r="AC469" s="227">
        <f t="shared" si="190"/>
        <v>-222.95442792812176</v>
      </c>
      <c r="AD469" s="229">
        <f t="shared" si="191"/>
        <v>-26.755773041790579</v>
      </c>
      <c r="AE469" s="229">
        <f t="shared" si="192"/>
        <v>99.345976775435247</v>
      </c>
      <c r="AF469" s="227">
        <f t="shared" si="181"/>
        <v>-21.839969050945719</v>
      </c>
      <c r="AG469" s="227">
        <f t="shared" si="182"/>
        <v>-123.60845115268651</v>
      </c>
      <c r="AH469" s="229" t="str">
        <f t="shared" si="183"/>
        <v>0.00746080667435407-0.0453323044417243i</v>
      </c>
    </row>
    <row r="470" spans="9:34" x14ac:dyDescent="0.2">
      <c r="I470" s="227">
        <v>466</v>
      </c>
      <c r="J470" s="227">
        <f t="shared" si="171"/>
        <v>5.543557097481064</v>
      </c>
      <c r="K470" s="227">
        <f t="shared" si="193"/>
        <v>349588.46760559571</v>
      </c>
      <c r="L470" s="227">
        <f t="shared" si="184"/>
        <v>2196529.1232189056</v>
      </c>
      <c r="M470" s="227">
        <f t="shared" si="172"/>
        <v>351705.50162836764</v>
      </c>
      <c r="N470" s="227">
        <f>SQRT((ABS(AC470)-171.5+'Small Signal'!C$59)^2)</f>
        <v>125.07802854284364</v>
      </c>
      <c r="O470" s="227">
        <f t="shared" si="185"/>
        <v>127.43586295177913</v>
      </c>
      <c r="P470" s="227">
        <f t="shared" si="186"/>
        <v>22.012954883543571</v>
      </c>
      <c r="Q470" s="227">
        <f t="shared" si="194"/>
        <v>349588.46760559571</v>
      </c>
      <c r="R470" s="227" t="str">
        <f t="shared" si="173"/>
        <v>0.0878666666666667+10.3236868791289i</v>
      </c>
      <c r="S470" s="227" t="str">
        <f t="shared" si="174"/>
        <v>0.0085-0.0174356314858698i</v>
      </c>
      <c r="T470" s="227" t="str">
        <f t="shared" si="175"/>
        <v>0.00851766158386226-0.0174129805652009i</v>
      </c>
      <c r="U470" s="227" t="str">
        <f t="shared" si="176"/>
        <v>-0.0773916246813801+0.134695861235884i</v>
      </c>
      <c r="V470" s="227">
        <f t="shared" si="187"/>
        <v>-16.173987900207734</v>
      </c>
      <c r="W470" s="227">
        <f t="shared" si="188"/>
        <v>-240.1198014024059</v>
      </c>
      <c r="X470" s="227" t="str">
        <f t="shared" si="177"/>
        <v>0.130936201366552-0.274525578112453i</v>
      </c>
      <c r="Y470" s="227" t="str">
        <f t="shared" si="178"/>
        <v>0.016809758880959-2.32632574431608i</v>
      </c>
      <c r="Z470" s="227" t="str">
        <f t="shared" si="179"/>
        <v>-0.331427547845367-0.161025668664549i</v>
      </c>
      <c r="AA470" s="227" t="str">
        <f t="shared" si="180"/>
        <v>-1.21289014943903+1.28161055008857i</v>
      </c>
      <c r="AB470" s="227">
        <f t="shared" si="189"/>
        <v>4.9326674037477698</v>
      </c>
      <c r="AC470" s="227">
        <f t="shared" si="190"/>
        <v>-226.57802854284364</v>
      </c>
      <c r="AD470" s="229">
        <f t="shared" si="191"/>
        <v>-26.945622287291343</v>
      </c>
      <c r="AE470" s="229">
        <f t="shared" si="192"/>
        <v>99.142165591064511</v>
      </c>
      <c r="AF470" s="227">
        <f t="shared" si="181"/>
        <v>-22.012954883543571</v>
      </c>
      <c r="AG470" s="227">
        <f t="shared" si="182"/>
        <v>-127.43586295177913</v>
      </c>
      <c r="AH470" s="229" t="str">
        <f t="shared" si="183"/>
        <v>0.00714168905258947-0.0443779020629724i</v>
      </c>
    </row>
    <row r="471" spans="9:34" x14ac:dyDescent="0.2">
      <c r="I471" s="227">
        <v>467</v>
      </c>
      <c r="J471" s="227">
        <f t="shared" si="171"/>
        <v>5.5533072200078477</v>
      </c>
      <c r="K471" s="227">
        <f t="shared" si="193"/>
        <v>357525.66244622285</v>
      </c>
      <c r="L471" s="227">
        <f t="shared" si="184"/>
        <v>2246399.9892217559</v>
      </c>
      <c r="M471" s="227">
        <f t="shared" si="172"/>
        <v>359822.9056800417</v>
      </c>
      <c r="N471" s="227">
        <f>SQRT((ABS(AC471)-171.5+'Small Signal'!C$59)^2)</f>
        <v>128.83292030978464</v>
      </c>
      <c r="O471" s="227">
        <f t="shared" si="185"/>
        <v>131.39027564802626</v>
      </c>
      <c r="P471" s="227">
        <f t="shared" si="186"/>
        <v>22.227169169082931</v>
      </c>
      <c r="Q471" s="227">
        <f t="shared" si="194"/>
        <v>357525.66244622285</v>
      </c>
      <c r="R471" s="227" t="str">
        <f t="shared" si="173"/>
        <v>0.0878666666666667+10.5580799493423i</v>
      </c>
      <c r="S471" s="227" t="str">
        <f t="shared" si="174"/>
        <v>0.0085-0.0170485543643959i</v>
      </c>
      <c r="T471" s="227" t="str">
        <f t="shared" si="175"/>
        <v>0.00851664392909162-0.017026407626546i</v>
      </c>
      <c r="U471" s="227" t="str">
        <f t="shared" si="176"/>
        <v>-0.0769773148158329+0.131708992895877i</v>
      </c>
      <c r="V471" s="227">
        <f t="shared" si="187"/>
        <v>-16.331520007758893</v>
      </c>
      <c r="W471" s="227">
        <f t="shared" si="188"/>
        <v>-239.69585142160958</v>
      </c>
      <c r="X471" s="227" t="str">
        <f t="shared" si="177"/>
        <v>0.091025071590325-0.280758515420536i</v>
      </c>
      <c r="Y471" s="227" t="str">
        <f t="shared" si="178"/>
        <v>0.0160715805062963-2.27467764912447i</v>
      </c>
      <c r="Z471" s="227" t="str">
        <f t="shared" si="179"/>
        <v>-0.331811495907022-0.11017378852313i</v>
      </c>
      <c r="AA471" s="227" t="str">
        <f t="shared" si="180"/>
        <v>-1.12322932776403+1.35451905855852i</v>
      </c>
      <c r="AB471" s="227">
        <f t="shared" si="189"/>
        <v>4.9085229037609786</v>
      </c>
      <c r="AC471" s="227">
        <f t="shared" si="190"/>
        <v>-230.33292030978464</v>
      </c>
      <c r="AD471" s="229">
        <f t="shared" si="191"/>
        <v>-27.135692072843909</v>
      </c>
      <c r="AE471" s="229">
        <f t="shared" si="192"/>
        <v>98.942644661758379</v>
      </c>
      <c r="AF471" s="227">
        <f t="shared" si="181"/>
        <v>-22.227169169082931</v>
      </c>
      <c r="AG471" s="227">
        <f t="shared" si="182"/>
        <v>-131.39027564802626</v>
      </c>
      <c r="AH471" s="229" t="str">
        <f t="shared" si="183"/>
        <v>0.00683587370601533-0.0434414144464762i</v>
      </c>
    </row>
    <row r="472" spans="9:34" x14ac:dyDescent="0.2">
      <c r="I472" s="227">
        <v>468</v>
      </c>
      <c r="J472" s="227">
        <f t="shared" si="171"/>
        <v>5.5630573425346315</v>
      </c>
      <c r="K472" s="227">
        <f t="shared" si="193"/>
        <v>365643.06649789691</v>
      </c>
      <c r="L472" s="227">
        <f t="shared" si="184"/>
        <v>2297403.1430916744</v>
      </c>
      <c r="M472" s="227">
        <f t="shared" si="172"/>
        <v>368124.61048396683</v>
      </c>
      <c r="N472" s="227">
        <f>SQRT((ABS(AC472)-171.5+'Small Signal'!C$59)^2)</f>
        <v>132.68211696584535</v>
      </c>
      <c r="O472" s="227">
        <f t="shared" si="185"/>
        <v>135.4347834533599</v>
      </c>
      <c r="P472" s="227">
        <f t="shared" si="186"/>
        <v>22.486487543564955</v>
      </c>
      <c r="Q472" s="227">
        <f t="shared" si="194"/>
        <v>365643.06649789691</v>
      </c>
      <c r="R472" s="227" t="str">
        <f t="shared" si="173"/>
        <v>0.0878666666666667+10.7977947725309i</v>
      </c>
      <c r="S472" s="227" t="str">
        <f t="shared" si="174"/>
        <v>0.0085-0.0166700704904961i</v>
      </c>
      <c r="T472" s="227" t="str">
        <f t="shared" si="175"/>
        <v>0.00851567095720032-0.0166484166561643i</v>
      </c>
      <c r="U472" s="227" t="str">
        <f t="shared" si="176"/>
        <v>-0.0765811969592394+0.128788210838423i</v>
      </c>
      <c r="V472" s="227">
        <f t="shared" si="187"/>
        <v>-16.487627049806004</v>
      </c>
      <c r="W472" s="227">
        <f t="shared" si="188"/>
        <v>-239.26305858146321</v>
      </c>
      <c r="X472" s="227" t="str">
        <f t="shared" si="177"/>
        <v>0.049281051889881-0.287132967802564i</v>
      </c>
      <c r="Y472" s="227" t="str">
        <f t="shared" si="178"/>
        <v>0.0153658223783964-2.22417634526076i</v>
      </c>
      <c r="Z472" s="227" t="str">
        <f t="shared" si="179"/>
        <v>-0.332178581240893-0.0593775725853306i</v>
      </c>
      <c r="AA472" s="227" t="str">
        <f t="shared" si="180"/>
        <v>-1.02161346998945+1.4155705411993i</v>
      </c>
      <c r="AB472" s="227">
        <f t="shared" si="189"/>
        <v>4.8394856513320308</v>
      </c>
      <c r="AC472" s="227">
        <f t="shared" si="190"/>
        <v>-234.18211696584535</v>
      </c>
      <c r="AD472" s="229">
        <f t="shared" si="191"/>
        <v>-27.325973194896985</v>
      </c>
      <c r="AE472" s="229">
        <f t="shared" si="192"/>
        <v>98.74733351248544</v>
      </c>
      <c r="AF472" s="227">
        <f t="shared" si="181"/>
        <v>-22.486487543564955</v>
      </c>
      <c r="AG472" s="227">
        <f t="shared" si="182"/>
        <v>-135.4347834533599</v>
      </c>
      <c r="AH472" s="229" t="str">
        <f t="shared" si="183"/>
        <v>0.00654283528174191-0.0425226454237835i</v>
      </c>
    </row>
    <row r="473" spans="9:34" x14ac:dyDescent="0.2">
      <c r="I473" s="227">
        <v>469</v>
      </c>
      <c r="J473" s="227">
        <f t="shared" si="171"/>
        <v>5.5728074650614143</v>
      </c>
      <c r="K473" s="227">
        <f t="shared" si="193"/>
        <v>373944.77130182204</v>
      </c>
      <c r="L473" s="227">
        <f t="shared" si="184"/>
        <v>2349564.2927402388</v>
      </c>
      <c r="M473" s="227">
        <f t="shared" si="172"/>
        <v>376614.80047731893</v>
      </c>
      <c r="N473" s="227">
        <f>SQRT((ABS(AC473)-171.5+'Small Signal'!C$59)^2)</f>
        <v>136.58237703684085</v>
      </c>
      <c r="O473" s="227">
        <f t="shared" si="185"/>
        <v>139.52622449261511</v>
      </c>
      <c r="P473" s="227">
        <f t="shared" si="186"/>
        <v>22.793575771598437</v>
      </c>
      <c r="Q473" s="227">
        <f t="shared" si="194"/>
        <v>373944.77130182204</v>
      </c>
      <c r="R473" s="227" t="str">
        <f t="shared" si="173"/>
        <v>0.0878666666666667+11.0429521758791i</v>
      </c>
      <c r="S473" s="227" t="str">
        <f t="shared" si="174"/>
        <v>0.0085-0.0162999890910666i</v>
      </c>
      <c r="T473" s="227" t="str">
        <f t="shared" si="175"/>
        <v>0.00851474070627215-0.016278817136975i</v>
      </c>
      <c r="U473" s="227" t="str">
        <f t="shared" si="176"/>
        <v>-0.0762024722919944+0.125932062468784i</v>
      </c>
      <c r="V473" s="227">
        <f t="shared" si="187"/>
        <v>-16.64227251851689</v>
      </c>
      <c r="W473" s="227">
        <f t="shared" si="188"/>
        <v>-238.82154083999919</v>
      </c>
      <c r="X473" s="227" t="str">
        <f t="shared" si="177"/>
        <v>0.00561996811397703-0.29365214827275i</v>
      </c>
      <c r="Y473" s="227" t="str">
        <f t="shared" si="178"/>
        <v>0.0146910602704367-2.17479636147743i</v>
      </c>
      <c r="Z473" s="227" t="str">
        <f t="shared" si="179"/>
        <v>-0.332529544630592-0.00861140867807195i</v>
      </c>
      <c r="AA473" s="227" t="str">
        <f t="shared" si="180"/>
        <v>-0.910652949829333+1.46202259574378i</v>
      </c>
      <c r="AB473" s="227">
        <f t="shared" si="189"/>
        <v>4.7228810426589085</v>
      </c>
      <c r="AC473" s="227">
        <f t="shared" si="190"/>
        <v>-238.08237703684085</v>
      </c>
      <c r="AD473" s="229">
        <f t="shared" si="191"/>
        <v>-27.516456814257346</v>
      </c>
      <c r="AE473" s="229">
        <f t="shared" si="192"/>
        <v>98.556152544225739</v>
      </c>
      <c r="AF473" s="227">
        <f t="shared" si="181"/>
        <v>-22.793575771598437</v>
      </c>
      <c r="AG473" s="227">
        <f t="shared" si="182"/>
        <v>-139.52622449261511</v>
      </c>
      <c r="AH473" s="229" t="str">
        <f t="shared" si="183"/>
        <v>0.0062620667210966-0.0416213912428818i</v>
      </c>
    </row>
    <row r="474" spans="9:34" x14ac:dyDescent="0.2">
      <c r="I474" s="227">
        <v>470</v>
      </c>
      <c r="J474" s="227">
        <f t="shared" si="171"/>
        <v>5.5825575875881981</v>
      </c>
      <c r="K474" s="227">
        <f t="shared" si="193"/>
        <v>382434.96129517414</v>
      </c>
      <c r="L474" s="227">
        <f t="shared" si="184"/>
        <v>2402909.7297616317</v>
      </c>
      <c r="M474" s="227">
        <f t="shared" si="172"/>
        <v>385297.75510238996</v>
      </c>
      <c r="N474" s="227">
        <f>SQRT((ABS(AC474)-171.5+'Small Signal'!C$59)^2)</f>
        <v>140.48662894096589</v>
      </c>
      <c r="O474" s="227">
        <f t="shared" si="185"/>
        <v>143.61760587238885</v>
      </c>
      <c r="P474" s="227">
        <f t="shared" si="186"/>
        <v>23.149612071239112</v>
      </c>
      <c r="Q474" s="227">
        <f t="shared" si="194"/>
        <v>382434.96129517414</v>
      </c>
      <c r="R474" s="227" t="str">
        <f t="shared" si="173"/>
        <v>0.0878666666666667+11.2936757298797i</v>
      </c>
      <c r="S474" s="227" t="str">
        <f t="shared" si="174"/>
        <v>0.0085-0.0159381236282333i</v>
      </c>
      <c r="T474" s="227" t="str">
        <f t="shared" si="175"/>
        <v>0.00851385130053334-0.0159174227810776i</v>
      </c>
      <c r="U474" s="227" t="str">
        <f t="shared" si="176"/>
        <v>-0.075840377073033+0.123139126492672i</v>
      </c>
      <c r="V474" s="227">
        <f t="shared" si="187"/>
        <v>-16.79541980166136</v>
      </c>
      <c r="W474" s="227">
        <f t="shared" si="188"/>
        <v>-238.37142540873566</v>
      </c>
      <c r="X474" s="227" t="str">
        <f t="shared" si="177"/>
        <v>-0.0400462195259901-0.30031934279485i</v>
      </c>
      <c r="Y474" s="227" t="str">
        <f t="shared" si="178"/>
        <v>0.014045932552476-2.12651279278361i</v>
      </c>
      <c r="Z474" s="227" t="str">
        <f t="shared" si="179"/>
        <v>-0.33286509430108+0.0421502996665198i</v>
      </c>
      <c r="AA474" s="227" t="str">
        <f t="shared" si="180"/>
        <v>-0.793735800701058+1.49195986746797i</v>
      </c>
      <c r="AB474" s="227">
        <f t="shared" si="189"/>
        <v>4.5575223720876492</v>
      </c>
      <c r="AC474" s="227">
        <f t="shared" si="190"/>
        <v>-241.98662894096589</v>
      </c>
      <c r="AD474" s="229">
        <f t="shared" si="191"/>
        <v>-27.707134443326762</v>
      </c>
      <c r="AE474" s="229">
        <f t="shared" si="192"/>
        <v>98.369023068577036</v>
      </c>
      <c r="AF474" s="227">
        <f t="shared" si="181"/>
        <v>-23.149612071239112</v>
      </c>
      <c r="AG474" s="227">
        <f t="shared" si="182"/>
        <v>-143.61760587238885</v>
      </c>
      <c r="AH474" s="229" t="str">
        <f t="shared" si="183"/>
        <v>0.0059930788335818-0.0407374413948001i</v>
      </c>
    </row>
    <row r="475" spans="9:34" x14ac:dyDescent="0.2">
      <c r="I475" s="227">
        <v>471</v>
      </c>
      <c r="J475" s="227">
        <f t="shared" si="171"/>
        <v>5.592307710114981</v>
      </c>
      <c r="K475" s="227">
        <f t="shared" si="193"/>
        <v>391117.91592024517</v>
      </c>
      <c r="L475" s="227">
        <f t="shared" si="184"/>
        <v>2457466.3426847854</v>
      </c>
      <c r="M475" s="227">
        <f t="shared" si="172"/>
        <v>394177.85096362373</v>
      </c>
      <c r="N475" s="227">
        <f>SQRT((ABS(AC475)-171.5+'Small Signal'!C$59)^2)</f>
        <v>144.34699201626887</v>
      </c>
      <c r="O475" s="227">
        <f t="shared" si="185"/>
        <v>147.66112467766789</v>
      </c>
      <c r="P475" s="227">
        <f t="shared" si="186"/>
        <v>23.554155481872083</v>
      </c>
      <c r="Q475" s="227">
        <f t="shared" si="194"/>
        <v>391117.91592024517</v>
      </c>
      <c r="R475" s="227" t="str">
        <f t="shared" si="173"/>
        <v>0.0878666666666667+11.5500918106185i</v>
      </c>
      <c r="S475" s="227" t="str">
        <f t="shared" si="174"/>
        <v>0.0085-0.0155842917053281i</v>
      </c>
      <c r="T475" s="227" t="str">
        <f t="shared" si="175"/>
        <v>0.00851300094657029-0.0155640514358858i</v>
      </c>
      <c r="U475" s="227" t="str">
        <f t="shared" si="176"/>
        <v>-0.0754941810992551+0.12040801228313i</v>
      </c>
      <c r="V475" s="227">
        <f t="shared" si="187"/>
        <v>-16.947032260520508</v>
      </c>
      <c r="W475" s="227">
        <f t="shared" si="188"/>
        <v>-237.91284899543024</v>
      </c>
      <c r="X475" s="227" t="str">
        <f t="shared" si="177"/>
        <v>-0.0878095939825401-0.307137911938444i</v>
      </c>
      <c r="Y475" s="227" t="str">
        <f t="shared" si="178"/>
        <v>0.0134291374376085-2.07930128782294i</v>
      </c>
      <c r="Z475" s="227" t="str">
        <f t="shared" si="179"/>
        <v>-0.333185907351046+0.0929331461491103i</v>
      </c>
      <c r="AA475" s="227" t="str">
        <f t="shared" si="180"/>
        <v>-0.674684928115129+1.50454111588279i</v>
      </c>
      <c r="AB475" s="227">
        <f t="shared" si="189"/>
        <v>4.3438424517703886</v>
      </c>
      <c r="AC475" s="227">
        <f t="shared" si="190"/>
        <v>-245.84699201626887</v>
      </c>
      <c r="AD475" s="229">
        <f t="shared" si="191"/>
        <v>-27.897997933642472</v>
      </c>
      <c r="AE475" s="229">
        <f t="shared" si="192"/>
        <v>98.185867338600985</v>
      </c>
      <c r="AF475" s="227">
        <f t="shared" si="181"/>
        <v>-23.554155481872083</v>
      </c>
      <c r="AG475" s="227">
        <f t="shared" si="182"/>
        <v>-147.66112467766789</v>
      </c>
      <c r="AH475" s="229" t="str">
        <f t="shared" si="183"/>
        <v>0.00573539986104563-0.0398705793907048i</v>
      </c>
    </row>
    <row r="476" spans="9:34" x14ac:dyDescent="0.2">
      <c r="I476" s="227">
        <v>472</v>
      </c>
      <c r="J476" s="227">
        <f t="shared" si="171"/>
        <v>5.6020578326417656</v>
      </c>
      <c r="K476" s="227">
        <f t="shared" si="193"/>
        <v>399998.01178147894</v>
      </c>
      <c r="L476" s="227">
        <f t="shared" si="184"/>
        <v>2513261.6305264356</v>
      </c>
      <c r="M476" s="227">
        <f t="shared" si="172"/>
        <v>403259.5640336182</v>
      </c>
      <c r="N476" s="227">
        <f>SQRT((ABS(AC476)-171.5+'Small Signal'!C$59)^2)</f>
        <v>148.11792907210017</v>
      </c>
      <c r="O476" s="227">
        <f t="shared" si="185"/>
        <v>151.611320495966</v>
      </c>
      <c r="P476" s="227">
        <f t="shared" si="186"/>
        <v>24.005189011698072</v>
      </c>
      <c r="Q476" s="227">
        <f t="shared" si="194"/>
        <v>399998.01178147894</v>
      </c>
      <c r="R476" s="227" t="str">
        <f t="shared" si="173"/>
        <v>0.0878666666666667+11.8123296634742i</v>
      </c>
      <c r="S476" s="227" t="str">
        <f t="shared" si="174"/>
        <v>0.0085-0.0152383149749529i</v>
      </c>
      <c r="T476" s="227" t="str">
        <f t="shared" si="175"/>
        <v>0.00851218792971341-0.0152185249923447i</v>
      </c>
      <c r="U476" s="227" t="str">
        <f t="shared" si="176"/>
        <v>-0.0751631862326305+0.117737359257452i</v>
      </c>
      <c r="V476" s="227">
        <f t="shared" si="187"/>
        <v>-17.097073311588368</v>
      </c>
      <c r="W476" s="227">
        <f t="shared" si="188"/>
        <v>-237.44595802097689</v>
      </c>
      <c r="X476" s="227" t="str">
        <f t="shared" si="177"/>
        <v>-0.13776646705163-0.314111292572812i</v>
      </c>
      <c r="Y476" s="227" t="str">
        <f t="shared" si="178"/>
        <v>0.0128394303495762-2.03313803653485i</v>
      </c>
      <c r="Z476" s="227" t="str">
        <f t="shared" si="179"/>
        <v>-0.333492631122141+0.143762734637595i</v>
      </c>
      <c r="AA476" s="227" t="str">
        <f t="shared" si="180"/>
        <v>-0.557339059792342+1.50007616666701i</v>
      </c>
      <c r="AB476" s="227">
        <f t="shared" si="189"/>
        <v>4.0838504520307097</v>
      </c>
      <c r="AC476" s="227">
        <f t="shared" si="190"/>
        <v>-249.61792907210017</v>
      </c>
      <c r="AD476" s="229">
        <f t="shared" si="191"/>
        <v>-28.089039463728781</v>
      </c>
      <c r="AE476" s="229">
        <f t="shared" si="192"/>
        <v>98.00660857613417</v>
      </c>
      <c r="AF476" s="227">
        <f t="shared" si="181"/>
        <v>-24.005189011698072</v>
      </c>
      <c r="AG476" s="227">
        <f t="shared" si="182"/>
        <v>-151.611320495966</v>
      </c>
      <c r="AH476" s="229" t="str">
        <f t="shared" si="183"/>
        <v>0.00548857503448329-0.039020583491499i</v>
      </c>
    </row>
    <row r="477" spans="9:34" x14ac:dyDescent="0.2">
      <c r="I477" s="227">
        <v>473</v>
      </c>
      <c r="J477" s="227">
        <f t="shared" si="171"/>
        <v>5.6118079551685485</v>
      </c>
      <c r="K477" s="227">
        <f t="shared" si="193"/>
        <v>409079.72485147341</v>
      </c>
      <c r="L477" s="227">
        <f t="shared" si="184"/>
        <v>2570323.7166518457</v>
      </c>
      <c r="M477" s="227">
        <f t="shared" si="172"/>
        <v>412547.47190922772</v>
      </c>
      <c r="N477" s="227">
        <f>SQRT((ABS(AC477)-171.5+'Small Signal'!C$59)^2)</f>
        <v>151.75902804797516</v>
      </c>
      <c r="O477" s="227">
        <f t="shared" si="185"/>
        <v>155.42785705219296</v>
      </c>
      <c r="P477" s="227">
        <f t="shared" si="186"/>
        <v>24.499328039850102</v>
      </c>
      <c r="Q477" s="227">
        <f t="shared" si="194"/>
        <v>409079.72485147341</v>
      </c>
      <c r="R477" s="227" t="str">
        <f t="shared" si="173"/>
        <v>0.0878666666666667+12.0805214682637i</v>
      </c>
      <c r="S477" s="227" t="str">
        <f t="shared" si="174"/>
        <v>0.0085-0.0149000190490843i</v>
      </c>
      <c r="T477" s="227" t="str">
        <f t="shared" si="175"/>
        <v>0.00851141061057974-0.0148806692951839i</v>
      </c>
      <c r="U477" s="227" t="str">
        <f t="shared" si="176"/>
        <v>-0.0748467249919868+0.115125836264151i</v>
      </c>
      <c r="V477" s="227">
        <f t="shared" si="187"/>
        <v>-17.245506511884351</v>
      </c>
      <c r="W477" s="227">
        <f t="shared" si="188"/>
        <v>-236.97090880778313</v>
      </c>
      <c r="X477" s="227" t="str">
        <f t="shared" si="177"/>
        <v>-0.19001757357908-0.32124299959927i</v>
      </c>
      <c r="Y477" s="227" t="str">
        <f t="shared" si="178"/>
        <v>0.0122756214061975-1.98799975809279i</v>
      </c>
      <c r="Z477" s="227" t="str">
        <f t="shared" si="179"/>
        <v>-0.333785884507847+0.194664692104161i</v>
      </c>
      <c r="AA477" s="227" t="str">
        <f t="shared" si="180"/>
        <v>-0.445150729627027+1.47991888662805i</v>
      </c>
      <c r="AB477" s="227">
        <f t="shared" si="189"/>
        <v>3.7809234874128057</v>
      </c>
      <c r="AC477" s="227">
        <f t="shared" si="190"/>
        <v>-253.25902804797516</v>
      </c>
      <c r="AD477" s="229">
        <f t="shared" si="191"/>
        <v>-28.280251527262909</v>
      </c>
      <c r="AE477" s="229">
        <f t="shared" si="192"/>
        <v>97.831170995782188</v>
      </c>
      <c r="AF477" s="227">
        <f t="shared" si="181"/>
        <v>-24.499328039850102</v>
      </c>
      <c r="AG477" s="227">
        <f t="shared" si="182"/>
        <v>-155.42785705219296</v>
      </c>
      <c r="AH477" s="229" t="str">
        <f t="shared" si="183"/>
        <v>0.00525216612566545-0.0381872273919442i</v>
      </c>
    </row>
    <row r="478" spans="9:34" x14ac:dyDescent="0.2">
      <c r="I478" s="227">
        <v>474</v>
      </c>
      <c r="J478" s="227">
        <f t="shared" si="171"/>
        <v>5.6215580776953322</v>
      </c>
      <c r="K478" s="227">
        <f t="shared" si="193"/>
        <v>418367.63272708294</v>
      </c>
      <c r="L478" s="227">
        <f t="shared" si="184"/>
        <v>2628681.3629503129</v>
      </c>
      <c r="M478" s="227">
        <f t="shared" si="172"/>
        <v>422046.25611887494</v>
      </c>
      <c r="N478" s="227">
        <f>SQRT((ABS(AC478)-171.5+'Small Signal'!C$59)^2)</f>
        <v>155.23701606971383</v>
      </c>
      <c r="O478" s="227">
        <f t="shared" si="185"/>
        <v>159.07753624390963</v>
      </c>
      <c r="P478" s="227">
        <f t="shared" si="186"/>
        <v>25.032149649748071</v>
      </c>
      <c r="Q478" s="227">
        <f t="shared" si="194"/>
        <v>418367.63272708294</v>
      </c>
      <c r="R478" s="227" t="str">
        <f t="shared" si="173"/>
        <v>0.0878666666666667+12.3548024058665i</v>
      </c>
      <c r="S478" s="227" t="str">
        <f t="shared" si="174"/>
        <v>0.0085-0.0145692334111738i</v>
      </c>
      <c r="T478" s="227" t="str">
        <f t="shared" si="175"/>
        <v>0.0085106674217673-0.0145503140551611i</v>
      </c>
      <c r="U478" s="227" t="str">
        <f t="shared" si="176"/>
        <v>-0.0745441592066754+0.112572140980031i</v>
      </c>
      <c r="V478" s="227">
        <f t="shared" si="187"/>
        <v>-17.392295647647774</v>
      </c>
      <c r="W478" s="227">
        <f t="shared" si="188"/>
        <v>-236.48786773698484</v>
      </c>
      <c r="X478" s="227" t="str">
        <f t="shared" si="177"/>
        <v>-0.24466827458604-0.328536627722849i</v>
      </c>
      <c r="Y478" s="227" t="str">
        <f t="shared" si="178"/>
        <v>0.0117365730139029-1.94386368911351i</v>
      </c>
      <c r="Z478" s="227" t="str">
        <f t="shared" si="179"/>
        <v>-0.334066259204754+0.245664681572187i</v>
      </c>
      <c r="AA478" s="227" t="str">
        <f t="shared" si="180"/>
        <v>-0.340884273176753+1.44621467980799i</v>
      </c>
      <c r="AB478" s="227">
        <f t="shared" si="189"/>
        <v>3.4394772718103912</v>
      </c>
      <c r="AC478" s="227">
        <f t="shared" si="190"/>
        <v>-256.73701606971383</v>
      </c>
      <c r="AD478" s="229">
        <f t="shared" si="191"/>
        <v>-28.471626921558464</v>
      </c>
      <c r="AE478" s="229">
        <f t="shared" si="192"/>
        <v>97.659479825804198</v>
      </c>
      <c r="AF478" s="227">
        <f t="shared" si="181"/>
        <v>-25.032149649748071</v>
      </c>
      <c r="AG478" s="227">
        <f t="shared" si="182"/>
        <v>-159.07753624390963</v>
      </c>
      <c r="AH478" s="229" t="str">
        <f t="shared" si="183"/>
        <v>0.00502575099557717-0.0373702808612985i</v>
      </c>
    </row>
    <row r="479" spans="9:34" x14ac:dyDescent="0.2">
      <c r="I479" s="227">
        <v>475</v>
      </c>
      <c r="J479" s="227">
        <f t="shared" si="171"/>
        <v>5.6313082002221151</v>
      </c>
      <c r="K479" s="227">
        <f t="shared" si="193"/>
        <v>427866.41693673015</v>
      </c>
      <c r="L479" s="227">
        <f t="shared" si="184"/>
        <v>2688363.9843324376</v>
      </c>
      <c r="M479" s="227">
        <f t="shared" si="172"/>
        <v>431760.70448225609</v>
      </c>
      <c r="N479" s="227">
        <f>SQRT((ABS(AC479)-171.5+'Small Signal'!C$59)^2)</f>
        <v>158.52681247384669</v>
      </c>
      <c r="O479" s="227">
        <f t="shared" si="185"/>
        <v>162.53535114776088</v>
      </c>
      <c r="P479" s="227">
        <f t="shared" si="186"/>
        <v>25.598579151007865</v>
      </c>
      <c r="Q479" s="227">
        <f t="shared" si="194"/>
        <v>427866.41693673015</v>
      </c>
      <c r="R479" s="227" t="str">
        <f t="shared" si="173"/>
        <v>0.0878666666666667+12.6353107263625i</v>
      </c>
      <c r="S479" s="227" t="str">
        <f t="shared" si="174"/>
        <v>0.0085-0.0142457913302002i</v>
      </c>
      <c r="T479" s="227" t="str">
        <f t="shared" si="175"/>
        <v>0.00850995686469469-0.0142272927632535i</v>
      </c>
      <c r="U479" s="227" t="str">
        <f t="shared" si="176"/>
        <v>-0.0742548787293559+0.110074999317361i</v>
      </c>
      <c r="V479" s="227">
        <f t="shared" si="187"/>
        <v>-17.537404826147579</v>
      </c>
      <c r="W479" s="227">
        <f t="shared" si="188"/>
        <v>-235.99701137193188</v>
      </c>
      <c r="X479" s="227" t="str">
        <f t="shared" si="177"/>
        <v>-0.30182876972285-0.335995853264181i</v>
      </c>
      <c r="Y479" s="227" t="str">
        <f t="shared" si="178"/>
        <v>0.0112211975680589-1.90070757213025i</v>
      </c>
      <c r="Z479" s="227" t="str">
        <f t="shared" si="179"/>
        <v>-0.334334320908603+0.296788415079372i</v>
      </c>
      <c r="AA479" s="227" t="str">
        <f t="shared" si="180"/>
        <v>-0.246459195390944+1.40157462137445i</v>
      </c>
      <c r="AB479" s="227">
        <f t="shared" si="189"/>
        <v>3.0645795853607938</v>
      </c>
      <c r="AC479" s="227">
        <f t="shared" si="190"/>
        <v>-260.02681247384669</v>
      </c>
      <c r="AD479" s="229">
        <f t="shared" si="191"/>
        <v>-28.663158736368658</v>
      </c>
      <c r="AE479" s="229">
        <f t="shared" si="192"/>
        <v>97.491461326085798</v>
      </c>
      <c r="AF479" s="227">
        <f t="shared" si="181"/>
        <v>-25.598579151007865</v>
      </c>
      <c r="AG479" s="227">
        <f t="shared" si="182"/>
        <v>-162.53535114776088</v>
      </c>
      <c r="AH479" s="229" t="str">
        <f t="shared" si="183"/>
        <v>0.0048089231414544-0.036569510342442i</v>
      </c>
    </row>
    <row r="480" spans="9:34" x14ac:dyDescent="0.2">
      <c r="I480" s="227">
        <v>476</v>
      </c>
      <c r="J480" s="227">
        <f t="shared" si="171"/>
        <v>5.6410583227488988</v>
      </c>
      <c r="K480" s="227">
        <f t="shared" si="193"/>
        <v>437580.8653001113</v>
      </c>
      <c r="L480" s="227">
        <f t="shared" si="184"/>
        <v>2749401.6635565888</v>
      </c>
      <c r="M480" s="227">
        <f t="shared" si="172"/>
        <v>441695.71352361655</v>
      </c>
      <c r="N480" s="227">
        <f>SQRT((ABS(AC480)-171.5+'Small Signal'!C$59)^2)</f>
        <v>161.61164703151019</v>
      </c>
      <c r="O480" s="227">
        <f t="shared" si="185"/>
        <v>165.78460422811949</v>
      </c>
      <c r="P480" s="227">
        <f t="shared" si="186"/>
        <v>26.193270220575844</v>
      </c>
      <c r="Q480" s="227">
        <f t="shared" si="194"/>
        <v>437580.8653001113</v>
      </c>
      <c r="R480" s="227" t="str">
        <f t="shared" si="173"/>
        <v>0.0878666666666667+12.922187818716i</v>
      </c>
      <c r="S480" s="227" t="str">
        <f t="shared" si="174"/>
        <v>0.0085-0.0139295297766293i</v>
      </c>
      <c r="T480" s="227" t="str">
        <f t="shared" si="175"/>
        <v>0.00850927750657933-0.013911442606753i</v>
      </c>
      <c r="U480" s="227" t="str">
        <f t="shared" si="176"/>
        <v>-0.0739783002053341+0.107633164841123i</v>
      </c>
      <c r="V480" s="227">
        <f t="shared" si="187"/>
        <v>-17.680798570295018</v>
      </c>
      <c r="W480" s="227">
        <f t="shared" si="188"/>
        <v>-235.49852654543881</v>
      </c>
      <c r="X480" s="227" t="str">
        <f t="shared" si="177"/>
        <v>-0.36161431947942-0.343624436012539i</v>
      </c>
      <c r="Y480" s="227" t="str">
        <f t="shared" si="178"/>
        <v>0.0107284552546417-1.85850964432494i</v>
      </c>
      <c r="Z480" s="227" t="str">
        <f t="shared" si="179"/>
        <v>-0.33459061045775+0.34806166666354i</v>
      </c>
      <c r="AA480" s="227" t="str">
        <f t="shared" si="180"/>
        <v>-0.162938814707133+1.34875257861934i</v>
      </c>
      <c r="AB480" s="227">
        <f t="shared" si="189"/>
        <v>2.661570122433059</v>
      </c>
      <c r="AC480" s="227">
        <f t="shared" si="190"/>
        <v>-263.11164703151019</v>
      </c>
      <c r="AD480" s="229">
        <f t="shared" si="191"/>
        <v>-28.854840343008902</v>
      </c>
      <c r="AE480" s="229">
        <f t="shared" si="192"/>
        <v>97.327042803390697</v>
      </c>
      <c r="AF480" s="227">
        <f t="shared" si="181"/>
        <v>-26.193270220575844</v>
      </c>
      <c r="AG480" s="227">
        <f t="shared" si="182"/>
        <v>-165.78460422811949</v>
      </c>
      <c r="AH480" s="229" t="str">
        <f t="shared" si="183"/>
        <v>0.00460129124402353-0.0357846795114337i</v>
      </c>
    </row>
    <row r="481" spans="9:34" x14ac:dyDescent="0.2">
      <c r="I481" s="227">
        <v>477</v>
      </c>
      <c r="J481" s="227">
        <f t="shared" si="171"/>
        <v>5.6508084452756817</v>
      </c>
      <c r="K481" s="227">
        <f t="shared" si="193"/>
        <v>447515.87434147176</v>
      </c>
      <c r="L481" s="227">
        <f t="shared" si="184"/>
        <v>2811825.1663919613</v>
      </c>
      <c r="M481" s="227">
        <f t="shared" si="172"/>
        <v>451856.29093983019</v>
      </c>
      <c r="N481" s="227">
        <f>SQRT((ABS(AC481)-171.5+'Small Signal'!C$59)^2)</f>
        <v>164.48243374782567</v>
      </c>
      <c r="O481" s="227">
        <f t="shared" si="185"/>
        <v>168.81628112375489</v>
      </c>
      <c r="P481" s="227">
        <f t="shared" si="186"/>
        <v>26.810930638602251</v>
      </c>
      <c r="Q481" s="227">
        <f t="shared" si="194"/>
        <v>447515.87434147176</v>
      </c>
      <c r="R481" s="227" t="str">
        <f t="shared" si="173"/>
        <v>0.0878666666666667+13.2155782820422i</v>
      </c>
      <c r="S481" s="227" t="str">
        <f t="shared" si="174"/>
        <v>0.0085-0.0136202893402395i</v>
      </c>
      <c r="T481" s="227" t="str">
        <f t="shared" si="175"/>
        <v>0.00850862797754846-0.0136026043872217i</v>
      </c>
      <c r="U481" s="227" t="str">
        <f t="shared" si="176"/>
        <v>-0.0737138658959496+0.105245418196324i</v>
      </c>
      <c r="V481" s="227">
        <f t="shared" si="187"/>
        <v>-17.822441915703862</v>
      </c>
      <c r="W481" s="227">
        <f t="shared" si="188"/>
        <v>-234.9926104084384</v>
      </c>
      <c r="X481" s="227" t="str">
        <f t="shared" si="177"/>
        <v>-0.42414547760079-0.351426221120934i</v>
      </c>
      <c r="Y481" s="227" t="str">
        <f t="shared" si="178"/>
        <v>0.0102573519488292-1.81724862651253i</v>
      </c>
      <c r="Z481" s="227" t="str">
        <f t="shared" si="179"/>
        <v>-0.334835644926209+0.399510285378272i</v>
      </c>
      <c r="AA481" s="227" t="str">
        <f t="shared" si="180"/>
        <v>-0.0906298383427663+1.29038170157563i</v>
      </c>
      <c r="AB481" s="227">
        <f t="shared" si="189"/>
        <v>2.2357347451961371</v>
      </c>
      <c r="AC481" s="227">
        <f t="shared" si="190"/>
        <v>-265.98243374782567</v>
      </c>
      <c r="AD481" s="229">
        <f t="shared" si="191"/>
        <v>-29.046665383798388</v>
      </c>
      <c r="AE481" s="229">
        <f t="shared" si="192"/>
        <v>97.166152624070776</v>
      </c>
      <c r="AF481" s="227">
        <f t="shared" si="181"/>
        <v>-26.810930638602251</v>
      </c>
      <c r="AG481" s="227">
        <f t="shared" si="182"/>
        <v>-168.81628112375489</v>
      </c>
      <c r="AH481" s="229" t="str">
        <f t="shared" si="183"/>
        <v>0.00440247871637712-0.0350155497993991i</v>
      </c>
    </row>
    <row r="482" spans="9:34" x14ac:dyDescent="0.2">
      <c r="I482" s="227">
        <v>478</v>
      </c>
      <c r="J482" s="227">
        <f t="shared" si="171"/>
        <v>5.6605585678024655</v>
      </c>
      <c r="K482" s="227">
        <f t="shared" si="193"/>
        <v>457676.4517576854</v>
      </c>
      <c r="L482" s="227">
        <f t="shared" si="184"/>
        <v>2875665.9571259758</v>
      </c>
      <c r="M482" s="227">
        <f t="shared" si="172"/>
        <v>462247.55812449602</v>
      </c>
      <c r="N482" s="227">
        <f>SQRT((ABS(AC482)-171.5+'Small Signal'!C$59)^2)</f>
        <v>167.13666641572752</v>
      </c>
      <c r="O482" s="227">
        <f t="shared" si="185"/>
        <v>171.62794619132112</v>
      </c>
      <c r="P482" s="227">
        <f t="shared" si="186"/>
        <v>27.446567787283698</v>
      </c>
      <c r="Q482" s="227">
        <f t="shared" si="194"/>
        <v>457676.4517576854</v>
      </c>
      <c r="R482" s="227" t="str">
        <f t="shared" si="173"/>
        <v>0.0878666666666667+13.5156299984921i</v>
      </c>
      <c r="S482" s="227" t="str">
        <f t="shared" si="174"/>
        <v>0.0085-0.013317914149772i</v>
      </c>
      <c r="T482" s="227" t="str">
        <f t="shared" si="175"/>
        <v>0.00850800696787693-0.0133006224402693i</v>
      </c>
      <c r="U482" s="227" t="str">
        <f t="shared" si="176"/>
        <v>-0.0734610425536371+0.102910566545342i</v>
      </c>
      <c r="V482" s="227">
        <f t="shared" si="187"/>
        <v>-17.962300509799562</v>
      </c>
      <c r="W482" s="227">
        <f t="shared" si="188"/>
        <v>-234.47947043782662</v>
      </c>
      <c r="X482" s="227" t="str">
        <f t="shared" si="177"/>
        <v>-0.48954833417602-0.359405141044257i</v>
      </c>
      <c r="Y482" s="227" t="str">
        <f t="shared" si="178"/>
        <v>0.00980693720592956-1.77690371237217i</v>
      </c>
      <c r="Z482" s="227" t="str">
        <f t="shared" si="179"/>
        <v>-0.335069918668562+0.451160208344628i</v>
      </c>
      <c r="AA482" s="227" t="str">
        <f t="shared" si="180"/>
        <v>-0.0292443192885667+1.22879671432596i</v>
      </c>
      <c r="AB482" s="227">
        <f t="shared" si="189"/>
        <v>1.7920599745358101</v>
      </c>
      <c r="AC482" s="227">
        <f t="shared" si="190"/>
        <v>-268.63666641572752</v>
      </c>
      <c r="AD482" s="229">
        <f t="shared" si="191"/>
        <v>-29.238627761819508</v>
      </c>
      <c r="AE482" s="229">
        <f t="shared" si="192"/>
        <v>97.008720224406403</v>
      </c>
      <c r="AF482" s="227">
        <f t="shared" si="181"/>
        <v>-27.446567787283698</v>
      </c>
      <c r="AG482" s="227">
        <f t="shared" si="182"/>
        <v>-171.62794619132112</v>
      </c>
      <c r="AH482" s="229" t="str">
        <f t="shared" si="183"/>
        <v>0.00421212325576176-0.0342618808786044i</v>
      </c>
    </row>
    <row r="483" spans="9:34" x14ac:dyDescent="0.2">
      <c r="I483" s="227">
        <v>479</v>
      </c>
      <c r="J483" s="227">
        <f t="shared" si="171"/>
        <v>5.6703086903292483</v>
      </c>
      <c r="K483" s="227">
        <f t="shared" si="193"/>
        <v>468067.71894235123</v>
      </c>
      <c r="L483" s="227">
        <f t="shared" si="184"/>
        <v>2940956.2144236453</v>
      </c>
      <c r="M483" s="227">
        <f t="shared" si="172"/>
        <v>472874.75274936209</v>
      </c>
      <c r="N483" s="227">
        <f>SQRT((ABS(AC483)-171.5+'Small Signal'!C$59)^2)</f>
        <v>169.57709735317883</v>
      </c>
      <c r="O483" s="227">
        <f t="shared" si="185"/>
        <v>174.22242123443937</v>
      </c>
      <c r="P483" s="227">
        <f t="shared" si="186"/>
        <v>28.095648723723819</v>
      </c>
      <c r="Q483" s="227">
        <f t="shared" si="194"/>
        <v>468067.71894235123</v>
      </c>
      <c r="R483" s="227" t="str">
        <f t="shared" si="173"/>
        <v>0.0878666666666667+13.8224942077911i</v>
      </c>
      <c r="S483" s="227" t="str">
        <f t="shared" si="174"/>
        <v>0.0085-0.0130222517943644i</v>
      </c>
      <c r="T483" s="227" t="str">
        <f t="shared" si="175"/>
        <v>0.00850741322534634-0.0130053445571101i</v>
      </c>
      <c r="U483" s="227" t="str">
        <f t="shared" si="176"/>
        <v>-0.0732193203464128+0.100627443015254i</v>
      </c>
      <c r="V483" s="227">
        <f t="shared" si="187"/>
        <v>-18.10034071253687</v>
      </c>
      <c r="W483" s="227">
        <f t="shared" si="188"/>
        <v>-233.95932440146237</v>
      </c>
      <c r="X483" s="227" t="str">
        <f t="shared" si="177"/>
        <v>-0.55795476989082-0.367565217521407i</v>
      </c>
      <c r="Y483" s="227" t="str">
        <f t="shared" si="178"/>
        <v>0.00937630234094508-1.73745455791982i</v>
      </c>
      <c r="Z483" s="227" t="str">
        <f t="shared" si="179"/>
        <v>-0.335293904318918+0.503037473845872i</v>
      </c>
      <c r="AA483" s="227" t="str">
        <f t="shared" si="180"/>
        <v>0.0219210014852897+1.16594187768956i</v>
      </c>
      <c r="AB483" s="227">
        <f t="shared" si="189"/>
        <v>1.3350729072678023</v>
      </c>
      <c r="AC483" s="227">
        <f t="shared" si="190"/>
        <v>-271.07709735317883</v>
      </c>
      <c r="AD483" s="229">
        <f t="shared" si="191"/>
        <v>-29.43072163099162</v>
      </c>
      <c r="AE483" s="229">
        <f t="shared" si="192"/>
        <v>96.854676118739462</v>
      </c>
      <c r="AF483" s="227">
        <f t="shared" si="181"/>
        <v>-28.095648723723819</v>
      </c>
      <c r="AG483" s="227">
        <f t="shared" si="182"/>
        <v>-174.22242123443937</v>
      </c>
      <c r="AH483" s="229" t="str">
        <f t="shared" si="183"/>
        <v>0.0040298763994082-0.0335234311145288i</v>
      </c>
    </row>
    <row r="484" spans="9:34" x14ac:dyDescent="0.2">
      <c r="I484" s="227">
        <v>480</v>
      </c>
      <c r="J484" s="227">
        <f t="shared" si="171"/>
        <v>5.6800588128560321</v>
      </c>
      <c r="K484" s="227">
        <f t="shared" si="193"/>
        <v>478694.9135672173</v>
      </c>
      <c r="L484" s="227">
        <f t="shared" si="184"/>
        <v>3007728.8475471418</v>
      </c>
      <c r="M484" s="227">
        <f t="shared" si="172"/>
        <v>483743.23140434752</v>
      </c>
      <c r="N484" s="227">
        <f>SQRT((ABS(AC484)-171.5+'Small Signal'!C$59)^2)</f>
        <v>171.81040595153797</v>
      </c>
      <c r="O484" s="227">
        <f t="shared" si="185"/>
        <v>176.60645404598259</v>
      </c>
      <c r="P484" s="227">
        <f t="shared" si="186"/>
        <v>28.754184046394716</v>
      </c>
      <c r="Q484" s="227">
        <f t="shared" si="194"/>
        <v>478694.9135672173</v>
      </c>
      <c r="R484" s="227" t="str">
        <f t="shared" si="173"/>
        <v>0.0878666666666667+14.1363255834716i</v>
      </c>
      <c r="S484" s="227" t="str">
        <f t="shared" si="174"/>
        <v>0.0085-0.0127331532467291i</v>
      </c>
      <c r="T484" s="227" t="str">
        <f t="shared" si="175"/>
        <v>0.00850684555272004-0.0127166219078601i</v>
      </c>
      <c r="U484" s="227" t="str">
        <f t="shared" si="176"/>
        <v>-0.0729882118295841+0.0983949061550712i</v>
      </c>
      <c r="V484" s="227">
        <f t="shared" si="187"/>
        <v>-18.236529698248514</v>
      </c>
      <c r="W484" s="227">
        <f t="shared" si="188"/>
        <v>-233.43240027852679</v>
      </c>
      <c r="X484" s="227" t="str">
        <f t="shared" si="177"/>
        <v>-0.62950272195645-0.375910563602435i</v>
      </c>
      <c r="Y484" s="227" t="str">
        <f t="shared" si="178"/>
        <v>0.00896457859259841-1.69888127121604i</v>
      </c>
      <c r="Z484" s="227" t="str">
        <f t="shared" si="179"/>
        <v>-0.335508053745813+0.555168234471629i</v>
      </c>
      <c r="AA484" s="227" t="str">
        <f t="shared" si="180"/>
        <v>0.0638197108390559+1.10334815785946i</v>
      </c>
      <c r="AB484" s="227">
        <f t="shared" si="189"/>
        <v>0.86875734006291827</v>
      </c>
      <c r="AC484" s="227">
        <f t="shared" si="190"/>
        <v>-273.31040595153797</v>
      </c>
      <c r="AD484" s="229">
        <f t="shared" si="191"/>
        <v>-29.622941386457633</v>
      </c>
      <c r="AE484" s="229">
        <f t="shared" si="192"/>
        <v>96.703951905555385</v>
      </c>
      <c r="AF484" s="227">
        <f t="shared" si="181"/>
        <v>-28.754184046394716</v>
      </c>
      <c r="AG484" s="227">
        <f t="shared" si="182"/>
        <v>-176.60645404598259</v>
      </c>
      <c r="AH484" s="229" t="str">
        <f t="shared" si="183"/>
        <v>0.00385540308539861-0.0327999579856837i</v>
      </c>
    </row>
    <row r="485" spans="9:34" x14ac:dyDescent="0.2">
      <c r="I485" s="227">
        <v>481</v>
      </c>
      <c r="J485" s="227">
        <f t="shared" si="171"/>
        <v>5.6898089353828158</v>
      </c>
      <c r="K485" s="227">
        <f t="shared" si="193"/>
        <v>489563.39222220273</v>
      </c>
      <c r="L485" s="227">
        <f t="shared" si="184"/>
        <v>3076017.5129435412</v>
      </c>
      <c r="M485" s="227">
        <f t="shared" si="172"/>
        <v>494858.47229750501</v>
      </c>
      <c r="N485" s="227">
        <f>SQRT((ABS(AC485)-171.5+'Small Signal'!C$59)^2)</f>
        <v>173.84599164617612</v>
      </c>
      <c r="O485" s="227">
        <f t="shared" si="185"/>
        <v>178.78951137451685</v>
      </c>
      <c r="P485" s="227">
        <f t="shared" si="186"/>
        <v>29.418752018420928</v>
      </c>
      <c r="Q485" s="227">
        <f t="shared" si="194"/>
        <v>489563.39222220273</v>
      </c>
      <c r="R485" s="227" t="str">
        <f t="shared" si="173"/>
        <v>0.0878666666666667+14.4572823108346i</v>
      </c>
      <c r="S485" s="227" t="str">
        <f t="shared" si="174"/>
        <v>0.0085-0.0124504727880359i</v>
      </c>
      <c r="T485" s="227" t="str">
        <f t="shared" si="175"/>
        <v>0.00850630280532905-0.0124343089665358i</v>
      </c>
      <c r="U485" s="227" t="str">
        <f t="shared" si="176"/>
        <v>-0.0727672509626298+0.0962118394028426i</v>
      </c>
      <c r="V485" s="227">
        <f t="shared" si="187"/>
        <v>-18.370835558105654</v>
      </c>
      <c r="W485" s="227">
        <f t="shared" si="188"/>
        <v>-232.898936133696</v>
      </c>
      <c r="X485" s="227" t="str">
        <f t="shared" si="177"/>
        <v>-0.70433646225146-0.384445385721707i</v>
      </c>
      <c r="Y485" s="227" t="str">
        <f t="shared" si="178"/>
        <v>0.00857093536819695-1.66116440230448i</v>
      </c>
      <c r="Z485" s="227" t="str">
        <f t="shared" si="179"/>
        <v>-0.335712798965141+0.607578770318675i</v>
      </c>
      <c r="AA485" s="227" t="str">
        <f t="shared" si="180"/>
        <v>0.0975218186416665+1.04215731370197i</v>
      </c>
      <c r="AB485" s="227">
        <f t="shared" si="189"/>
        <v>0.39652963685630949</v>
      </c>
      <c r="AC485" s="227">
        <f t="shared" si="190"/>
        <v>-275.34599164617612</v>
      </c>
      <c r="AD485" s="229">
        <f t="shared" si="191"/>
        <v>-29.815281655277239</v>
      </c>
      <c r="AE485" s="229">
        <f t="shared" si="192"/>
        <v>96.556480271659268</v>
      </c>
      <c r="AF485" s="227">
        <f t="shared" si="181"/>
        <v>-29.418752018420928</v>
      </c>
      <c r="AG485" s="227">
        <f t="shared" si="182"/>
        <v>-178.78951137451685</v>
      </c>
      <c r="AH485" s="229" t="str">
        <f t="shared" si="183"/>
        <v>0.00368838121944185-0.0320912184728876i</v>
      </c>
    </row>
    <row r="486" spans="9:34" x14ac:dyDescent="0.2">
      <c r="I486" s="227">
        <v>482</v>
      </c>
      <c r="J486" s="227">
        <f t="shared" si="171"/>
        <v>5.6995590579095987</v>
      </c>
      <c r="K486" s="227">
        <f t="shared" si="193"/>
        <v>500678.63311536022</v>
      </c>
      <c r="L486" s="227">
        <f t="shared" si="184"/>
        <v>3145856.63120919</v>
      </c>
      <c r="M486" s="227">
        <f t="shared" si="172"/>
        <v>506226.07801629329</v>
      </c>
      <c r="N486" s="227">
        <f>SQRT((ABS(AC486)-171.5+'Small Signal'!C$59)^2)</f>
        <v>175.69495979883948</v>
      </c>
      <c r="O486" s="227">
        <f t="shared" si="185"/>
        <v>180.78276480425359</v>
      </c>
      <c r="P486" s="227">
        <f t="shared" si="186"/>
        <v>30.086480934681692</v>
      </c>
      <c r="Q486" s="227">
        <f t="shared" si="194"/>
        <v>500678.63311536022</v>
      </c>
      <c r="R486" s="227" t="str">
        <f t="shared" si="173"/>
        <v>0.0878666666666667+14.7855261666832i</v>
      </c>
      <c r="S486" s="227" t="str">
        <f t="shared" si="174"/>
        <v>0.0085-0.0121740679344642i</v>
      </c>
      <c r="T486" s="227" t="str">
        <f t="shared" si="175"/>
        <v>0.00850578388876397-0.012158263437719i</v>
      </c>
      <c r="U486" s="227" t="str">
        <f t="shared" si="176"/>
        <v>-0.0725559921692598+0.0940771505625373i</v>
      </c>
      <c r="V486" s="227">
        <f t="shared" si="187"/>
        <v>-18.503227402640675</v>
      </c>
      <c r="W486" s="227">
        <f t="shared" si="188"/>
        <v>-232.35917994387179</v>
      </c>
      <c r="X486" s="227" t="str">
        <f t="shared" si="177"/>
        <v>-0.78260688823655-0.393173985818138i</v>
      </c>
      <c r="Y486" s="227" t="str">
        <f t="shared" si="178"/>
        <v>0.00819457856573707-1.62428493337523i</v>
      </c>
      <c r="Z486" s="227" t="str">
        <f t="shared" si="179"/>
        <v>-0.335908553012865+0.660295502254443i</v>
      </c>
      <c r="AA486" s="227" t="str">
        <f t="shared" si="180"/>
        <v>0.124115647934157+0.983172058130267i</v>
      </c>
      <c r="AB486" s="227">
        <f t="shared" si="189"/>
        <v>-7.8743647257084409E-2</v>
      </c>
      <c r="AC486" s="227">
        <f t="shared" si="190"/>
        <v>-277.19495979883948</v>
      </c>
      <c r="AD486" s="229">
        <f t="shared" si="191"/>
        <v>-30.007737287424607</v>
      </c>
      <c r="AE486" s="229">
        <f t="shared" si="192"/>
        <v>96.412194994585903</v>
      </c>
      <c r="AF486" s="227">
        <f t="shared" si="181"/>
        <v>-30.086480934681692</v>
      </c>
      <c r="AG486" s="227">
        <f t="shared" si="182"/>
        <v>-180.78276480425359</v>
      </c>
      <c r="AH486" s="229" t="str">
        <f t="shared" si="183"/>
        <v>0.00352850124831266-0.0313969694196304i</v>
      </c>
    </row>
    <row r="487" spans="9:34" x14ac:dyDescent="0.2">
      <c r="I487" s="227">
        <v>483</v>
      </c>
      <c r="J487" s="227">
        <f t="shared" si="171"/>
        <v>5.7093091804363825</v>
      </c>
      <c r="K487" s="227">
        <f t="shared" si="193"/>
        <v>512046.23883414851</v>
      </c>
      <c r="L487" s="227">
        <f t="shared" si="184"/>
        <v>3217281.404439291</v>
      </c>
      <c r="M487" s="227">
        <f t="shared" si="172"/>
        <v>517851.77835152816</v>
      </c>
      <c r="N487" s="227">
        <f>SQRT((ABS(AC487)-171.5+'Small Signal'!C$59)^2)</f>
        <v>177.36931961682819</v>
      </c>
      <c r="O487" s="227">
        <f t="shared" si="185"/>
        <v>182.59828867345362</v>
      </c>
      <c r="P487" s="227">
        <f t="shared" si="186"/>
        <v>30.755005753870606</v>
      </c>
      <c r="Q487" s="227">
        <f t="shared" si="194"/>
        <v>512046.23883414851</v>
      </c>
      <c r="R487" s="227" t="str">
        <f t="shared" si="173"/>
        <v>0.0878666666666667+15.1212226008647i</v>
      </c>
      <c r="S487" s="227" t="str">
        <f t="shared" si="174"/>
        <v>0.0085-0.0119037993653838i</v>
      </c>
      <c r="T487" s="227" t="str">
        <f t="shared" si="175"/>
        <v>0.00850528775666823-0.0118883461848471i</v>
      </c>
      <c r="U487" s="227" t="str">
        <f t="shared" si="176"/>
        <v>-0.0723540094387526+0.091989771290614i</v>
      </c>
      <c r="V487" s="227">
        <f t="shared" si="187"/>
        <v>-18.633675463752404</v>
      </c>
      <c r="W487" s="227">
        <f t="shared" si="188"/>
        <v>-231.81338937653771</v>
      </c>
      <c r="X487" s="227" t="str">
        <f t="shared" si="177"/>
        <v>-0.86447182722984-0.402100763503566i</v>
      </c>
      <c r="Y487" s="227" t="str">
        <f t="shared" si="178"/>
        <v>0.00783474896985188-1.58822426914829i</v>
      </c>
      <c r="Z487" s="227" t="str">
        <f t="shared" si="179"/>
        <v>-0.336095710779347+0.713345005250723i</v>
      </c>
      <c r="AA487" s="227" t="str">
        <f t="shared" si="180"/>
        <v>0.144642756198227+0.926916333767068i</v>
      </c>
      <c r="AB487" s="227">
        <f t="shared" si="189"/>
        <v>-0.55470240678636296</v>
      </c>
      <c r="AC487" s="227">
        <f t="shared" si="190"/>
        <v>-278.86931961682819</v>
      </c>
      <c r="AD487" s="229">
        <f t="shared" si="191"/>
        <v>-30.200303347084244</v>
      </c>
      <c r="AE487" s="229">
        <f t="shared" si="192"/>
        <v>96.271030943374555</v>
      </c>
      <c r="AF487" s="227">
        <f t="shared" si="181"/>
        <v>-30.755005753870606</v>
      </c>
      <c r="AG487" s="227">
        <f t="shared" si="182"/>
        <v>-182.59828867345362</v>
      </c>
      <c r="AH487" s="229" t="str">
        <f t="shared" si="183"/>
        <v>0.00337546574060692-0.0307169678651155i</v>
      </c>
    </row>
    <row r="488" spans="9:34" x14ac:dyDescent="0.2">
      <c r="I488" s="227">
        <v>484</v>
      </c>
      <c r="J488" s="227">
        <f t="shared" si="171"/>
        <v>5.7190593029631653</v>
      </c>
      <c r="K488" s="227">
        <f t="shared" si="193"/>
        <v>523671.93916938337</v>
      </c>
      <c r="L488" s="227">
        <f t="shared" si="184"/>
        <v>3290327.8339713118</v>
      </c>
      <c r="M488" s="227">
        <f t="shared" si="172"/>
        <v>529741.43318546878</v>
      </c>
      <c r="N488" s="227">
        <f>SQRT((ABS(AC488)-171.5+'Small Signal'!C$59)^2)</f>
        <v>178.8813822670117</v>
      </c>
      <c r="O488" s="227">
        <f t="shared" si="185"/>
        <v>184.24845818917836</v>
      </c>
      <c r="P488" s="227">
        <f t="shared" si="186"/>
        <v>31.42241153690351</v>
      </c>
      <c r="Q488" s="227">
        <f t="shared" si="194"/>
        <v>523671.93916938337</v>
      </c>
      <c r="R488" s="227" t="str">
        <f t="shared" si="173"/>
        <v>0.0878666666666667+15.4645408196652i</v>
      </c>
      <c r="S488" s="227" t="str">
        <f t="shared" si="174"/>
        <v>0.0085-0.0116395308531312i</v>
      </c>
      <c r="T488" s="227" t="str">
        <f t="shared" si="175"/>
        <v>0.00850481340862819-0.0116244211600948i</v>
      </c>
      <c r="U488" s="227" t="str">
        <f t="shared" si="176"/>
        <v>-0.0721608954667667+0.0899486565922004i</v>
      </c>
      <c r="V488" s="227">
        <f t="shared" si="187"/>
        <v>-18.762151195587066</v>
      </c>
      <c r="W488" s="227">
        <f t="shared" si="188"/>
        <v>-231.26183151915785</v>
      </c>
      <c r="X488" s="227" t="str">
        <f t="shared" si="177"/>
        <v>-0.95009635465545-0.411230218280356i</v>
      </c>
      <c r="Y488" s="227" t="str">
        <f t="shared" si="178"/>
        <v>0.00749072071838403-1.55296422747179i</v>
      </c>
      <c r="Z488" s="227" t="str">
        <f t="shared" si="179"/>
        <v>-0.336274649806934+0.766754021793613i</v>
      </c>
      <c r="AA488" s="227" t="str">
        <f t="shared" si="180"/>
        <v>0.160059641633128+0.87369525736432i</v>
      </c>
      <c r="AB488" s="227">
        <f t="shared" si="189"/>
        <v>-1.0294364326636709</v>
      </c>
      <c r="AC488" s="227">
        <f t="shared" si="190"/>
        <v>-280.3813822670117</v>
      </c>
      <c r="AD488" s="229">
        <f t="shared" si="191"/>
        <v>-30.392975104239838</v>
      </c>
      <c r="AE488" s="229">
        <f t="shared" si="192"/>
        <v>96.132924077833337</v>
      </c>
      <c r="AF488" s="227">
        <f t="shared" si="181"/>
        <v>-31.42241153690351</v>
      </c>
      <c r="AG488" s="227">
        <f t="shared" si="182"/>
        <v>-184.24845818917836</v>
      </c>
      <c r="AH488" s="229" t="str">
        <f t="shared" si="183"/>
        <v>0.00322898897536905-0.0300509713515023i</v>
      </c>
    </row>
    <row r="489" spans="9:34" x14ac:dyDescent="0.2">
      <c r="I489" s="227">
        <v>485</v>
      </c>
      <c r="J489" s="227">
        <f t="shared" si="171"/>
        <v>5.7288094254899491</v>
      </c>
      <c r="K489" s="227">
        <f t="shared" si="193"/>
        <v>535561.59400332405</v>
      </c>
      <c r="L489" s="227">
        <f t="shared" si="184"/>
        <v>3365032.7385313646</v>
      </c>
      <c r="M489" s="227">
        <f t="shared" si="172"/>
        <v>541901.03544545243</v>
      </c>
      <c r="N489" s="227">
        <f>SQRT((ABS(AC489)-171.5+'Small Signal'!C$59)^2)</f>
        <v>180.24333155683678</v>
      </c>
      <c r="O489" s="227">
        <f t="shared" si="185"/>
        <v>185.74552011042721</v>
      </c>
      <c r="P489" s="227">
        <f t="shared" si="186"/>
        <v>32.087172563207005</v>
      </c>
      <c r="Q489" s="227">
        <f t="shared" si="194"/>
        <v>535561.59400332405</v>
      </c>
      <c r="R489" s="227" t="str">
        <f t="shared" si="173"/>
        <v>0.0878666666666667+15.8156538710974i</v>
      </c>
      <c r="S489" s="227" t="str">
        <f t="shared" si="174"/>
        <v>0.0085-0.0113811291943449i</v>
      </c>
      <c r="T489" s="227" t="str">
        <f t="shared" si="175"/>
        <v>0.00850435988815595-0.0113663553358135i</v>
      </c>
      <c r="U489" s="227" t="str">
        <f t="shared" si="176"/>
        <v>-0.0719762608338803+0.0879527843267869i</v>
      </c>
      <c r="V489" s="227">
        <f t="shared" si="187"/>
        <v>-18.888627373669781</v>
      </c>
      <c r="W489" s="227">
        <f t="shared" si="188"/>
        <v>-230.70478255941916</v>
      </c>
      <c r="X489" s="227" t="str">
        <f t="shared" si="177"/>
        <v>-1.0396531269076-0.420566951809357i</v>
      </c>
      <c r="Y489" s="227" t="str">
        <f t="shared" si="178"/>
        <v>0.0071617998363537-1.51848703013056i</v>
      </c>
      <c r="Z489" s="227" t="str">
        <f t="shared" si="179"/>
        <v>-0.33644573105247+0.820549475377195i</v>
      </c>
      <c r="AA489" s="227" t="str">
        <f t="shared" si="180"/>
        <v>0.171219220782411+0.823648946097945i</v>
      </c>
      <c r="AB489" s="227">
        <f t="shared" si="189"/>
        <v>-1.5014245366558758</v>
      </c>
      <c r="AC489" s="227">
        <f t="shared" si="190"/>
        <v>-281.74333155683678</v>
      </c>
      <c r="AD489" s="229">
        <f t="shared" si="191"/>
        <v>-30.585748026551126</v>
      </c>
      <c r="AE489" s="229">
        <f t="shared" si="192"/>
        <v>95.997811446409557</v>
      </c>
      <c r="AF489" s="227">
        <f t="shared" si="181"/>
        <v>-32.087172563207005</v>
      </c>
      <c r="AG489" s="227">
        <f t="shared" si="182"/>
        <v>-185.74552011042721</v>
      </c>
      <c r="AH489" s="229" t="str">
        <f t="shared" si="183"/>
        <v>0.00308879653905944-0.0293987382068098i</v>
      </c>
    </row>
    <row r="490" spans="9:34" x14ac:dyDescent="0.2">
      <c r="I490" s="227">
        <v>486</v>
      </c>
      <c r="J490" s="227">
        <f t="shared" si="171"/>
        <v>5.738559548016732</v>
      </c>
      <c r="K490" s="227">
        <f t="shared" si="193"/>
        <v>547721.19626330771</v>
      </c>
      <c r="L490" s="227">
        <f t="shared" si="184"/>
        <v>3441433.7727924413</v>
      </c>
      <c r="M490" s="227">
        <f t="shared" si="172"/>
        <v>554336.71412461286</v>
      </c>
      <c r="N490" s="227">
        <f>SQRT((ABS(AC490)-171.5+'Small Signal'!C$59)^2)</f>
        <v>181.46693427073075</v>
      </c>
      <c r="O490" s="227">
        <f t="shared" si="185"/>
        <v>187.10130308795326</v>
      </c>
      <c r="P490" s="227">
        <f t="shared" si="186"/>
        <v>32.748092826251472</v>
      </c>
      <c r="Q490" s="227">
        <f t="shared" si="194"/>
        <v>547721.19626330771</v>
      </c>
      <c r="R490" s="227" t="str">
        <f t="shared" si="173"/>
        <v>0.0878666666666667+16.1747387321245i</v>
      </c>
      <c r="S490" s="227" t="str">
        <f t="shared" si="174"/>
        <v>0.0085-0.0111284641428244i</v>
      </c>
      <c r="T490" s="227" t="str">
        <f t="shared" si="175"/>
        <v>0.00850392628076066-0.0111140186374898i</v>
      </c>
      <c r="U490" s="227" t="str">
        <f t="shared" si="176"/>
        <v>-0.0717997332202146+0.0860011547233168i</v>
      </c>
      <c r="V490" s="227">
        <f t="shared" si="187"/>
        <v>-19.013078191647569</v>
      </c>
      <c r="W490" s="227">
        <f t="shared" si="188"/>
        <v>-230.14252741649884</v>
      </c>
      <c r="X490" s="227" t="str">
        <f t="shared" si="177"/>
        <v>-1.13332272950121-0.43011567022934i</v>
      </c>
      <c r="Y490" s="227" t="str">
        <f t="shared" si="178"/>
        <v>0.00684732283453141-1.48477529385985i</v>
      </c>
      <c r="Z490" s="227" t="str">
        <f t="shared" si="179"/>
        <v>-0.336609299616256+0.874758484087372i</v>
      </c>
      <c r="AA490" s="227" t="str">
        <f t="shared" si="180"/>
        <v>0.178865769026094+0.776797764924278i</v>
      </c>
      <c r="AB490" s="227">
        <f t="shared" si="189"/>
        <v>-1.9694750547400663</v>
      </c>
      <c r="AC490" s="227">
        <f t="shared" si="190"/>
        <v>-282.96693427073075</v>
      </c>
      <c r="AD490" s="229">
        <f t="shared" si="191"/>
        <v>-30.778617771511406</v>
      </c>
      <c r="AE490" s="229">
        <f t="shared" si="192"/>
        <v>95.865631182777491</v>
      </c>
      <c r="AF490" s="227">
        <f t="shared" si="181"/>
        <v>-32.748092826251472</v>
      </c>
      <c r="AG490" s="227">
        <f t="shared" si="182"/>
        <v>-187.10130308795326</v>
      </c>
      <c r="AH490" s="229" t="str">
        <f t="shared" si="183"/>
        <v>0.00295462493125165-0.028760027804888i</v>
      </c>
    </row>
    <row r="491" spans="9:34" x14ac:dyDescent="0.2">
      <c r="I491" s="227">
        <v>487</v>
      </c>
      <c r="J491" s="227">
        <f t="shared" si="171"/>
        <v>5.7483096705435157</v>
      </c>
      <c r="K491" s="227">
        <f t="shared" si="193"/>
        <v>560156.87494246813</v>
      </c>
      <c r="L491" s="227">
        <f t="shared" si="184"/>
        <v>3519569.4463541489</v>
      </c>
      <c r="M491" s="227">
        <f t="shared" si="172"/>
        <v>567054.73737116694</v>
      </c>
      <c r="N491" s="227">
        <f>SQRT((ABS(AC491)-171.5+'Small Signal'!C$59)^2)</f>
        <v>182.56335820603704</v>
      </c>
      <c r="O491" s="227">
        <f t="shared" si="185"/>
        <v>188.32703570479083</v>
      </c>
      <c r="P491" s="227">
        <f t="shared" si="186"/>
        <v>33.404251179310307</v>
      </c>
      <c r="Q491" s="227">
        <f t="shared" si="194"/>
        <v>560156.87494246813</v>
      </c>
      <c r="R491" s="227" t="str">
        <f t="shared" si="173"/>
        <v>0.0878666666666667+16.5419763978645i</v>
      </c>
      <c r="S491" s="227" t="str">
        <f t="shared" si="174"/>
        <v>0.0085-0.0108814083438807i</v>
      </c>
      <c r="T491" s="227" t="str">
        <f t="shared" si="175"/>
        <v>0.00850351171210456-0.0108672838781941i</v>
      </c>
      <c r="U491" s="227" t="str">
        <f t="shared" si="176"/>
        <v>-0.0716309566545457+0.0840927899045923i</v>
      </c>
      <c r="V491" s="227">
        <f t="shared" si="187"/>
        <v>-19.135479354995685</v>
      </c>
      <c r="W491" s="227">
        <f t="shared" si="188"/>
        <v>-229.57535932397849</v>
      </c>
      <c r="X491" s="227" t="str">
        <f t="shared" si="177"/>
        <v>-1.23129404121111-0.43988118652912i</v>
      </c>
      <c r="Y491" s="227" t="str">
        <f t="shared" si="178"/>
        <v>0.00654665536954328-1.45181202156i</v>
      </c>
      <c r="Z491" s="227" t="str">
        <f t="shared" si="179"/>
        <v>-0.336765685438943+0.929408374283116i</v>
      </c>
      <c r="AA491" s="227" t="str">
        <f t="shared" si="180"/>
        <v>0.183638301901504+0.733078609484987i</v>
      </c>
      <c r="AB491" s="227">
        <f t="shared" si="189"/>
        <v>-2.4326710004293899</v>
      </c>
      <c r="AC491" s="227">
        <f t="shared" si="190"/>
        <v>-284.06335820603704</v>
      </c>
      <c r="AD491" s="229">
        <f t="shared" si="191"/>
        <v>-30.971580178880917</v>
      </c>
      <c r="AE491" s="229">
        <f t="shared" si="192"/>
        <v>95.736322501246192</v>
      </c>
      <c r="AF491" s="227">
        <f t="shared" si="181"/>
        <v>-33.404251179310307</v>
      </c>
      <c r="AG491" s="227">
        <f t="shared" si="182"/>
        <v>-188.32703570479083</v>
      </c>
      <c r="AH491" s="229" t="str">
        <f t="shared" si="183"/>
        <v>0.00282622117937465-0.0281346008037955i</v>
      </c>
    </row>
    <row r="492" spans="9:34" x14ac:dyDescent="0.2">
      <c r="I492" s="227">
        <v>488</v>
      </c>
      <c r="J492" s="227">
        <f t="shared" si="171"/>
        <v>5.7580597930702986</v>
      </c>
      <c r="K492" s="227">
        <f t="shared" si="193"/>
        <v>572874.89818902221</v>
      </c>
      <c r="L492" s="227">
        <f t="shared" si="184"/>
        <v>3599479.1431532656</v>
      </c>
      <c r="M492" s="227">
        <f t="shared" si="172"/>
        <v>580061.51564785012</v>
      </c>
      <c r="N492" s="227">
        <f>SQRT((ABS(AC492)-171.5+'Small Signal'!C$59)^2)</f>
        <v>183.54306999215225</v>
      </c>
      <c r="O492" s="227">
        <f t="shared" si="185"/>
        <v>189.4332443010652</v>
      </c>
      <c r="P492" s="227">
        <f t="shared" si="186"/>
        <v>34.054952696898916</v>
      </c>
      <c r="Q492" s="227">
        <f t="shared" si="194"/>
        <v>572874.89818902221</v>
      </c>
      <c r="R492" s="227" t="str">
        <f t="shared" si="173"/>
        <v>0.0878666666666667+16.9175519728203i</v>
      </c>
      <c r="S492" s="227" t="str">
        <f t="shared" si="174"/>
        <v>0.0085-0.0106398372701433i</v>
      </c>
      <c r="T492" s="227" t="str">
        <f t="shared" si="175"/>
        <v>0.00850311534623996-0.0106260266944819i</v>
      </c>
      <c r="U492" s="227" t="str">
        <f t="shared" si="176"/>
        <v>-0.0714695907963913+0.082226733420852i</v>
      </c>
      <c r="V492" s="227">
        <f t="shared" si="187"/>
        <v>-19.255808171041803</v>
      </c>
      <c r="W492" s="227">
        <f t="shared" si="188"/>
        <v>-229.00357936543054</v>
      </c>
      <c r="X492" s="227" t="str">
        <f t="shared" si="177"/>
        <v>-1.33376461493393-0.449868422973506i</v>
      </c>
      <c r="Y492" s="227" t="str">
        <f t="shared" si="178"/>
        <v>0.00625919096302525-1.41958059370697i</v>
      </c>
      <c r="Z492" s="227" t="str">
        <f t="shared" si="179"/>
        <v>-0.336915203967749+0.984526694381571i</v>
      </c>
      <c r="AA492" s="227" t="str">
        <f t="shared" si="180"/>
        <v>0.18607872176745+0.692372960538806i</v>
      </c>
      <c r="AB492" s="227">
        <f t="shared" si="189"/>
        <v>-2.8903214335103131</v>
      </c>
      <c r="AC492" s="227">
        <f t="shared" si="190"/>
        <v>-285.04306999215225</v>
      </c>
      <c r="AD492" s="229">
        <f t="shared" si="191"/>
        <v>-31.164631263388603</v>
      </c>
      <c r="AE492" s="229">
        <f t="shared" si="192"/>
        <v>95.609825691087039</v>
      </c>
      <c r="AF492" s="227">
        <f t="shared" si="181"/>
        <v>-34.054952696898916</v>
      </c>
      <c r="AG492" s="227">
        <f t="shared" si="182"/>
        <v>-189.4332443010652</v>
      </c>
      <c r="AH492" s="229" t="str">
        <f t="shared" si="183"/>
        <v>0.00270334246275223-0.027522219363869i</v>
      </c>
    </row>
    <row r="493" spans="9:34" x14ac:dyDescent="0.2">
      <c r="I493" s="227">
        <v>489</v>
      </c>
      <c r="J493" s="227">
        <f t="shared" si="171"/>
        <v>5.7678099155970832</v>
      </c>
      <c r="K493" s="227">
        <f t="shared" si="193"/>
        <v>585881.67646570539</v>
      </c>
      <c r="L493" s="227">
        <f t="shared" si="184"/>
        <v>3681203.1413150639</v>
      </c>
      <c r="M493" s="227">
        <f t="shared" si="172"/>
        <v>593363.60496307199</v>
      </c>
      <c r="N493" s="227">
        <f>SQRT((ABS(AC493)-171.5+'Small Signal'!C$59)^2)</f>
        <v>184.41578987620079</v>
      </c>
      <c r="O493" s="227">
        <f t="shared" si="185"/>
        <v>190.42970776632865</v>
      </c>
      <c r="P493" s="227">
        <f t="shared" si="186"/>
        <v>34.699686710306601</v>
      </c>
      <c r="Q493" s="227">
        <f t="shared" si="194"/>
        <v>585881.67646570539</v>
      </c>
      <c r="R493" s="227" t="str">
        <f t="shared" si="173"/>
        <v>0.0878666666666667+17.3016547641808i</v>
      </c>
      <c r="S493" s="227" t="str">
        <f t="shared" si="174"/>
        <v>0.0085-0.0104036291587929i</v>
      </c>
      <c r="T493" s="227" t="str">
        <f t="shared" si="175"/>
        <v>0.00850273638392364-0.0103901254837191i</v>
      </c>
      <c r="U493" s="227" t="str">
        <f t="shared" si="176"/>
        <v>-0.0713153102496319+0.0804020497924372i</v>
      </c>
      <c r="V493" s="227">
        <f t="shared" si="187"/>
        <v>-19.374043634664812</v>
      </c>
      <c r="W493" s="227">
        <f t="shared" si="188"/>
        <v>-228.4274959641545</v>
      </c>
      <c r="X493" s="227" t="str">
        <f t="shared" si="177"/>
        <v>-1.440941076041-0.460082413584362i</v>
      </c>
      <c r="Y493" s="227" t="str">
        <f t="shared" si="178"/>
        <v>0.00598434977704546-1.38806475995491i</v>
      </c>
      <c r="Z493" s="227" t="str">
        <f t="shared" si="179"/>
        <v>-0.337058156793403+1.04014122875468i</v>
      </c>
      <c r="AA493" s="227" t="str">
        <f t="shared" si="180"/>
        <v>0.186642216075338+0.65452793146394i</v>
      </c>
      <c r="AB493" s="227">
        <f t="shared" si="189"/>
        <v>-3.3419195026110438</v>
      </c>
      <c r="AC493" s="227">
        <f t="shared" si="190"/>
        <v>-285.91578987620079</v>
      </c>
      <c r="AD493" s="229">
        <f t="shared" si="191"/>
        <v>-31.357767207695556</v>
      </c>
      <c r="AE493" s="229">
        <f t="shared" si="192"/>
        <v>95.486082109872157</v>
      </c>
      <c r="AF493" s="227">
        <f t="shared" si="181"/>
        <v>-34.699686710306601</v>
      </c>
      <c r="AG493" s="227">
        <f t="shared" si="182"/>
        <v>-190.42970776632865</v>
      </c>
      <c r="AH493" s="229" t="str">
        <f t="shared" si="183"/>
        <v>0.00258575574613084-0.0269226473467102i</v>
      </c>
    </row>
    <row r="494" spans="9:34" x14ac:dyDescent="0.2">
      <c r="I494" s="227">
        <v>490</v>
      </c>
      <c r="J494" s="227">
        <f t="shared" si="171"/>
        <v>5.7775600381238661</v>
      </c>
      <c r="K494" s="227">
        <f t="shared" si="193"/>
        <v>599183.76578092726</v>
      </c>
      <c r="L494" s="227">
        <f t="shared" si="184"/>
        <v>3764782.6334552569</v>
      </c>
      <c r="M494" s="227">
        <f t="shared" si="172"/>
        <v>606967.7101754609</v>
      </c>
      <c r="N494" s="227">
        <f>SQRT((ABS(AC494)-171.5+'Small Signal'!C$59)^2)</f>
        <v>185.19048568115574</v>
      </c>
      <c r="O494" s="227">
        <f t="shared" si="185"/>
        <v>191.32545150524567</v>
      </c>
      <c r="P494" s="227">
        <f t="shared" si="186"/>
        <v>35.338091314395903</v>
      </c>
      <c r="Q494" s="227">
        <f t="shared" si="194"/>
        <v>599183.76578092726</v>
      </c>
      <c r="R494" s="227" t="str">
        <f t="shared" si="173"/>
        <v>0.0878666666666667+17.6944783772397i</v>
      </c>
      <c r="S494" s="227" t="str">
        <f t="shared" si="174"/>
        <v>0.0085-0.0101726649501877i</v>
      </c>
      <c r="T494" s="227" t="str">
        <f t="shared" si="175"/>
        <v>0.00850237406100523-0.0101594613427975i</v>
      </c>
      <c r="U494" s="227" t="str">
        <f t="shared" si="176"/>
        <v>-0.0711678039062702+0.0786178240614107i</v>
      </c>
      <c r="V494" s="227">
        <f t="shared" si="187"/>
        <v>-19.490166509043281</v>
      </c>
      <c r="W494" s="227">
        <f t="shared" si="188"/>
        <v>-227.84742432897099</v>
      </c>
      <c r="X494" s="227" t="str">
        <f t="shared" si="177"/>
        <v>-1.55303953902517-0.470528306677965i</v>
      </c>
      <c r="Y494" s="227" t="str">
        <f t="shared" si="178"/>
        <v>0.00572157744343439-1.35724863092594i</v>
      </c>
      <c r="Z494" s="227" t="str">
        <f t="shared" si="179"/>
        <v>-0.33719483225905+1.09628001174375i</v>
      </c>
      <c r="AA494" s="227" t="str">
        <f t="shared" si="180"/>
        <v>0.185708294147229+0.619371637592238i</v>
      </c>
      <c r="AB494" s="227">
        <f t="shared" si="189"/>
        <v>-3.7871069587815507</v>
      </c>
      <c r="AC494" s="227">
        <f t="shared" si="190"/>
        <v>-286.69048568115574</v>
      </c>
      <c r="AD494" s="229">
        <f t="shared" si="191"/>
        <v>-31.550984355614354</v>
      </c>
      <c r="AE494" s="229">
        <f t="shared" si="192"/>
        <v>95.365034175910083</v>
      </c>
      <c r="AF494" s="227">
        <f t="shared" si="181"/>
        <v>-35.338091314395903</v>
      </c>
      <c r="AG494" s="227">
        <f t="shared" si="182"/>
        <v>-191.32545150524567</v>
      </c>
      <c r="AH494" s="229" t="str">
        <f t="shared" si="183"/>
        <v>0.00247323742283381-0.0263356504962541i</v>
      </c>
    </row>
    <row r="495" spans="9:34" x14ac:dyDescent="0.2">
      <c r="I495" s="227">
        <v>491</v>
      </c>
      <c r="J495" s="227">
        <f t="shared" si="171"/>
        <v>5.7873101606506498</v>
      </c>
      <c r="K495" s="227">
        <f t="shared" si="193"/>
        <v>612787.87099331617</v>
      </c>
      <c r="L495" s="227">
        <f t="shared" si="184"/>
        <v>3850259.7474430641</v>
      </c>
      <c r="M495" s="227">
        <f t="shared" si="172"/>
        <v>620880.68837339839</v>
      </c>
      <c r="N495" s="227">
        <f>SQRT((ABS(AC495)-171.5+'Small Signal'!C$59)^2)</f>
        <v>185.87539254906835</v>
      </c>
      <c r="O495" s="227">
        <f t="shared" si="185"/>
        <v>192.12876718920768</v>
      </c>
      <c r="P495" s="227">
        <f t="shared" si="186"/>
        <v>35.969923789678219</v>
      </c>
      <c r="Q495" s="227">
        <f t="shared" si="194"/>
        <v>612787.87099331617</v>
      </c>
      <c r="R495" s="227" t="str">
        <f t="shared" si="173"/>
        <v>0.0878666666666667+18.0962208129824i</v>
      </c>
      <c r="S495" s="227" t="str">
        <f t="shared" si="174"/>
        <v>0.0085-0.00994682822785115i</v>
      </c>
      <c r="T495" s="227" t="str">
        <f t="shared" si="175"/>
        <v>0.0085020276468864-0.00993391800821033i</v>
      </c>
      <c r="U495" s="227" t="str">
        <f t="shared" si="176"/>
        <v>-0.0710267743190123+0.0768731613520076i</v>
      </c>
      <c r="V495" s="227">
        <f t="shared" si="187"/>
        <v>-19.604159400848548</v>
      </c>
      <c r="W495" s="227">
        <f t="shared" si="188"/>
        <v>-227.26368585840621</v>
      </c>
      <c r="X495" s="227" t="str">
        <f t="shared" si="177"/>
        <v>-1.67028604328193-0.481211367460014i</v>
      </c>
      <c r="Y495" s="227" t="str">
        <f t="shared" si="178"/>
        <v>0.00547034394454771-1.3271166701833i</v>
      </c>
      <c r="Z495" s="227" t="str">
        <f t="shared" si="179"/>
        <v>-0.337325506042394+1.15297134179965i</v>
      </c>
      <c r="AA495" s="227" t="str">
        <f t="shared" si="180"/>
        <v>0.183591498696445+0.586724125022899i</v>
      </c>
      <c r="AB495" s="227">
        <f t="shared" si="189"/>
        <v>-4.2256445841016053</v>
      </c>
      <c r="AC495" s="227">
        <f t="shared" si="190"/>
        <v>-287.37539254906835</v>
      </c>
      <c r="AD495" s="229">
        <f t="shared" si="191"/>
        <v>-31.744279205576611</v>
      </c>
      <c r="AE495" s="229">
        <f t="shared" si="192"/>
        <v>95.246625359860687</v>
      </c>
      <c r="AF495" s="227">
        <f t="shared" si="181"/>
        <v>-35.969923789678219</v>
      </c>
      <c r="AG495" s="227">
        <f t="shared" si="182"/>
        <v>-192.12876718920768</v>
      </c>
      <c r="AH495" s="229" t="str">
        <f t="shared" si="183"/>
        <v>0.00236557296763298-0.0257609966030328i</v>
      </c>
    </row>
    <row r="496" spans="9:34" x14ac:dyDescent="0.2">
      <c r="I496" s="227">
        <v>492</v>
      </c>
      <c r="J496" s="227">
        <f t="shared" si="171"/>
        <v>5.7970602831774327</v>
      </c>
      <c r="K496" s="227">
        <f t="shared" si="193"/>
        <v>626700.84919125366</v>
      </c>
      <c r="L496" s="227">
        <f t="shared" si="184"/>
        <v>3937677.5676354547</v>
      </c>
      <c r="M496" s="227">
        <f t="shared" si="172"/>
        <v>635109.55233131873</v>
      </c>
      <c r="N496" s="227">
        <f>SQRT((ABS(AC496)-171.5+'Small Signal'!C$59)^2)</f>
        <v>186.47804869277627</v>
      </c>
      <c r="O496" s="227">
        <f t="shared" si="185"/>
        <v>192.84724851717164</v>
      </c>
      <c r="P496" s="227">
        <f t="shared" si="186"/>
        <v>36.595036230142483</v>
      </c>
      <c r="Q496" s="227">
        <f t="shared" si="194"/>
        <v>626700.84919125366</v>
      </c>
      <c r="R496" s="227" t="str">
        <f t="shared" si="173"/>
        <v>0.0878666666666667+18.5070845678866i</v>
      </c>
      <c r="S496" s="227" t="str">
        <f t="shared" si="174"/>
        <v>0.0085-0.0097260051597935i</v>
      </c>
      <c r="T496" s="227" t="str">
        <f t="shared" si="175"/>
        <v>0.00850169644304766-0.00971338179745843i</v>
      </c>
      <c r="U496" s="227" t="str">
        <f t="shared" si="176"/>
        <v>-0.0708919371014046+0.0751671864398067i</v>
      </c>
      <c r="V496" s="227">
        <f t="shared" si="187"/>
        <v>-19.716006829306384</v>
      </c>
      <c r="W496" s="227">
        <f t="shared" si="188"/>
        <v>-226.67660750602926</v>
      </c>
      <c r="X496" s="227" t="str">
        <f t="shared" si="177"/>
        <v>-1.79291700890339-0.492136980679509i</v>
      </c>
      <c r="Y496" s="227" t="str">
        <f t="shared" si="178"/>
        <v>0.00523014254330289-1.29765368638342i</v>
      </c>
      <c r="Z496" s="227" t="str">
        <f t="shared" si="179"/>
        <v>-0.337450441712232+1.21024379575519i</v>
      </c>
      <c r="AA496" s="227" t="str">
        <f t="shared" si="180"/>
        <v>0.180551270605935+0.556404920241166i</v>
      </c>
      <c r="AB496" s="227">
        <f t="shared" si="189"/>
        <v>-4.6573878258006767</v>
      </c>
      <c r="AC496" s="227">
        <f t="shared" si="190"/>
        <v>-287.97804869277627</v>
      </c>
      <c r="AD496" s="229">
        <f t="shared" si="191"/>
        <v>-31.937648404341804</v>
      </c>
      <c r="AE496" s="229">
        <f t="shared" si="192"/>
        <v>95.130800175604648</v>
      </c>
      <c r="AF496" s="227">
        <f t="shared" si="181"/>
        <v>-36.595036230142483</v>
      </c>
      <c r="AG496" s="227">
        <f t="shared" si="182"/>
        <v>-192.84724851717164</v>
      </c>
      <c r="AH496" s="229" t="str">
        <f t="shared" si="183"/>
        <v>0.0022625565993848-0.0251984556526912i</v>
      </c>
    </row>
    <row r="497" spans="9:34" x14ac:dyDescent="0.2">
      <c r="I497" s="227">
        <v>493</v>
      </c>
      <c r="J497" s="227">
        <f t="shared" si="171"/>
        <v>5.8068104057042165</v>
      </c>
      <c r="K497" s="227">
        <f t="shared" si="193"/>
        <v>640929.713149174</v>
      </c>
      <c r="L497" s="227">
        <f t="shared" si="184"/>
        <v>4027080.1565937167</v>
      </c>
      <c r="M497" s="227">
        <f t="shared" si="172"/>
        <v>649661.47404445603</v>
      </c>
      <c r="N497" s="227">
        <f>SQRT((ABS(AC497)-171.5+'Small Signal'!C$59)^2)</f>
        <v>187.0053402056443</v>
      </c>
      <c r="O497" s="227">
        <f t="shared" si="185"/>
        <v>193.48783603520479</v>
      </c>
      <c r="P497" s="227">
        <f t="shared" si="186"/>
        <v>37.213355635051315</v>
      </c>
      <c r="Q497" s="227">
        <f t="shared" si="194"/>
        <v>640929.713149174</v>
      </c>
      <c r="R497" s="227" t="str">
        <f t="shared" si="173"/>
        <v>0.0878666666666667+18.9272767359905i</v>
      </c>
      <c r="S497" s="227" t="str">
        <f t="shared" si="174"/>
        <v>0.0085-0.00951008444113506i</v>
      </c>
      <c r="T497" s="227" t="str">
        <f t="shared" si="175"/>
        <v>0.00850137978163988-0.00949774155175606i</v>
      </c>
      <c r="U497" s="227" t="str">
        <f t="shared" si="176"/>
        <v>-0.070763020354306+0.0734990433294804i</v>
      </c>
      <c r="V497" s="227">
        <f t="shared" si="187"/>
        <v>-19.825695288590651</v>
      </c>
      <c r="W497" s="227">
        <f t="shared" si="188"/>
        <v>-226.08652111009562</v>
      </c>
      <c r="X497" s="227" t="str">
        <f t="shared" si="177"/>
        <v>-1.92117971340432-0.503310653342929i</v>
      </c>
      <c r="Y497" s="227" t="str">
        <f t="shared" si="178"/>
        <v>0.00500048876021978-1.26884482560306i</v>
      </c>
      <c r="Z497" s="227" t="str">
        <f t="shared" si="179"/>
        <v>-0.337569891260496+1.26812624323748i</v>
      </c>
      <c r="AA497" s="227" t="str">
        <f t="shared" si="180"/>
        <v>0.176800731721456+0.52823806484302i</v>
      </c>
      <c r="AB497" s="227">
        <f t="shared" si="189"/>
        <v>-5.0822668941095763</v>
      </c>
      <c r="AC497" s="227">
        <f t="shared" si="190"/>
        <v>-288.5053402056443</v>
      </c>
      <c r="AD497" s="229">
        <f t="shared" si="191"/>
        <v>-32.131088740941735</v>
      </c>
      <c r="AE497" s="229">
        <f t="shared" si="192"/>
        <v>95.017504170439523</v>
      </c>
      <c r="AF497" s="227">
        <f t="shared" si="181"/>
        <v>-37.213355635051315</v>
      </c>
      <c r="AG497" s="227">
        <f t="shared" si="182"/>
        <v>-193.48783603520479</v>
      </c>
      <c r="AH497" s="229" t="str">
        <f t="shared" si="183"/>
        <v>0.00216399095344004-0.0246477999597551i</v>
      </c>
    </row>
    <row r="498" spans="9:34" x14ac:dyDescent="0.2">
      <c r="I498" s="227">
        <v>494</v>
      </c>
      <c r="J498" s="227">
        <f t="shared" si="171"/>
        <v>5.8165605282310002</v>
      </c>
      <c r="K498" s="227">
        <f t="shared" si="193"/>
        <v>655481.6348623113</v>
      </c>
      <c r="L498" s="227">
        <f t="shared" si="184"/>
        <v>4118512.5772929289</v>
      </c>
      <c r="M498" s="227">
        <f t="shared" si="172"/>
        <v>664543.78834386426</v>
      </c>
      <c r="N498" s="227">
        <f>SQRT((ABS(AC498)-171.5+'Small Signal'!C$59)^2)</f>
        <v>187.46355011852131</v>
      </c>
      <c r="O498" s="227">
        <f t="shared" si="185"/>
        <v>194.05686620385208</v>
      </c>
      <c r="P498" s="227">
        <f t="shared" si="186"/>
        <v>37.824867758627271</v>
      </c>
      <c r="Q498" s="227">
        <f t="shared" si="194"/>
        <v>655481.6348623113</v>
      </c>
      <c r="R498" s="227" t="str">
        <f t="shared" si="173"/>
        <v>0.0878666666666667+19.3570091132768i</v>
      </c>
      <c r="S498" s="227" t="str">
        <f t="shared" si="174"/>
        <v>0.0085-0.00929895723800328i</v>
      </c>
      <c r="T498" s="227" t="str">
        <f t="shared" si="175"/>
        <v>0.0085010770241376-0.00928688858000883i</v>
      </c>
      <c r="U498" s="227" t="str">
        <f t="shared" si="176"/>
        <v>-0.0706397641175593+0.0718678948410136i</v>
      </c>
      <c r="V498" s="227">
        <f t="shared" si="187"/>
        <v>-19.933213303052625</v>
      </c>
      <c r="W498" s="227">
        <f t="shared" si="188"/>
        <v>-225.4937626910272</v>
      </c>
      <c r="X498" s="227" t="str">
        <f t="shared" si="177"/>
        <v>-2.05533279034148-0.514738017490001i</v>
      </c>
      <c r="Y498" s="227" t="str">
        <f t="shared" si="178"/>
        <v>0.00478091939547974-1.24067556383769i</v>
      </c>
      <c r="Z498" s="227" t="str">
        <f t="shared" si="179"/>
        <v>-0.337684095610966+1.3266478612273i</v>
      </c>
      <c r="AA498" s="227" t="str">
        <f t="shared" si="180"/>
        <v>0.172514326022747+0.50205531475117i</v>
      </c>
      <c r="AB498" s="227">
        <f t="shared" si="189"/>
        <v>-5.5002706177762395</v>
      </c>
      <c r="AC498" s="227">
        <f t="shared" si="190"/>
        <v>-288.96355011852131</v>
      </c>
      <c r="AD498" s="229">
        <f t="shared" si="191"/>
        <v>-32.324597140851033</v>
      </c>
      <c r="AE498" s="229">
        <f t="shared" si="192"/>
        <v>94.90668391466923</v>
      </c>
      <c r="AF498" s="227">
        <f t="shared" si="181"/>
        <v>-37.824867758627271</v>
      </c>
      <c r="AG498" s="227">
        <f t="shared" si="182"/>
        <v>-194.05686620385208</v>
      </c>
      <c r="AH498" s="229" t="str">
        <f t="shared" si="183"/>
        <v>0.00206968676380286-0.0241088042876108i</v>
      </c>
    </row>
    <row r="499" spans="9:34" x14ac:dyDescent="0.2">
      <c r="I499" s="227">
        <v>495</v>
      </c>
      <c r="J499" s="227">
        <f t="shared" si="171"/>
        <v>5.8263106507577831</v>
      </c>
      <c r="K499" s="227">
        <f t="shared" si="193"/>
        <v>670363.94916171953</v>
      </c>
      <c r="L499" s="227">
        <f t="shared" si="184"/>
        <v>4212020.9158357996</v>
      </c>
      <c r="M499" s="227">
        <f t="shared" si="172"/>
        <v>679763.99659350305</v>
      </c>
      <c r="N499" s="227">
        <f>SQRT((ABS(AC499)-171.5+'Small Signal'!C$59)^2)</f>
        <v>187.85840847152122</v>
      </c>
      <c r="O499" s="227">
        <f t="shared" si="185"/>
        <v>194.56012148087268</v>
      </c>
      <c r="P499" s="227">
        <f t="shared" si="186"/>
        <v>38.429604080966691</v>
      </c>
      <c r="Q499" s="227">
        <f t="shared" si="194"/>
        <v>670363.94916171953</v>
      </c>
      <c r="R499" s="227" t="str">
        <f t="shared" si="173"/>
        <v>0.0878666666666667+19.7964983044283i</v>
      </c>
      <c r="S499" s="227" t="str">
        <f t="shared" si="174"/>
        <v>0.0085-0.00909251713267569i</v>
      </c>
      <c r="T499" s="227" t="str">
        <f t="shared" si="175"/>
        <v>0.00850078756005154-0.0090807166040346i</v>
      </c>
      <c r="U499" s="227" t="str">
        <f t="shared" si="176"/>
        <v>-0.0705219198457298+0.0702729222042466i</v>
      </c>
      <c r="V499" s="227">
        <f t="shared" si="187"/>
        <v>-20.038551474845193</v>
      </c>
      <c r="W499" s="227">
        <f t="shared" si="188"/>
        <v>-224.89867172060787</v>
      </c>
      <c r="X499" s="227" t="str">
        <f t="shared" si="177"/>
        <v>-2.19564675083164-0.526424833032514i</v>
      </c>
      <c r="Y499" s="227" t="str">
        <f t="shared" si="178"/>
        <v>0.00457099159393534-1.21313169966686i</v>
      </c>
      <c r="Z499" s="227" t="str">
        <f t="shared" si="179"/>
        <v>-0.337793285105511+1.38583814877274i</v>
      </c>
      <c r="AA499" s="227" t="str">
        <f t="shared" si="180"/>
        <v>0.167834360327066+0.477698024329032i</v>
      </c>
      <c r="AB499" s="227">
        <f t="shared" si="189"/>
        <v>-5.9114334205858912</v>
      </c>
      <c r="AC499" s="227">
        <f t="shared" si="190"/>
        <v>-289.35840847152122</v>
      </c>
      <c r="AD499" s="229">
        <f t="shared" si="191"/>
        <v>-32.518170660380797</v>
      </c>
      <c r="AE499" s="229">
        <f t="shared" si="192"/>
        <v>94.798286990648535</v>
      </c>
      <c r="AF499" s="227">
        <f t="shared" si="181"/>
        <v>-38.429604080966691</v>
      </c>
      <c r="AG499" s="227">
        <f t="shared" si="182"/>
        <v>-194.56012148087268</v>
      </c>
      <c r="AH499" s="229" t="str">
        <f t="shared" si="183"/>
        <v>0.00197946255498277-0.0235812459555881i</v>
      </c>
    </row>
    <row r="500" spans="9:34" x14ac:dyDescent="0.2">
      <c r="I500" s="227">
        <v>496</v>
      </c>
      <c r="J500" s="227">
        <f t="shared" si="171"/>
        <v>5.8360607732845668</v>
      </c>
      <c r="K500" s="227">
        <f t="shared" si="193"/>
        <v>685584.15741135832</v>
      </c>
      <c r="L500" s="227">
        <f t="shared" si="184"/>
        <v>4307652.304682143</v>
      </c>
      <c r="M500" s="227">
        <f t="shared" si="172"/>
        <v>695329.77047126123</v>
      </c>
      <c r="N500" s="227">
        <f>SQRT((ABS(AC500)-171.5+'Small Signal'!C$59)^2)</f>
        <v>188.19514130767186</v>
      </c>
      <c r="O500" s="227">
        <f t="shared" si="185"/>
        <v>195.00287932632989</v>
      </c>
      <c r="P500" s="227">
        <f t="shared" si="186"/>
        <v>39.027631345599076</v>
      </c>
      <c r="Q500" s="227">
        <f t="shared" si="194"/>
        <v>685584.15741135832</v>
      </c>
      <c r="R500" s="227" t="str">
        <f t="shared" si="173"/>
        <v>0.0878666666666667+20.2459658320061i</v>
      </c>
      <c r="S500" s="227" t="str">
        <f t="shared" si="174"/>
        <v>0.0085-0.00889066006994072i</v>
      </c>
      <c r="T500" s="227" t="str">
        <f t="shared" si="175"/>
        <v>0.00850051080569757-0.00887912170500079i</v>
      </c>
      <c r="U500" s="227" t="str">
        <f t="shared" si="176"/>
        <v>-0.0704092499068751+0.0687133246616281i</v>
      </c>
      <c r="V500" s="227">
        <f t="shared" si="187"/>
        <v>-20.141702523553661</v>
      </c>
      <c r="W500" s="227">
        <f t="shared" si="188"/>
        <v>-224.30159036707505</v>
      </c>
      <c r="X500" s="227" t="str">
        <f t="shared" si="177"/>
        <v>-2.34240452902002-0.53837699065757i</v>
      </c>
      <c r="Y500" s="227" t="str">
        <f t="shared" si="178"/>
        <v>0.00437028195128576-1.18619934708329i</v>
      </c>
      <c r="Z500" s="227" t="str">
        <f t="shared" si="179"/>
        <v>-0.337897679969062+1.44572694186488i</v>
      </c>
      <c r="AA500" s="227" t="str">
        <f t="shared" si="180"/>
        <v>0.162876537941759+0.455018106152821i</v>
      </c>
      <c r="AB500" s="227">
        <f t="shared" si="189"/>
        <v>-6.315824864314564</v>
      </c>
      <c r="AC500" s="227">
        <f t="shared" si="190"/>
        <v>-289.69514130767186</v>
      </c>
      <c r="AD500" s="229">
        <f t="shared" si="191"/>
        <v>-32.711806481284512</v>
      </c>
      <c r="AE500" s="229">
        <f t="shared" si="192"/>
        <v>94.692261981341986</v>
      </c>
      <c r="AF500" s="227">
        <f t="shared" si="181"/>
        <v>-39.027631345599076</v>
      </c>
      <c r="AG500" s="227">
        <f t="shared" si="182"/>
        <v>-195.00287932632989</v>
      </c>
      <c r="AH500" s="229" t="str">
        <f t="shared" si="183"/>
        <v>0.00189314434345943-0.0230649049340121i</v>
      </c>
    </row>
    <row r="501" spans="9:34" x14ac:dyDescent="0.2">
      <c r="I501" s="227">
        <v>497</v>
      </c>
      <c r="J501" s="227">
        <f t="shared" si="171"/>
        <v>5.8458108958113497</v>
      </c>
      <c r="K501" s="227">
        <f t="shared" si="193"/>
        <v>701149.9312891165</v>
      </c>
      <c r="L501" s="227">
        <f t="shared" si="184"/>
        <v>4405454.9464057535</v>
      </c>
      <c r="M501" s="227">
        <f t="shared" si="172"/>
        <v>711248.95583584567</v>
      </c>
      <c r="N501" s="227">
        <f>SQRT((ABS(AC501)-171.5+'Small Signal'!C$59)^2)</f>
        <v>188.4785173019892</v>
      </c>
      <c r="O501" s="227">
        <f t="shared" si="185"/>
        <v>195.38995884353773</v>
      </c>
      <c r="P501" s="227">
        <f t="shared" si="186"/>
        <v>39.619043191825234</v>
      </c>
      <c r="Q501" s="227">
        <f t="shared" si="194"/>
        <v>701149.9312891165</v>
      </c>
      <c r="R501" s="227" t="str">
        <f t="shared" si="173"/>
        <v>0.0878666666666667+20.705638248107i</v>
      </c>
      <c r="S501" s="227" t="str">
        <f t="shared" si="174"/>
        <v>0.0085-0.00869328430464854i</v>
      </c>
      <c r="T501" s="227" t="str">
        <f t="shared" si="175"/>
        <v>0.00850024620301978-0.00868200227104945i</v>
      </c>
      <c r="U501" s="227" t="str">
        <f t="shared" si="176"/>
        <v>-0.0703015271033221+0.0671883190790331i</v>
      </c>
      <c r="V501" s="227">
        <f t="shared" si="187"/>
        <v>-20.242661317511164</v>
      </c>
      <c r="W501" s="227">
        <f t="shared" si="188"/>
        <v>-223.70286272055387</v>
      </c>
      <c r="X501" s="227" t="str">
        <f t="shared" si="177"/>
        <v>-2.49590205259899-0.55060051479676i</v>
      </c>
      <c r="Y501" s="227" t="str">
        <f t="shared" si="178"/>
        <v>0.00417838565951181-1.15986492848166i</v>
      </c>
      <c r="Z501" s="227" t="str">
        <f t="shared" si="179"/>
        <v>-0.337997490754091+1.50634442848284i</v>
      </c>
      <c r="AA501" s="227" t="str">
        <f t="shared" si="180"/>
        <v>0.157734600756009+0.433878355119428i</v>
      </c>
      <c r="AB501" s="227">
        <f t="shared" si="189"/>
        <v>-6.7135412862529638</v>
      </c>
      <c r="AC501" s="227">
        <f t="shared" si="190"/>
        <v>-289.9785173019892</v>
      </c>
      <c r="AD501" s="229">
        <f t="shared" si="191"/>
        <v>-32.905501905572272</v>
      </c>
      <c r="AE501" s="229">
        <f t="shared" si="192"/>
        <v>94.588558458451459</v>
      </c>
      <c r="AF501" s="227">
        <f t="shared" si="181"/>
        <v>-39.619043191825234</v>
      </c>
      <c r="AG501" s="227">
        <f t="shared" si="182"/>
        <v>-195.38995884353773</v>
      </c>
      <c r="AH501" s="229" t="str">
        <f t="shared" si="183"/>
        <v>0.00181056534865442-0.0225595639280249i</v>
      </c>
    </row>
    <row r="502" spans="9:34" x14ac:dyDescent="0.2">
      <c r="I502" s="227">
        <v>498</v>
      </c>
      <c r="J502" s="227">
        <f t="shared" si="171"/>
        <v>5.8555610183381335</v>
      </c>
      <c r="K502" s="227">
        <f t="shared" si="193"/>
        <v>717069.11665370094</v>
      </c>
      <c r="L502" s="227">
        <f t="shared" si="184"/>
        <v>4505478.1379907783</v>
      </c>
      <c r="M502" s="227">
        <f t="shared" si="172"/>
        <v>727529.57668143371</v>
      </c>
      <c r="N502" s="227">
        <f>SQRT((ABS(AC502)-171.5+'Small Signal'!C$59)^2)</f>
        <v>188.71289129948548</v>
      </c>
      <c r="O502" s="227">
        <f t="shared" si="185"/>
        <v>195.72576432932294</v>
      </c>
      <c r="P502" s="227">
        <f t="shared" si="186"/>
        <v>40.203953486899977</v>
      </c>
      <c r="Q502" s="227">
        <f t="shared" si="194"/>
        <v>717069.11665370094</v>
      </c>
      <c r="R502" s="227" t="str">
        <f t="shared" si="173"/>
        <v>0.0878666666666667+21.1757472485567i</v>
      </c>
      <c r="S502" s="227" t="str">
        <f t="shared" si="174"/>
        <v>0.0085-0.00850029035042762i</v>
      </c>
      <c r="T502" s="227" t="str">
        <f t="shared" si="175"/>
        <v>0.0084999932184652-0.00848925894608646i</v>
      </c>
      <c r="U502" s="227" t="str">
        <f t="shared" si="176"/>
        <v>-0.0701985342134898+0.0656971395645349i</v>
      </c>
      <c r="V502" s="227">
        <f t="shared" si="187"/>
        <v>-20.341424896540701</v>
      </c>
      <c r="W502" s="227">
        <f t="shared" si="188"/>
        <v>-223.10283400350488</v>
      </c>
      <c r="X502" s="227" t="str">
        <f t="shared" si="177"/>
        <v>-2.65644883952726-0.563101566662756i</v>
      </c>
      <c r="Y502" s="227" t="str">
        <f t="shared" si="178"/>
        <v>0.00399491568984103-1.13411516780369i</v>
      </c>
      <c r="Z502" s="227" t="str">
        <f t="shared" si="179"/>
        <v>-0.338092918765513+1.56772116381571i</v>
      </c>
      <c r="AA502" s="227" t="str">
        <f t="shared" si="180"/>
        <v>0.15248419945209+0.41415234716218i</v>
      </c>
      <c r="AB502" s="227">
        <f t="shared" si="189"/>
        <v>-7.1046991363740837</v>
      </c>
      <c r="AC502" s="227">
        <f t="shared" si="190"/>
        <v>-290.21289129948548</v>
      </c>
      <c r="AD502" s="229">
        <f t="shared" si="191"/>
        <v>-33.099254350525896</v>
      </c>
      <c r="AE502" s="229">
        <f t="shared" si="192"/>
        <v>94.487126970162521</v>
      </c>
      <c r="AF502" s="227">
        <f t="shared" si="181"/>
        <v>-40.203953486899977</v>
      </c>
      <c r="AG502" s="227">
        <f t="shared" si="182"/>
        <v>-195.72576432932294</v>
      </c>
      <c r="AH502" s="229" t="str">
        <f t="shared" si="183"/>
        <v>0.00173156571328491-0.0220650084509428i</v>
      </c>
    </row>
    <row r="503" spans="9:34" x14ac:dyDescent="0.2">
      <c r="I503" s="227">
        <v>499</v>
      </c>
      <c r="J503" s="227">
        <f t="shared" si="171"/>
        <v>5.8653111408649163</v>
      </c>
      <c r="K503" s="227">
        <f t="shared" si="193"/>
        <v>733349.73749928898</v>
      </c>
      <c r="L503" s="227">
        <f t="shared" si="184"/>
        <v>4607772.2956795385</v>
      </c>
      <c r="M503" s="227">
        <f t="shared" si="172"/>
        <v>744179.8391821452</v>
      </c>
      <c r="N503" s="227">
        <f>SQRT((ABS(AC503)-171.5+'Small Signal'!C$59)^2)</f>
        <v>188.90224441622576</v>
      </c>
      <c r="O503" s="227">
        <f t="shared" si="185"/>
        <v>196.01432538766755</v>
      </c>
      <c r="P503" s="227">
        <f t="shared" si="186"/>
        <v>40.782491031428577</v>
      </c>
      <c r="Q503" s="227">
        <f t="shared" si="194"/>
        <v>733349.73749928898</v>
      </c>
      <c r="R503" s="227" t="str">
        <f t="shared" si="173"/>
        <v>0.0878666666666667+21.6565297896938i</v>
      </c>
      <c r="S503" s="227" t="str">
        <f t="shared" si="174"/>
        <v>0.0085-0.00831158092953842i</v>
      </c>
      <c r="T503" s="227" t="str">
        <f t="shared" si="175"/>
        <v>0.00849975134190794-0.00830079457970539i</v>
      </c>
      <c r="U503" s="227" t="str">
        <f t="shared" si="176"/>
        <v>-0.0701000635538319+0.0642390370949716i</v>
      </c>
      <c r="V503" s="227">
        <f t="shared" si="187"/>
        <v>-20.437992485940018</v>
      </c>
      <c r="W503" s="227">
        <f t="shared" si="188"/>
        <v>-222.50184977100611</v>
      </c>
      <c r="X503" s="227" t="str">
        <f t="shared" si="177"/>
        <v>-2.82436862215306-0.575886447354837i</v>
      </c>
      <c r="Y503" s="227" t="str">
        <f t="shared" si="178"/>
        <v>0.0038195020117255-1.10893708383587i</v>
      </c>
      <c r="Z503" s="227" t="str">
        <f t="shared" si="179"/>
        <v>-0.338184156467004+1.62988808566926i</v>
      </c>
      <c r="AA503" s="227" t="str">
        <f t="shared" si="180"/>
        <v>0.147186105800233+0.395724063729354i</v>
      </c>
      <c r="AB503" s="227">
        <f t="shared" si="189"/>
        <v>-7.4894296875217279</v>
      </c>
      <c r="AC503" s="227">
        <f t="shared" si="190"/>
        <v>-290.40224441622576</v>
      </c>
      <c r="AD503" s="229">
        <f t="shared" si="191"/>
        <v>-33.293061343906849</v>
      </c>
      <c r="AE503" s="229">
        <f t="shared" si="192"/>
        <v>94.387919028558187</v>
      </c>
      <c r="AF503" s="227">
        <f t="shared" si="181"/>
        <v>-40.782491031428577</v>
      </c>
      <c r="AG503" s="227">
        <f t="shared" si="182"/>
        <v>-196.01432538766755</v>
      </c>
      <c r="AH503" s="229" t="str">
        <f t="shared" si="183"/>
        <v>0.00165599223295718-0.0215810268878753i</v>
      </c>
    </row>
    <row r="504" spans="9:34" x14ac:dyDescent="0.2">
      <c r="I504" s="227">
        <v>500</v>
      </c>
      <c r="J504" s="227">
        <f t="shared" si="171"/>
        <v>5.8750612633917001</v>
      </c>
      <c r="K504" s="227">
        <f t="shared" si="193"/>
        <v>750000.00000000047</v>
      </c>
      <c r="L504" s="227">
        <f>2*PI()*K504</f>
        <v>4712388.9803846925</v>
      </c>
      <c r="M504" s="227">
        <f t="shared" si="172"/>
        <v>5820.1608178552151</v>
      </c>
      <c r="N504" s="227">
        <f>SQRT((ABS(AC504)-171.5+'Small Signal'!C$59)^2)</f>
        <v>188.92305602111895</v>
      </c>
      <c r="O504" s="227">
        <f t="shared" si="185"/>
        <v>196.13216892437595</v>
      </c>
      <c r="P504" s="227">
        <f t="shared" si="186"/>
        <v>41.366473012508465</v>
      </c>
      <c r="Q504" s="227">
        <f t="shared" si="194"/>
        <v>750000.00000000047</v>
      </c>
      <c r="R504" s="227" t="str">
        <f>IMSUM(COMPLEX(DCRss,Lss*L504),COMPLEX(Rdsonss,0),COMPLEX(Risense,0))</f>
        <v>0.0262+22.1482282078081i</v>
      </c>
      <c r="S504" s="227" t="str">
        <f t="shared" si="174"/>
        <v>0.0085-0.00812706092384148i</v>
      </c>
      <c r="T504" s="227" t="str">
        <f t="shared" si="175"/>
        <v>0.00849952008562057-0.00811651417822474i</v>
      </c>
      <c r="U504" s="227" t="str">
        <f t="shared" si="176"/>
        <v>-0.0700118228059747+0.0628188678567515i</v>
      </c>
      <c r="V504" s="227">
        <f t="shared" si="187"/>
        <v>-20.531614882973379</v>
      </c>
      <c r="W504" s="227">
        <f t="shared" si="188"/>
        <v>-221.9003862612681</v>
      </c>
      <c r="X504" s="227" t="str">
        <f t="shared" si="177"/>
        <v>-3-0.588961601034931i</v>
      </c>
      <c r="Y504" s="227" t="str">
        <f t="shared" si="178"/>
        <v>0.000632714366657106-1.08433178372601i</v>
      </c>
      <c r="Z504" s="227" t="str">
        <f t="shared" si="179"/>
        <v>-0.333559010326411+1.69382405690036i</v>
      </c>
      <c r="AA504" s="227" t="str">
        <f t="shared" si="180"/>
        <v>0.140858987780869+0.378292397920856i</v>
      </c>
      <c r="AB504" s="227">
        <f t="shared" si="189"/>
        <v>-7.8795524931547991</v>
      </c>
      <c r="AC504" s="227">
        <f t="shared" si="190"/>
        <v>-290.42305602111895</v>
      </c>
      <c r="AD504" s="229">
        <f t="shared" si="191"/>
        <v>-33.486920519353667</v>
      </c>
      <c r="AE504" s="229">
        <f t="shared" si="192"/>
        <v>94.290887096743006</v>
      </c>
      <c r="AF504" s="227">
        <f t="shared" si="181"/>
        <v>-41.366473012508465</v>
      </c>
      <c r="AG504" s="227">
        <f t="shared" si="182"/>
        <v>-196.13216892437595</v>
      </c>
      <c r="AH504" s="229" t="str">
        <f t="shared" si="183"/>
        <v>0.00158369809484132-0.0211074105502781i</v>
      </c>
    </row>
    <row r="505" spans="9:34" x14ac:dyDescent="0.2">
      <c r="AF505" s="231" t="s">
        <v>121</v>
      </c>
    </row>
    <row r="507" spans="9:34" x14ac:dyDescent="0.2">
      <c r="I507" s="227" t="s">
        <v>175</v>
      </c>
      <c r="M507" s="227" t="s">
        <v>173</v>
      </c>
      <c r="Q507" s="227" t="s">
        <v>174</v>
      </c>
    </row>
    <row r="508" spans="9:34" ht="15" x14ac:dyDescent="0.25">
      <c r="I508" s="227" t="s">
        <v>329</v>
      </c>
      <c r="M508" s="227" t="s">
        <v>329</v>
      </c>
      <c r="N508" s="232"/>
      <c r="O508" s="232"/>
      <c r="P508" s="232"/>
      <c r="Q508" s="232" t="s">
        <v>169</v>
      </c>
    </row>
    <row r="509" spans="9:34" ht="15" x14ac:dyDescent="0.25">
      <c r="I509" s="227" t="s">
        <v>331</v>
      </c>
      <c r="M509" s="227" t="s">
        <v>330</v>
      </c>
      <c r="N509" s="232"/>
      <c r="O509" s="232"/>
      <c r="P509" s="232"/>
      <c r="Q509" s="232" t="s">
        <v>327</v>
      </c>
    </row>
    <row r="510" spans="9:34" ht="15" x14ac:dyDescent="0.25">
      <c r="I510" s="227" t="s">
        <v>170</v>
      </c>
      <c r="J510" s="227" t="s">
        <v>171</v>
      </c>
      <c r="K510" s="227" t="s">
        <v>172</v>
      </c>
      <c r="M510" s="227" t="s">
        <v>170</v>
      </c>
      <c r="N510" s="232" t="s">
        <v>171</v>
      </c>
      <c r="O510" s="232" t="s">
        <v>172</v>
      </c>
      <c r="P510" s="232"/>
      <c r="Q510" s="232" t="s">
        <v>170</v>
      </c>
      <c r="R510" s="227" t="s">
        <v>171</v>
      </c>
      <c r="S510" s="227" t="s">
        <v>172</v>
      </c>
    </row>
    <row r="511" spans="9:34" ht="15" x14ac:dyDescent="0.25">
      <c r="I511" s="227">
        <v>10</v>
      </c>
      <c r="J511" s="227">
        <v>37.660600000000002</v>
      </c>
      <c r="K511" s="227">
        <v>174.03</v>
      </c>
      <c r="M511" s="227">
        <v>10</v>
      </c>
      <c r="N511" s="232">
        <v>18.21</v>
      </c>
      <c r="O511" s="232">
        <v>0.85629999999999995</v>
      </c>
      <c r="P511" s="232"/>
      <c r="Q511" s="232"/>
    </row>
    <row r="512" spans="9:34" ht="15" x14ac:dyDescent="0.25">
      <c r="I512" s="227">
        <v>12.59</v>
      </c>
      <c r="J512" s="227">
        <v>40.938000000000002</v>
      </c>
      <c r="K512" s="227">
        <v>10.471</v>
      </c>
      <c r="M512" s="227">
        <v>12.59</v>
      </c>
      <c r="N512" s="232">
        <v>18.2605</v>
      </c>
      <c r="O512" s="232">
        <v>0.83806000000000003</v>
      </c>
      <c r="P512" s="232"/>
      <c r="Q512" s="232"/>
    </row>
    <row r="513" spans="9:17" ht="15" x14ac:dyDescent="0.25">
      <c r="I513" s="227">
        <v>15.85</v>
      </c>
      <c r="J513" s="227">
        <v>45.019300000000001</v>
      </c>
      <c r="K513" s="227">
        <v>156.11000000000001</v>
      </c>
      <c r="M513" s="227">
        <v>15.85</v>
      </c>
      <c r="N513" s="232">
        <v>18.195399999999999</v>
      </c>
      <c r="O513" s="232">
        <v>-1.2109000000000001</v>
      </c>
      <c r="P513" s="232"/>
      <c r="Q513" s="232"/>
    </row>
    <row r="514" spans="9:17" ht="15" x14ac:dyDescent="0.25">
      <c r="I514" s="227">
        <v>19.95</v>
      </c>
      <c r="J514" s="227">
        <v>41.562100000000001</v>
      </c>
      <c r="K514" s="227">
        <v>-168.2</v>
      </c>
      <c r="M514" s="227">
        <v>19.95</v>
      </c>
      <c r="N514" s="232">
        <v>18.6417</v>
      </c>
      <c r="O514" s="232">
        <v>-0.48448999999999998</v>
      </c>
      <c r="P514" s="232"/>
      <c r="Q514" s="232"/>
    </row>
    <row r="515" spans="9:17" ht="15" x14ac:dyDescent="0.25">
      <c r="I515" s="227">
        <v>25.12</v>
      </c>
      <c r="J515" s="227">
        <v>43.169699999999999</v>
      </c>
      <c r="K515" s="227">
        <v>173.51</v>
      </c>
      <c r="M515" s="227">
        <v>25.12</v>
      </c>
      <c r="N515" s="232">
        <v>18.401</v>
      </c>
      <c r="O515" s="232">
        <v>-0.98385999999999996</v>
      </c>
      <c r="P515" s="232"/>
      <c r="Q515" s="232"/>
    </row>
    <row r="516" spans="9:17" ht="15" x14ac:dyDescent="0.25">
      <c r="I516" s="227">
        <v>31.62</v>
      </c>
      <c r="J516" s="227">
        <v>42.245800000000003</v>
      </c>
      <c r="K516" s="227">
        <v>139.72999999999999</v>
      </c>
      <c r="M516" s="227">
        <v>31.62</v>
      </c>
      <c r="N516" s="232">
        <v>18.456</v>
      </c>
      <c r="O516" s="232">
        <v>0.32150000000000001</v>
      </c>
      <c r="P516" s="232"/>
      <c r="Q516" s="232"/>
    </row>
    <row r="517" spans="9:17" ht="15" x14ac:dyDescent="0.25">
      <c r="I517" s="227">
        <v>39.81</v>
      </c>
      <c r="J517" s="227">
        <v>41.420299999999997</v>
      </c>
      <c r="K517" s="227">
        <v>136.25</v>
      </c>
      <c r="M517" s="227">
        <v>39.81</v>
      </c>
      <c r="N517" s="232">
        <v>18.449200000000001</v>
      </c>
      <c r="O517" s="232">
        <v>-0.60572000000000004</v>
      </c>
      <c r="P517" s="232"/>
      <c r="Q517" s="232"/>
    </row>
    <row r="518" spans="9:17" ht="15" x14ac:dyDescent="0.25">
      <c r="I518" s="227">
        <v>50.12</v>
      </c>
      <c r="J518" s="227">
        <v>41.924500000000002</v>
      </c>
      <c r="K518" s="227">
        <v>127.18</v>
      </c>
      <c r="M518" s="227">
        <v>50.12</v>
      </c>
      <c r="N518" s="232">
        <v>18.566299999999998</v>
      </c>
      <c r="O518" s="232">
        <v>-1.2511000000000001</v>
      </c>
      <c r="P518" s="232"/>
      <c r="Q518" s="232"/>
    </row>
    <row r="519" spans="9:17" ht="15" x14ac:dyDescent="0.25">
      <c r="I519" s="227">
        <v>63.1</v>
      </c>
      <c r="J519" s="227">
        <v>40.187199999999997</v>
      </c>
      <c r="K519" s="227">
        <v>123.47</v>
      </c>
      <c r="M519" s="227">
        <v>63.1</v>
      </c>
      <c r="N519" s="232">
        <v>18.429400000000001</v>
      </c>
      <c r="O519" s="232">
        <v>-0.94950999999999997</v>
      </c>
      <c r="P519" s="232"/>
      <c r="Q519" s="232"/>
    </row>
    <row r="520" spans="9:17" ht="15" x14ac:dyDescent="0.25">
      <c r="I520" s="227">
        <v>79.44</v>
      </c>
      <c r="J520" s="227">
        <v>38.4514</v>
      </c>
      <c r="K520" s="227">
        <v>118.43</v>
      </c>
      <c r="M520" s="227">
        <v>79.44</v>
      </c>
      <c r="N520" s="232">
        <v>18.380700000000001</v>
      </c>
      <c r="O520" s="232">
        <v>-1.4977</v>
      </c>
      <c r="P520" s="232"/>
      <c r="Q520" s="232"/>
    </row>
    <row r="521" spans="9:17" ht="15" x14ac:dyDescent="0.25">
      <c r="I521" s="227">
        <v>100</v>
      </c>
      <c r="J521" s="227">
        <v>36.996499999999997</v>
      </c>
      <c r="K521" s="227">
        <v>113.19</v>
      </c>
      <c r="M521" s="227">
        <v>100</v>
      </c>
      <c r="N521" s="232">
        <v>18.421800000000001</v>
      </c>
      <c r="O521" s="232">
        <v>-2.1703000000000001</v>
      </c>
      <c r="P521" s="232"/>
      <c r="Q521" s="232"/>
    </row>
    <row r="522" spans="9:17" ht="15" x14ac:dyDescent="0.25">
      <c r="I522" s="227">
        <v>125.9</v>
      </c>
      <c r="J522" s="227">
        <v>35.101599999999998</v>
      </c>
      <c r="K522" s="227">
        <v>107.02</v>
      </c>
      <c r="M522" s="227">
        <v>125.9</v>
      </c>
      <c r="N522" s="232">
        <v>18.415299999999998</v>
      </c>
      <c r="O522" s="232">
        <v>-2.3035999999999999</v>
      </c>
      <c r="P522" s="232"/>
      <c r="Q522" s="232"/>
    </row>
    <row r="523" spans="9:17" ht="15" x14ac:dyDescent="0.25">
      <c r="I523" s="227">
        <v>158.5</v>
      </c>
      <c r="J523" s="227">
        <v>33.128500000000003</v>
      </c>
      <c r="K523" s="227">
        <v>106.26</v>
      </c>
      <c r="M523" s="227">
        <v>158.5</v>
      </c>
      <c r="N523" s="232">
        <v>18.372299999999999</v>
      </c>
      <c r="O523" s="232">
        <v>-3.1655000000000002</v>
      </c>
      <c r="P523" s="232"/>
      <c r="Q523" s="232"/>
    </row>
    <row r="524" spans="9:17" ht="15" x14ac:dyDescent="0.25">
      <c r="I524" s="227">
        <v>199.5</v>
      </c>
      <c r="J524" s="227">
        <v>31.1892</v>
      </c>
      <c r="K524" s="227">
        <v>104.03</v>
      </c>
      <c r="M524" s="227">
        <v>199.5</v>
      </c>
      <c r="N524" s="232">
        <v>18.3811</v>
      </c>
      <c r="O524" s="232">
        <v>-3.6356999999999999</v>
      </c>
      <c r="P524" s="232"/>
      <c r="Q524" s="232"/>
    </row>
    <row r="525" spans="9:17" ht="15" x14ac:dyDescent="0.25">
      <c r="I525" s="227">
        <v>251.2</v>
      </c>
      <c r="J525" s="227">
        <v>29.313400000000001</v>
      </c>
      <c r="K525" s="227">
        <v>103.26</v>
      </c>
      <c r="M525" s="227">
        <v>251.2</v>
      </c>
      <c r="N525" s="232">
        <v>18.360399999999998</v>
      </c>
      <c r="O525" s="232">
        <v>-4.6921999999999997</v>
      </c>
      <c r="P525" s="232"/>
      <c r="Q525" s="232"/>
    </row>
    <row r="526" spans="9:17" ht="15" x14ac:dyDescent="0.25">
      <c r="I526" s="227">
        <v>316.2</v>
      </c>
      <c r="J526" s="227">
        <v>27.4208</v>
      </c>
      <c r="K526" s="227">
        <v>103.39</v>
      </c>
      <c r="M526" s="227">
        <v>316.2</v>
      </c>
      <c r="N526" s="232">
        <v>18.352900000000002</v>
      </c>
      <c r="O526" s="232">
        <v>-5.5035999999999996</v>
      </c>
      <c r="P526" s="232"/>
      <c r="Q526" s="232"/>
    </row>
    <row r="527" spans="9:17" ht="15" x14ac:dyDescent="0.25">
      <c r="I527" s="227">
        <v>398.1</v>
      </c>
      <c r="J527" s="227">
        <v>25.543299999999999</v>
      </c>
      <c r="K527" s="227">
        <v>103.34</v>
      </c>
      <c r="M527" s="227">
        <v>398.1</v>
      </c>
      <c r="N527" s="232">
        <v>18.329999999999998</v>
      </c>
      <c r="O527" s="232">
        <v>-6.8949999999999996</v>
      </c>
      <c r="P527" s="232"/>
      <c r="Q527" s="232"/>
    </row>
    <row r="528" spans="9:17" ht="15" x14ac:dyDescent="0.25">
      <c r="I528" s="227">
        <v>501.2</v>
      </c>
      <c r="J528" s="227">
        <v>23.7925</v>
      </c>
      <c r="K528" s="227">
        <v>104.35</v>
      </c>
      <c r="M528" s="227">
        <v>501.2</v>
      </c>
      <c r="N528" s="232">
        <v>18.350000000000001</v>
      </c>
      <c r="O528" s="232">
        <v>-8.4138999999999999</v>
      </c>
      <c r="P528" s="232"/>
      <c r="Q528" s="232"/>
    </row>
    <row r="529" spans="9:17" ht="15" x14ac:dyDescent="0.25">
      <c r="I529" s="227">
        <v>631</v>
      </c>
      <c r="J529" s="227">
        <v>22.151800000000001</v>
      </c>
      <c r="K529" s="227">
        <v>105.57</v>
      </c>
      <c r="M529" s="227">
        <v>631</v>
      </c>
      <c r="N529" s="232">
        <v>18.415500000000002</v>
      </c>
      <c r="O529" s="232">
        <v>-10.231999999999999</v>
      </c>
      <c r="P529" s="232"/>
      <c r="Q529" s="232"/>
    </row>
    <row r="530" spans="9:17" ht="15" x14ac:dyDescent="0.25">
      <c r="I530" s="227">
        <v>794.4</v>
      </c>
      <c r="J530" s="227">
        <v>20.708300000000001</v>
      </c>
      <c r="K530" s="227">
        <v>106.78</v>
      </c>
      <c r="M530" s="227">
        <v>794.4</v>
      </c>
      <c r="N530" s="232">
        <v>18.587599999999998</v>
      </c>
      <c r="O530" s="232">
        <v>-13.294</v>
      </c>
      <c r="P530" s="232"/>
      <c r="Q530" s="232"/>
    </row>
    <row r="531" spans="9:17" ht="15" x14ac:dyDescent="0.25">
      <c r="I531" s="227">
        <v>1000</v>
      </c>
      <c r="J531" s="227">
        <v>19.408200000000001</v>
      </c>
      <c r="K531" s="227">
        <v>106.81</v>
      </c>
      <c r="M531" s="227">
        <v>1000</v>
      </c>
      <c r="N531" s="232">
        <v>18.744800000000001</v>
      </c>
      <c r="O531" s="232">
        <v>-18.077000000000002</v>
      </c>
      <c r="P531" s="232"/>
      <c r="Q531" s="232"/>
    </row>
    <row r="532" spans="9:17" ht="15" x14ac:dyDescent="0.25">
      <c r="I532" s="227">
        <v>1259</v>
      </c>
      <c r="J532" s="227">
        <v>18.206299999999999</v>
      </c>
      <c r="K532" s="227">
        <v>105.07</v>
      </c>
      <c r="M532" s="227">
        <v>1259</v>
      </c>
      <c r="N532" s="232">
        <v>18.844999999999999</v>
      </c>
      <c r="O532" s="232">
        <v>-25.614000000000001</v>
      </c>
      <c r="P532" s="232"/>
      <c r="Q532" s="232"/>
    </row>
    <row r="533" spans="9:17" ht="15" x14ac:dyDescent="0.25">
      <c r="I533" s="227">
        <v>1585</v>
      </c>
      <c r="J533" s="227">
        <v>16.799600000000002</v>
      </c>
      <c r="K533" s="227">
        <v>101.35</v>
      </c>
      <c r="M533" s="227">
        <v>1585</v>
      </c>
      <c r="N533" s="232">
        <v>18.576599999999999</v>
      </c>
      <c r="O533" s="232">
        <v>-35.216999999999999</v>
      </c>
      <c r="P533" s="232"/>
      <c r="Q533" s="232"/>
    </row>
    <row r="534" spans="9:17" ht="15" x14ac:dyDescent="0.25">
      <c r="I534" s="227">
        <v>1995</v>
      </c>
      <c r="J534" s="227">
        <v>15.136699999999999</v>
      </c>
      <c r="K534" s="227">
        <v>96.534999999999997</v>
      </c>
      <c r="M534" s="227">
        <v>1995</v>
      </c>
      <c r="N534" s="232">
        <v>17.8185</v>
      </c>
      <c r="O534" s="232">
        <v>-46.118000000000002</v>
      </c>
      <c r="P534" s="232"/>
      <c r="Q534" s="232"/>
    </row>
    <row r="535" spans="9:17" ht="15" x14ac:dyDescent="0.25">
      <c r="I535" s="227">
        <v>2512</v>
      </c>
      <c r="J535" s="227">
        <v>13.201000000000001</v>
      </c>
      <c r="K535" s="227">
        <v>92.039000000000001</v>
      </c>
      <c r="M535" s="227">
        <v>2512</v>
      </c>
      <c r="N535" s="232">
        <v>16.533100000000001</v>
      </c>
      <c r="O535" s="232">
        <v>-56.924999999999997</v>
      </c>
      <c r="P535" s="232"/>
      <c r="Q535" s="232"/>
    </row>
    <row r="536" spans="9:17" ht="15" x14ac:dyDescent="0.25">
      <c r="I536" s="227">
        <v>3162</v>
      </c>
      <c r="J536" s="227">
        <v>11.1213</v>
      </c>
      <c r="K536" s="227">
        <v>88.516999999999996</v>
      </c>
      <c r="M536" s="227">
        <v>3162</v>
      </c>
      <c r="N536" s="232">
        <v>14.869</v>
      </c>
      <c r="O536" s="232">
        <v>-65.897000000000006</v>
      </c>
      <c r="P536" s="232"/>
      <c r="Q536" s="232"/>
    </row>
    <row r="537" spans="9:17" ht="15" x14ac:dyDescent="0.25">
      <c r="I537" s="227">
        <v>3981</v>
      </c>
      <c r="J537" s="227">
        <v>9.0173299999999994</v>
      </c>
      <c r="K537" s="227">
        <v>85.623999999999995</v>
      </c>
      <c r="M537" s="227">
        <v>3981</v>
      </c>
      <c r="N537" s="232">
        <v>13.0419</v>
      </c>
      <c r="O537" s="232">
        <v>-73.241</v>
      </c>
      <c r="P537" s="232"/>
      <c r="Q537" s="232"/>
    </row>
    <row r="538" spans="9:17" ht="15" x14ac:dyDescent="0.25">
      <c r="I538" s="227">
        <v>5012</v>
      </c>
      <c r="J538" s="227">
        <v>6.94102</v>
      </c>
      <c r="K538" s="227">
        <v>83.033000000000001</v>
      </c>
      <c r="M538" s="227">
        <v>5012</v>
      </c>
      <c r="N538" s="232">
        <v>11.1648</v>
      </c>
      <c r="O538" s="232">
        <v>-79.396000000000001</v>
      </c>
      <c r="P538" s="232"/>
      <c r="Q538" s="232"/>
    </row>
    <row r="539" spans="9:17" ht="15" x14ac:dyDescent="0.25">
      <c r="I539" s="227">
        <v>6310</v>
      </c>
      <c r="J539" s="227">
        <v>4.9103399999999997</v>
      </c>
      <c r="K539" s="227">
        <v>80.275000000000006</v>
      </c>
      <c r="M539" s="227">
        <v>6310</v>
      </c>
      <c r="N539" s="232">
        <v>9.2243700000000004</v>
      </c>
      <c r="O539" s="232">
        <v>-84.641000000000005</v>
      </c>
      <c r="P539" s="232"/>
      <c r="Q539" s="232"/>
    </row>
    <row r="540" spans="9:17" ht="15" x14ac:dyDescent="0.25">
      <c r="I540" s="227">
        <v>7944</v>
      </c>
      <c r="J540" s="227">
        <v>2.9131499999999999</v>
      </c>
      <c r="K540" s="227">
        <v>77.093000000000004</v>
      </c>
      <c r="M540" s="227">
        <v>7944</v>
      </c>
      <c r="N540" s="232">
        <v>7.2900400000000003</v>
      </c>
      <c r="O540" s="232">
        <v>-89.700999999999993</v>
      </c>
      <c r="P540" s="232"/>
      <c r="Q540" s="232"/>
    </row>
    <row r="541" spans="9:17" ht="15" x14ac:dyDescent="0.25">
      <c r="I541" s="227">
        <v>10000</v>
      </c>
      <c r="J541" s="227">
        <v>0.95159800000000005</v>
      </c>
      <c r="K541" s="227">
        <v>73.228999999999999</v>
      </c>
      <c r="M541" s="227">
        <v>10000</v>
      </c>
      <c r="N541" s="232">
        <v>5.4023700000000003</v>
      </c>
      <c r="O541" s="232">
        <v>-94.709000000000003</v>
      </c>
      <c r="P541" s="232"/>
      <c r="Q541" s="232"/>
    </row>
    <row r="542" spans="9:17" ht="15" x14ac:dyDescent="0.25">
      <c r="I542" s="227">
        <v>12590</v>
      </c>
      <c r="J542" s="227">
        <v>-0.97999400000000003</v>
      </c>
      <c r="K542" s="227">
        <v>68.453999999999994</v>
      </c>
      <c r="M542" s="227">
        <v>12590</v>
      </c>
      <c r="N542" s="232">
        <v>3.5295200000000002</v>
      </c>
      <c r="O542" s="232">
        <v>-99.733000000000004</v>
      </c>
      <c r="P542" s="232"/>
      <c r="Q542" s="232"/>
    </row>
    <row r="543" spans="9:17" ht="15" x14ac:dyDescent="0.25">
      <c r="I543" s="227">
        <v>15850</v>
      </c>
      <c r="J543" s="227">
        <v>-3.0378500000000002</v>
      </c>
      <c r="K543" s="227">
        <v>63.189</v>
      </c>
      <c r="M543" s="227">
        <v>15850</v>
      </c>
      <c r="N543" s="232">
        <v>1.69167</v>
      </c>
      <c r="O543" s="232">
        <v>-105.45</v>
      </c>
      <c r="P543" s="232"/>
      <c r="Q543" s="232"/>
    </row>
    <row r="544" spans="9:17" ht="15" x14ac:dyDescent="0.25">
      <c r="I544" s="227">
        <v>19950</v>
      </c>
      <c r="J544" s="227">
        <v>-5.0957600000000003</v>
      </c>
      <c r="K544" s="227">
        <v>56.701000000000001</v>
      </c>
      <c r="M544" s="227">
        <v>19950</v>
      </c>
      <c r="N544" s="232">
        <v>-7.7088799999999999E-2</v>
      </c>
      <c r="O544" s="232">
        <v>-111.88</v>
      </c>
      <c r="P544" s="232"/>
      <c r="Q544" s="232"/>
    </row>
    <row r="545" spans="9:17" ht="15" x14ac:dyDescent="0.25">
      <c r="I545" s="227">
        <v>25120</v>
      </c>
      <c r="J545" s="227">
        <v>-6.9738800000000003</v>
      </c>
      <c r="K545" s="227">
        <v>48.667000000000002</v>
      </c>
      <c r="M545" s="227">
        <v>25120</v>
      </c>
      <c r="N545" s="232">
        <v>-1.73281</v>
      </c>
      <c r="O545" s="232">
        <v>-118.42</v>
      </c>
      <c r="P545" s="232"/>
      <c r="Q545" s="232"/>
    </row>
    <row r="546" spans="9:17" ht="15" x14ac:dyDescent="0.25">
      <c r="I546" s="227">
        <v>31620</v>
      </c>
      <c r="J546" s="227">
        <v>-8.6015200000000007</v>
      </c>
      <c r="K546" s="227">
        <v>39.034999999999997</v>
      </c>
      <c r="M546" s="227">
        <v>31620</v>
      </c>
      <c r="N546" s="232">
        <v>-3.2250700000000001</v>
      </c>
      <c r="O546" s="232">
        <v>-126.06</v>
      </c>
      <c r="P546" s="232"/>
      <c r="Q546" s="232"/>
    </row>
    <row r="547" spans="9:17" ht="15" x14ac:dyDescent="0.25">
      <c r="I547" s="227">
        <v>39810</v>
      </c>
      <c r="J547" s="227">
        <v>-9.9493500000000008</v>
      </c>
      <c r="K547" s="227">
        <v>27.765000000000001</v>
      </c>
      <c r="M547" s="227">
        <v>39810</v>
      </c>
      <c r="N547" s="232">
        <v>-4.5564999999999998</v>
      </c>
      <c r="O547" s="232">
        <v>-133.94999999999999</v>
      </c>
      <c r="P547" s="232"/>
      <c r="Q547" s="232"/>
    </row>
    <row r="548" spans="9:17" ht="15" x14ac:dyDescent="0.25">
      <c r="I548" s="227">
        <v>50120</v>
      </c>
      <c r="J548" s="227">
        <v>-10.9834</v>
      </c>
      <c r="K548" s="227">
        <v>15.042999999999999</v>
      </c>
      <c r="M548" s="227">
        <v>50120</v>
      </c>
      <c r="N548" s="232">
        <v>-5.5935600000000001</v>
      </c>
      <c r="O548" s="232">
        <v>-142.86000000000001</v>
      </c>
      <c r="P548" s="232"/>
      <c r="Q548" s="232"/>
    </row>
    <row r="549" spans="9:17" ht="15" x14ac:dyDescent="0.25">
      <c r="I549" s="227">
        <v>63100</v>
      </c>
      <c r="J549" s="227">
        <v>-11.75</v>
      </c>
      <c r="K549" s="227">
        <v>-1.2692000000000001</v>
      </c>
      <c r="M549" s="227">
        <v>63100</v>
      </c>
      <c r="N549" s="232">
        <v>-6.4191700000000003</v>
      </c>
      <c r="O549" s="232">
        <v>-151.83000000000001</v>
      </c>
      <c r="P549" s="232"/>
      <c r="Q549" s="232"/>
    </row>
    <row r="550" spans="9:17" ht="15" x14ac:dyDescent="0.25">
      <c r="I550" s="227">
        <v>79440</v>
      </c>
      <c r="J550" s="227">
        <v>-12.6732</v>
      </c>
      <c r="K550" s="227">
        <v>-16.631</v>
      </c>
      <c r="M550" s="227">
        <v>79440</v>
      </c>
      <c r="N550" s="232">
        <v>-6.9911099999999999</v>
      </c>
      <c r="O550" s="232">
        <v>-161.02000000000001</v>
      </c>
      <c r="P550" s="232"/>
      <c r="Q550" s="232"/>
    </row>
    <row r="551" spans="9:17" ht="15" x14ac:dyDescent="0.25">
      <c r="I551" s="227">
        <v>100000</v>
      </c>
      <c r="J551" s="227">
        <v>-13.494400000000001</v>
      </c>
      <c r="K551" s="227">
        <v>-32.988999999999997</v>
      </c>
      <c r="M551" s="227">
        <v>100000</v>
      </c>
      <c r="N551" s="232">
        <v>-7.3113000000000001</v>
      </c>
      <c r="O551" s="232">
        <v>-169.62</v>
      </c>
      <c r="P551" s="232"/>
      <c r="Q551" s="232"/>
    </row>
    <row r="552" spans="9:17" ht="15" x14ac:dyDescent="0.25">
      <c r="I552" s="227">
        <v>125900</v>
      </c>
      <c r="J552" s="227">
        <v>-14.252599999999999</v>
      </c>
      <c r="K552" s="227">
        <v>-50.472999999999999</v>
      </c>
      <c r="M552" s="227">
        <v>125900</v>
      </c>
      <c r="N552" s="232">
        <v>-7.4893900000000002</v>
      </c>
      <c r="O552" s="232">
        <v>-179.77</v>
      </c>
      <c r="P552" s="232"/>
      <c r="Q552" s="232"/>
    </row>
    <row r="553" spans="9:17" ht="15" x14ac:dyDescent="0.25">
      <c r="I553" s="227">
        <v>158500</v>
      </c>
      <c r="J553" s="227">
        <v>-14.984500000000001</v>
      </c>
      <c r="K553" s="227">
        <v>-69.144000000000005</v>
      </c>
      <c r="M553" s="227">
        <v>158500</v>
      </c>
      <c r="N553" s="232">
        <v>-7.4759000000000002</v>
      </c>
      <c r="O553" s="232">
        <v>169.67</v>
      </c>
      <c r="P553" s="232"/>
      <c r="Q553" s="232"/>
    </row>
    <row r="554" spans="9:17" ht="15" x14ac:dyDescent="0.25">
      <c r="I554" s="227">
        <v>199500</v>
      </c>
      <c r="J554" s="227">
        <v>-15.6913</v>
      </c>
      <c r="K554" s="227">
        <v>-89.822000000000003</v>
      </c>
      <c r="M554" s="227">
        <v>199500</v>
      </c>
      <c r="N554" s="232">
        <v>-7.1994300000000004</v>
      </c>
      <c r="O554" s="232">
        <v>156.46</v>
      </c>
      <c r="P554" s="232"/>
      <c r="Q554" s="232"/>
    </row>
    <row r="555" spans="9:17" ht="15" x14ac:dyDescent="0.25">
      <c r="I555" s="227">
        <v>251200</v>
      </c>
      <c r="J555" s="227">
        <v>-16.584</v>
      </c>
      <c r="K555" s="227">
        <v>-113.72</v>
      </c>
      <c r="M555" s="227">
        <v>251200</v>
      </c>
      <c r="N555" s="232">
        <v>-6.92408</v>
      </c>
      <c r="O555" s="232">
        <v>139.71</v>
      </c>
      <c r="P555" s="232"/>
      <c r="Q555" s="232"/>
    </row>
    <row r="556" spans="9:17" ht="15" x14ac:dyDescent="0.25">
      <c r="I556" s="227">
        <v>316200</v>
      </c>
      <c r="J556" s="227">
        <v>-18.080200000000001</v>
      </c>
      <c r="K556" s="227">
        <v>-145.29</v>
      </c>
      <c r="M556" s="227">
        <v>316200</v>
      </c>
      <c r="N556" s="232">
        <v>-6.6042899999999998</v>
      </c>
      <c r="O556" s="232">
        <v>112.86</v>
      </c>
      <c r="P556" s="232"/>
      <c r="Q556" s="232"/>
    </row>
    <row r="557" spans="9:17" ht="15" x14ac:dyDescent="0.25">
      <c r="I557" s="227">
        <v>398100</v>
      </c>
      <c r="J557" s="227">
        <v>-23.304200000000002</v>
      </c>
      <c r="K557" s="227">
        <v>176.66</v>
      </c>
      <c r="M557" s="227">
        <v>398100</v>
      </c>
      <c r="N557" s="232">
        <v>-8.0669299999999993</v>
      </c>
      <c r="O557" s="232">
        <v>73.507000000000005</v>
      </c>
      <c r="P557" s="232"/>
      <c r="Q557" s="232"/>
    </row>
    <row r="558" spans="9:17" ht="15" x14ac:dyDescent="0.25">
      <c r="I558" s="227">
        <v>501200</v>
      </c>
      <c r="J558" s="227">
        <v>-38.991999999999997</v>
      </c>
      <c r="K558" s="227">
        <v>-165.65</v>
      </c>
      <c r="M558" s="227">
        <v>501200</v>
      </c>
      <c r="N558" s="232">
        <v>-13.757400000000001</v>
      </c>
      <c r="O558" s="232">
        <v>30.117999999999999</v>
      </c>
      <c r="P558" s="232"/>
      <c r="Q558" s="232"/>
    </row>
    <row r="559" spans="9:17" ht="15" x14ac:dyDescent="0.25">
      <c r="I559" s="227">
        <v>631000</v>
      </c>
      <c r="J559" s="227">
        <v>-30.333600000000001</v>
      </c>
      <c r="K559" s="227">
        <v>-88.369</v>
      </c>
      <c r="M559" s="227">
        <v>631000</v>
      </c>
      <c r="N559" s="232">
        <v>-23.852499999999999</v>
      </c>
      <c r="O559" s="232">
        <v>-3.9874999999999998</v>
      </c>
      <c r="P559" s="232"/>
      <c r="Q559" s="232"/>
    </row>
    <row r="560" spans="9:17" ht="15" x14ac:dyDescent="0.25">
      <c r="I560" s="227">
        <v>794400</v>
      </c>
      <c r="J560" s="227">
        <v>-25.927700000000002</v>
      </c>
      <c r="K560" s="227">
        <v>-95.198999999999998</v>
      </c>
      <c r="M560" s="227">
        <v>794400</v>
      </c>
      <c r="N560" s="232">
        <v>-23.9956</v>
      </c>
      <c r="O560" s="232">
        <v>159.97</v>
      </c>
      <c r="P560" s="232"/>
      <c r="Q560" s="232"/>
    </row>
    <row r="561" spans="9:17" ht="15" x14ac:dyDescent="0.25">
      <c r="I561" s="233">
        <v>1000000</v>
      </c>
      <c r="J561" s="227">
        <v>-25.588000000000001</v>
      </c>
      <c r="K561" s="227">
        <v>-97.18</v>
      </c>
      <c r="M561" s="233">
        <v>1000000</v>
      </c>
      <c r="N561" s="232">
        <v>-14.6715</v>
      </c>
      <c r="O561" s="232">
        <v>91.450999999999993</v>
      </c>
      <c r="P561" s="232"/>
      <c r="Q561" s="234"/>
    </row>
    <row r="562" spans="9:17" ht="15" x14ac:dyDescent="0.25">
      <c r="N562" s="232"/>
      <c r="O562" s="232"/>
      <c r="P562" s="232"/>
      <c r="Q562" s="232"/>
    </row>
    <row r="563" spans="9:17" ht="15" x14ac:dyDescent="0.25">
      <c r="K563" s="233"/>
      <c r="L563" s="233"/>
      <c r="N563" s="232"/>
      <c r="O563" s="232"/>
      <c r="P563" s="232"/>
      <c r="Q563" s="232"/>
    </row>
    <row r="564" spans="9:17" ht="15" x14ac:dyDescent="0.25">
      <c r="N564" s="232"/>
      <c r="O564" s="232"/>
      <c r="P564" s="232"/>
      <c r="Q564" s="232"/>
    </row>
    <row r="565" spans="9:17" ht="15" x14ac:dyDescent="0.25">
      <c r="N565" s="232"/>
      <c r="O565" s="232"/>
      <c r="P565" s="232"/>
      <c r="Q565" s="232"/>
    </row>
    <row r="566" spans="9:17" ht="15" x14ac:dyDescent="0.25">
      <c r="N566" s="232"/>
      <c r="O566" s="232"/>
      <c r="P566" s="232"/>
      <c r="Q566" s="232"/>
    </row>
    <row r="567" spans="9:17" ht="15" x14ac:dyDescent="0.25">
      <c r="N567" s="232"/>
      <c r="O567" s="232"/>
      <c r="P567" s="232"/>
      <c r="Q567" s="232"/>
    </row>
    <row r="568" spans="9:17" ht="15" x14ac:dyDescent="0.25">
      <c r="N568" s="232"/>
      <c r="O568" s="232"/>
      <c r="P568" s="232"/>
      <c r="Q568" s="232"/>
    </row>
    <row r="569" spans="9:17" ht="15" x14ac:dyDescent="0.25">
      <c r="N569" s="232"/>
      <c r="O569" s="232"/>
      <c r="P569" s="232"/>
      <c r="Q569" s="232"/>
    </row>
    <row r="570" spans="9:17" ht="15" x14ac:dyDescent="0.25">
      <c r="N570" s="232"/>
      <c r="O570" s="232"/>
      <c r="P570" s="232"/>
      <c r="Q570" s="232"/>
    </row>
    <row r="571" spans="9:17" ht="15" x14ac:dyDescent="0.25">
      <c r="N571" s="232"/>
      <c r="O571" s="232"/>
      <c r="P571" s="232"/>
      <c r="Q571" s="232"/>
    </row>
    <row r="572" spans="9:17" ht="15" x14ac:dyDescent="0.25">
      <c r="N572" s="232"/>
      <c r="O572" s="232"/>
      <c r="P572" s="232"/>
      <c r="Q572" s="232"/>
    </row>
    <row r="573" spans="9:17" ht="15" x14ac:dyDescent="0.25">
      <c r="N573" s="232"/>
      <c r="O573" s="232"/>
      <c r="P573" s="232"/>
      <c r="Q573" s="232"/>
    </row>
    <row r="574" spans="9:17" ht="15" x14ac:dyDescent="0.25">
      <c r="N574" s="232"/>
      <c r="O574" s="232"/>
      <c r="P574" s="232"/>
      <c r="Q574" s="232"/>
    </row>
    <row r="575" spans="9:17" ht="15" x14ac:dyDescent="0.25">
      <c r="N575" s="232"/>
      <c r="O575" s="232"/>
      <c r="P575" s="232"/>
      <c r="Q575" s="232"/>
    </row>
    <row r="576" spans="9:17" ht="15" x14ac:dyDescent="0.25">
      <c r="N576" s="232"/>
      <c r="O576" s="232"/>
      <c r="P576" s="232"/>
      <c r="Q576" s="232"/>
    </row>
    <row r="577" spans="14:17" ht="15" x14ac:dyDescent="0.25">
      <c r="N577" s="232"/>
      <c r="O577" s="232"/>
      <c r="P577" s="232"/>
      <c r="Q577" s="232"/>
    </row>
    <row r="578" spans="14:17" ht="15" x14ac:dyDescent="0.25">
      <c r="N578" s="232"/>
      <c r="O578" s="232"/>
      <c r="P578" s="232"/>
      <c r="Q578" s="232"/>
    </row>
    <row r="579" spans="14:17" ht="15" x14ac:dyDescent="0.25">
      <c r="N579" s="232"/>
      <c r="O579" s="232"/>
      <c r="P579" s="232"/>
      <c r="Q579" s="232"/>
    </row>
    <row r="580" spans="14:17" ht="15" x14ac:dyDescent="0.25">
      <c r="N580" s="232"/>
      <c r="O580" s="232"/>
      <c r="P580" s="232"/>
      <c r="Q580" s="232"/>
    </row>
    <row r="581" spans="14:17" ht="15" x14ac:dyDescent="0.25">
      <c r="N581" s="232"/>
      <c r="O581" s="232"/>
      <c r="P581" s="232"/>
      <c r="Q581" s="232"/>
    </row>
    <row r="582" spans="14:17" ht="15" x14ac:dyDescent="0.25">
      <c r="N582" s="232"/>
      <c r="O582" s="232"/>
      <c r="P582" s="232"/>
      <c r="Q582" s="232"/>
    </row>
    <row r="583" spans="14:17" ht="15" x14ac:dyDescent="0.25">
      <c r="N583" s="232"/>
      <c r="O583" s="232"/>
      <c r="P583" s="232"/>
      <c r="Q583" s="232"/>
    </row>
    <row r="584" spans="14:17" ht="15" x14ac:dyDescent="0.25">
      <c r="N584" s="232"/>
      <c r="O584" s="232"/>
      <c r="P584" s="232"/>
      <c r="Q584" s="232"/>
    </row>
    <row r="585" spans="14:17" ht="15" x14ac:dyDescent="0.25">
      <c r="N585" s="232"/>
      <c r="O585" s="232"/>
      <c r="P585" s="232"/>
      <c r="Q585" s="232"/>
    </row>
    <row r="586" spans="14:17" ht="15" x14ac:dyDescent="0.25">
      <c r="N586" s="232"/>
      <c r="O586" s="232"/>
      <c r="P586" s="232"/>
      <c r="Q586" s="232"/>
    </row>
    <row r="587" spans="14:17" ht="15" x14ac:dyDescent="0.25">
      <c r="N587" s="232"/>
      <c r="O587" s="232"/>
      <c r="P587" s="232"/>
      <c r="Q587" s="232"/>
    </row>
    <row r="588" spans="14:17" ht="15" x14ac:dyDescent="0.25">
      <c r="N588" s="232"/>
      <c r="O588" s="232"/>
      <c r="P588" s="232"/>
      <c r="Q588" s="232"/>
    </row>
    <row r="589" spans="14:17" ht="15" x14ac:dyDescent="0.25">
      <c r="N589" s="232"/>
      <c r="O589" s="232"/>
      <c r="P589" s="232"/>
      <c r="Q589" s="232"/>
    </row>
    <row r="590" spans="14:17" ht="15" x14ac:dyDescent="0.25">
      <c r="N590" s="232"/>
      <c r="O590" s="232"/>
      <c r="P590" s="232"/>
      <c r="Q590" s="232"/>
    </row>
    <row r="591" spans="14:17" ht="15" x14ac:dyDescent="0.25">
      <c r="N591" s="232"/>
      <c r="O591" s="232"/>
      <c r="P591" s="232"/>
      <c r="Q591" s="232"/>
    </row>
    <row r="592" spans="14:17" ht="15" x14ac:dyDescent="0.25">
      <c r="N592" s="232"/>
      <c r="O592" s="232"/>
      <c r="P592" s="232"/>
      <c r="Q592" s="232"/>
    </row>
    <row r="593" spans="14:17" ht="15" x14ac:dyDescent="0.25">
      <c r="N593" s="232"/>
      <c r="O593" s="232"/>
      <c r="P593" s="232"/>
      <c r="Q593" s="232"/>
    </row>
    <row r="612" spans="9:17" x14ac:dyDescent="0.2">
      <c r="I612" s="233"/>
      <c r="M612" s="233"/>
      <c r="Q612" s="233"/>
    </row>
  </sheetData>
  <sheetProtection sheet="1"/>
  <mergeCells count="5">
    <mergeCell ref="C20:D20"/>
    <mergeCell ref="B2:D2"/>
    <mergeCell ref="E2:G2"/>
    <mergeCell ref="E26:G26"/>
    <mergeCell ref="E21:G21"/>
  </mergeCells>
  <phoneticPr fontId="0" type="noConversion"/>
  <conditionalFormatting sqref="F23">
    <cfRule type="cellIs" dxfId="1" priority="1" stopIfTrue="1" operator="lessThan">
      <formula>60</formula>
    </cfRule>
  </conditionalFormatting>
  <conditionalFormatting sqref="F24">
    <cfRule type="cellIs" dxfId="0" priority="2" stopIfTrue="1" operator="greaterThan">
      <formula>-10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D64-F6B9-41E4-9047-93D90D515103}">
  <sheetPr>
    <pageSetUpPr fitToPage="1"/>
  </sheetPr>
  <dimension ref="A1:L146"/>
  <sheetViews>
    <sheetView zoomScaleNormal="100" workbookViewId="0">
      <selection activeCell="B42" sqref="B42"/>
    </sheetView>
  </sheetViews>
  <sheetFormatPr defaultRowHeight="12.75" x14ac:dyDescent="0.2"/>
  <cols>
    <col min="1" max="1" width="9.140625" style="10" customWidth="1"/>
    <col min="2" max="2" width="19.28515625" style="10" bestFit="1" customWidth="1"/>
    <col min="3" max="3" width="12.42578125" style="10" bestFit="1" customWidth="1"/>
    <col min="4" max="4" width="7.7109375" style="10" customWidth="1"/>
    <col min="5" max="8" width="8.7109375" style="3" customWidth="1"/>
    <col min="9" max="9" width="8.7109375" style="5" customWidth="1"/>
    <col min="10" max="11" width="9.140625" style="36" customWidth="1"/>
    <col min="12" max="12" width="4.7109375" style="36" bestFit="1" customWidth="1"/>
    <col min="13" max="17" width="9.140625" style="3" customWidth="1"/>
    <col min="18" max="16384" width="9.140625" style="3"/>
  </cols>
  <sheetData>
    <row r="1" spans="1:12" ht="18" x14ac:dyDescent="0.25">
      <c r="A1" s="4" t="s">
        <v>102</v>
      </c>
    </row>
    <row r="2" spans="1:12" ht="18.75" thickBot="1" x14ac:dyDescent="0.3">
      <c r="A2" s="2"/>
      <c r="B2" s="3"/>
      <c r="C2" s="3"/>
      <c r="D2" s="3"/>
      <c r="E2" s="4" t="s">
        <v>70</v>
      </c>
      <c r="J2" s="4" t="s">
        <v>71</v>
      </c>
      <c r="K2" s="10"/>
      <c r="L2" s="10"/>
    </row>
    <row r="3" spans="1:12" ht="13.5" thickBot="1" x14ac:dyDescent="0.25">
      <c r="A3" s="3"/>
      <c r="B3" s="6" t="s">
        <v>72</v>
      </c>
      <c r="C3" s="7">
        <v>100</v>
      </c>
      <c r="D3" s="28">
        <f>(IF((10^(LOG(C3)-INT(LOG(C3)))*100)-VLOOKUP((10^(LOG(C3)-INT(LOG(C3)))*100),E96_s:E96_f,1)&lt;VLOOKUP((10^(LOG(C3)-INT(LOG(C3)))*100),E96_s:E96_f,2)-(10^(LOG(C3)-INT(LOG(C3)))*100),VLOOKUP((10^(LOG(C3)-INT(LOG(C3)))*100),E96_s:E96_f,1),VLOOKUP((10^(LOG(C3)-INT(LOG(C3)))*100),E96_s:E96_f,2)))*10^INT(LOG(C3))/100</f>
        <v>100</v>
      </c>
      <c r="E3" s="271" t="s">
        <v>73</v>
      </c>
      <c r="F3" s="272"/>
      <c r="G3" s="273" t="s">
        <v>74</v>
      </c>
      <c r="H3" s="274"/>
      <c r="J3" s="8" t="s">
        <v>75</v>
      </c>
      <c r="K3" s="47">
        <v>6.8999999999999994E-11</v>
      </c>
      <c r="L3" s="9" t="s">
        <v>7</v>
      </c>
    </row>
    <row r="4" spans="1:12" ht="13.5" thickBot="1" x14ac:dyDescent="0.25">
      <c r="B4" s="3"/>
      <c r="E4" s="11">
        <v>100</v>
      </c>
      <c r="F4" s="12">
        <v>150</v>
      </c>
      <c r="G4" s="13">
        <v>100</v>
      </c>
      <c r="H4" s="14">
        <v>102</v>
      </c>
      <c r="J4" s="8"/>
      <c r="K4" s="46">
        <f>IF(K3*10^12&lt;10000,IF((10^(LOG(K3*10^12)-INT(LOG(K3*10^12))))-VLOOKUP((10^(LOG(K3*10^12)-INT(LOG(K3*10^12)))),c_s1:C_f1,1)&lt;VLOOKUP((10^(LOG(K3*10^12)-INT(LOG(K3*10^12)))),c_s1:C_f1,2)-(10^(LOG(K3*10^12)-INT(LOG(K3*10^12)))),VLOOKUP((10^(LOG(K3*10^12)-INT(LOG(K3*10^12)))),c_s1:C_f1,1),VLOOKUP((10^(LOG(K3*10^12)-INT(LOG(K3*10^12)))),c_s1:C_f1,2))*10^INT(LOG(K3*10^12)),IF((10^(LOG(K3*10^12)-INT(LOG(K3*10^12))))-VLOOKUP((10^(LOG(K3*10^12)-INT(LOG(K3*10^12)))),C_s2:C_f2,1)&lt;VLOOKUP((10^(LOG(K3*10^12)-INT(LOG(K3*10^12)))),C_s2:C_f2,2)-(10^(LOG(K3*10^12)-INT(LOG(K3*10^12)))),VLOOKUP((10^(LOG(K3*10^12)-INT(LOG(K3*10^12)))),C_s2:C_f2,1),VLOOKUP((10^(LOG(K3*10^12)-INT(LOG(K3*10^12)))),C_s2:C_f2,2))*10^INT(LOG(K3*10^12)))*10^-12</f>
        <v>6.7999999999999998E-11</v>
      </c>
      <c r="L4" s="15" t="s">
        <v>7</v>
      </c>
    </row>
    <row r="5" spans="1:12" ht="13.5" thickBot="1" x14ac:dyDescent="0.25">
      <c r="B5" s="16" t="s">
        <v>76</v>
      </c>
      <c r="C5" s="17">
        <f>(IF((10^(LOG(C3)-INT(LOG(C3)))*100)-VLOOKUP((10^(LOG(C3)-INT(LOG(C3)))*100),E6_s:E6_f,1)&lt;VLOOKUP((10^(LOG(C3)-INT(LOG(C3)))*100),E6_s:E6_f,2)-(10^(LOG(C3)-INT(LOG(C3)))*100),VLOOKUP((10^(LOG(C3)-INT(LOG(C3)))*100),E6_s:E6_f,1),VLOOKUP((10^(LOG(C3)-INT(LOG(C3)))*100),E6_s:E6_f,2)))*10^INT(LOG(C3))/100</f>
        <v>100</v>
      </c>
      <c r="E5" s="12">
        <v>150</v>
      </c>
      <c r="F5" s="11">
        <v>220</v>
      </c>
      <c r="G5" s="14">
        <v>102</v>
      </c>
      <c r="H5" s="13">
        <v>105</v>
      </c>
      <c r="J5" s="18"/>
      <c r="K5" s="19"/>
      <c r="L5" s="20"/>
    </row>
    <row r="6" spans="1:12" ht="13.5" thickBot="1" x14ac:dyDescent="0.25">
      <c r="B6" s="21" t="s">
        <v>77</v>
      </c>
      <c r="C6" s="22">
        <f>(IF((10^(LOG(C3)-INT(LOG(C3)))*100)-VLOOKUP((10^(LOG(C3)-INT(LOG(C3)))*100),E12_s:E12_f,1)&lt;VLOOKUP((10^(LOG(C3)-INT(LOG(C3)))*100),E12_s:E12_f,2)-(10^(LOG(C3)-INT(LOG(C3)))*100),VLOOKUP((10^(LOG(C3)-INT(LOG(C3)))*100),E12_s:E12_f,1),VLOOKUP((10^(LOG(C3)-INT(LOG(C3)))*100),E12_s:E12_f,2)))*10^INT(LOG(C3))/100</f>
        <v>100</v>
      </c>
      <c r="E6" s="11">
        <v>220</v>
      </c>
      <c r="F6" s="12">
        <v>330</v>
      </c>
      <c r="G6" s="13">
        <v>105</v>
      </c>
      <c r="H6" s="14">
        <v>107</v>
      </c>
      <c r="J6" s="23" t="s">
        <v>78</v>
      </c>
      <c r="K6" s="24"/>
      <c r="L6" s="3"/>
    </row>
    <row r="7" spans="1:12" ht="13.5" thickBot="1" x14ac:dyDescent="0.25">
      <c r="B7" s="21" t="s">
        <v>79</v>
      </c>
      <c r="C7" s="22">
        <f>(IF((10^(LOG(C3)-INT(LOG(C3)))*100)-VLOOKUP((10^(LOG(C3)-INT(LOG(C3)))*100),E24_s:E24_f,1)&lt;VLOOKUP((10^(LOG(C3)-INT(LOG(C3)))*100),E24_s:E24_f,2)-(10^(LOG(C3)-INT(LOG(C3)))*100),VLOOKUP((10^(LOG(C3)-INT(LOG(C3)))*100),E24_s:E24_f,1),VLOOKUP((10^(LOG(C3)-INT(LOG(C3)))*100),E24_s:E24_f,2)))*10^INT(LOG(C3))/100</f>
        <v>100</v>
      </c>
      <c r="E7" s="12">
        <v>330</v>
      </c>
      <c r="F7" s="11">
        <v>470</v>
      </c>
      <c r="G7" s="14">
        <v>107</v>
      </c>
      <c r="H7" s="13">
        <v>110</v>
      </c>
      <c r="J7" s="24">
        <v>1</v>
      </c>
      <c r="K7" s="24">
        <v>1.2</v>
      </c>
      <c r="L7" s="25">
        <f>IF((10^(LOG(K3)-INT(LOG(K3))))-VLOOKUP((10^(LOG(K3)-INT(LOG(K3)))),c_s1:C_f1,1)&lt;VLOOKUP((10^(LOG(K3)-INT(LOG(K3)))),c_s1:C_f1,2)-(10^(LOG(K3)-INT(LOG(K3)))),VLOOKUP((10^(LOG(K3)-INT(LOG(K3)))),c_s1:C_f1,1),VLOOKUP((10^(LOG(K3)-INT(LOG(K3)))),c_s1:C_f1,2))</f>
        <v>6.8</v>
      </c>
    </row>
    <row r="8" spans="1:12" ht="13.5" thickBot="1" x14ac:dyDescent="0.25">
      <c r="B8" s="21" t="s">
        <v>80</v>
      </c>
      <c r="C8" s="22">
        <f>(IF((10^(LOG(C3)-INT(LOG(C3)))*100)-VLOOKUP((10^(LOG(C3)-INT(LOG(C3)))*100),E48_s:E48_f,1)&lt;VLOOKUP((10^(LOG(C3)-INT(LOG(C3)))*100),E48_s:E48_f,2)-(10^(LOG(C3)-INT(LOG(C3)))*100),VLOOKUP((10^(LOG(C3)-INT(LOG(C3)))*100),E48_s:E48_f,1),VLOOKUP((10^(LOG(C3)-INT(LOG(C3)))*100),E48_s:E48_f,2)))*10^INT(LOG(C3))/100</f>
        <v>100</v>
      </c>
      <c r="E8" s="11">
        <v>470</v>
      </c>
      <c r="F8" s="12">
        <v>680</v>
      </c>
      <c r="G8" s="13">
        <v>110</v>
      </c>
      <c r="H8" s="14">
        <v>113</v>
      </c>
      <c r="J8" s="24">
        <v>1.2</v>
      </c>
      <c r="K8" s="24">
        <v>1.5</v>
      </c>
      <c r="L8" s="26"/>
    </row>
    <row r="9" spans="1:12" ht="13.5" thickBot="1" x14ac:dyDescent="0.25">
      <c r="B9" s="27" t="s">
        <v>81</v>
      </c>
      <c r="D9" s="3"/>
      <c r="E9" s="12">
        <v>680</v>
      </c>
      <c r="F9" s="12">
        <v>1000</v>
      </c>
      <c r="G9" s="14">
        <v>113</v>
      </c>
      <c r="H9" s="13">
        <v>115</v>
      </c>
      <c r="J9" s="24">
        <v>1.5</v>
      </c>
      <c r="K9" s="24">
        <v>1.8</v>
      </c>
      <c r="L9" s="26"/>
    </row>
    <row r="10" spans="1:12" ht="13.5" thickBot="1" x14ac:dyDescent="0.25">
      <c r="E10" s="275" t="s">
        <v>82</v>
      </c>
      <c r="F10" s="276"/>
      <c r="G10" s="13">
        <v>115</v>
      </c>
      <c r="H10" s="14">
        <v>118</v>
      </c>
      <c r="J10" s="24">
        <v>1.8</v>
      </c>
      <c r="K10" s="24">
        <v>2.2000000000000002</v>
      </c>
      <c r="L10" s="3"/>
    </row>
    <row r="11" spans="1:12" ht="13.5" thickBot="1" x14ac:dyDescent="0.25">
      <c r="B11" s="3"/>
      <c r="C11" s="3"/>
      <c r="E11" s="30">
        <v>100</v>
      </c>
      <c r="F11" s="31">
        <v>120</v>
      </c>
      <c r="G11" s="14">
        <v>118</v>
      </c>
      <c r="H11" s="13">
        <v>121</v>
      </c>
      <c r="J11" s="24">
        <v>2.2000000000000002</v>
      </c>
      <c r="K11" s="24">
        <v>2.7</v>
      </c>
      <c r="L11" s="3"/>
    </row>
    <row r="12" spans="1:12" ht="13.5" thickBot="1" x14ac:dyDescent="0.25">
      <c r="E12" s="31">
        <v>120</v>
      </c>
      <c r="F12" s="31">
        <v>150</v>
      </c>
      <c r="G12" s="13">
        <v>121</v>
      </c>
      <c r="H12" s="14">
        <v>124</v>
      </c>
      <c r="J12" s="24">
        <v>2.7</v>
      </c>
      <c r="K12" s="24">
        <v>3.3</v>
      </c>
      <c r="L12" s="3"/>
    </row>
    <row r="13" spans="1:12" ht="13.5" thickBot="1" x14ac:dyDescent="0.25">
      <c r="E13" s="31">
        <v>150</v>
      </c>
      <c r="F13" s="31">
        <v>180</v>
      </c>
      <c r="G13" s="14">
        <v>124</v>
      </c>
      <c r="H13" s="13">
        <v>127</v>
      </c>
      <c r="J13" s="24">
        <v>3.3</v>
      </c>
      <c r="K13" s="24">
        <v>3.9</v>
      </c>
      <c r="L13" s="3"/>
    </row>
    <row r="14" spans="1:12" ht="13.5" thickBot="1" x14ac:dyDescent="0.25">
      <c r="E14" s="31">
        <v>180</v>
      </c>
      <c r="F14" s="30">
        <v>220</v>
      </c>
      <c r="G14" s="13">
        <v>127</v>
      </c>
      <c r="H14" s="14">
        <v>130</v>
      </c>
      <c r="J14" s="24">
        <v>3.9</v>
      </c>
      <c r="K14" s="24">
        <v>4.7</v>
      </c>
      <c r="L14" s="3"/>
    </row>
    <row r="15" spans="1:12" ht="13.5" thickBot="1" x14ac:dyDescent="0.25">
      <c r="D15" s="32"/>
      <c r="E15" s="30">
        <v>220</v>
      </c>
      <c r="F15" s="31">
        <v>270</v>
      </c>
      <c r="G15" s="14">
        <v>130</v>
      </c>
      <c r="H15" s="13">
        <v>133</v>
      </c>
      <c r="J15" s="24">
        <v>4.7</v>
      </c>
      <c r="K15" s="24">
        <v>5.6</v>
      </c>
      <c r="L15" s="3"/>
    </row>
    <row r="16" spans="1:12" ht="13.5" thickBot="1" x14ac:dyDescent="0.25">
      <c r="A16" s="33"/>
      <c r="B16" s="34"/>
      <c r="D16" s="35"/>
      <c r="E16" s="31">
        <v>270</v>
      </c>
      <c r="F16" s="31">
        <v>330</v>
      </c>
      <c r="G16" s="13">
        <v>133</v>
      </c>
      <c r="H16" s="14">
        <v>137</v>
      </c>
      <c r="J16" s="24">
        <v>5.6</v>
      </c>
      <c r="K16" s="24">
        <v>6.8</v>
      </c>
      <c r="L16" s="3"/>
    </row>
    <row r="17" spans="1:12" ht="13.5" thickBot="1" x14ac:dyDescent="0.25">
      <c r="A17" s="33"/>
      <c r="B17" s="34"/>
      <c r="D17" s="35"/>
      <c r="E17" s="31">
        <v>330</v>
      </c>
      <c r="F17" s="31">
        <v>390</v>
      </c>
      <c r="G17" s="14">
        <v>137</v>
      </c>
      <c r="H17" s="13">
        <v>140</v>
      </c>
      <c r="J17" s="24">
        <v>6.8</v>
      </c>
      <c r="K17" s="24">
        <v>8.1999999999999993</v>
      </c>
      <c r="L17" s="3"/>
    </row>
    <row r="18" spans="1:12" ht="13.5" thickBot="1" x14ac:dyDescent="0.25">
      <c r="A18" s="33"/>
      <c r="B18" s="34"/>
      <c r="D18" s="35"/>
      <c r="E18" s="31">
        <v>390</v>
      </c>
      <c r="F18" s="30">
        <v>470</v>
      </c>
      <c r="G18" s="13">
        <v>140</v>
      </c>
      <c r="H18" s="14">
        <v>143</v>
      </c>
      <c r="J18" s="24">
        <v>8.1999999999999993</v>
      </c>
      <c r="K18" s="24">
        <v>10</v>
      </c>
      <c r="L18" s="3"/>
    </row>
    <row r="19" spans="1:12" ht="13.5" thickBot="1" x14ac:dyDescent="0.25">
      <c r="A19" s="33"/>
      <c r="B19" s="34"/>
      <c r="D19" s="35"/>
      <c r="E19" s="30">
        <v>470</v>
      </c>
      <c r="F19" s="31">
        <v>560</v>
      </c>
      <c r="G19" s="14">
        <v>143</v>
      </c>
      <c r="H19" s="13">
        <v>147</v>
      </c>
      <c r="J19" s="23" t="s">
        <v>83</v>
      </c>
      <c r="K19" s="24"/>
      <c r="L19" s="24"/>
    </row>
    <row r="20" spans="1:12" ht="13.5" thickBot="1" x14ac:dyDescent="0.25">
      <c r="A20" s="33"/>
      <c r="B20" s="34"/>
      <c r="D20" s="35"/>
      <c r="E20" s="31">
        <v>560</v>
      </c>
      <c r="F20" s="31">
        <v>680</v>
      </c>
      <c r="G20" s="13">
        <v>147</v>
      </c>
      <c r="H20" s="14">
        <v>150</v>
      </c>
      <c r="J20" s="24">
        <v>1</v>
      </c>
      <c r="K20" s="24">
        <v>1.5</v>
      </c>
      <c r="L20" s="25">
        <f>IF((10^(LOG(K3)-INT(LOG(K3))))-VLOOKUP((10^(LOG(K3)-INT(LOG(K3)))),C_s2:C_f2,1)&lt;VLOOKUP((10^(LOG(K3)-INT(LOG(K3)))),C_s2:C_f2,2)-(10^(LOG(K3)-INT(LOG(K3)))),VLOOKUP((10^(LOG(K3)-INT(LOG(K3)))),C_s2:C_f2,1),VLOOKUP((10^(LOG(K3)-INT(LOG(K3)))),C_s2:C_f2,2))</f>
        <v>6.8</v>
      </c>
    </row>
    <row r="21" spans="1:12" ht="13.5" thickBot="1" x14ac:dyDescent="0.25">
      <c r="A21" s="33"/>
      <c r="B21" s="34"/>
      <c r="D21" s="35"/>
      <c r="E21" s="29">
        <v>680</v>
      </c>
      <c r="F21" s="31">
        <v>820</v>
      </c>
      <c r="G21" s="14">
        <v>150</v>
      </c>
      <c r="H21" s="13">
        <v>154</v>
      </c>
      <c r="J21" s="24">
        <v>1.5</v>
      </c>
      <c r="K21" s="24">
        <v>2.2000000000000002</v>
      </c>
    </row>
    <row r="22" spans="1:12" ht="13.5" thickBot="1" x14ac:dyDescent="0.25">
      <c r="A22" s="33"/>
      <c r="B22" s="34"/>
      <c r="D22" s="35"/>
      <c r="E22" s="29">
        <v>820</v>
      </c>
      <c r="F22" s="31">
        <v>1000</v>
      </c>
      <c r="G22" s="13">
        <v>154</v>
      </c>
      <c r="H22" s="14">
        <v>158</v>
      </c>
      <c r="J22" s="24">
        <v>2.2000000000000002</v>
      </c>
      <c r="K22" s="24">
        <v>3.3</v>
      </c>
      <c r="L22" s="25"/>
    </row>
    <row r="23" spans="1:12" ht="13.5" thickBot="1" x14ac:dyDescent="0.25">
      <c r="A23" s="33"/>
      <c r="B23" s="34"/>
      <c r="D23" s="35"/>
      <c r="E23" s="277" t="s">
        <v>84</v>
      </c>
      <c r="F23" s="278"/>
      <c r="G23" s="14">
        <v>158</v>
      </c>
      <c r="H23" s="13">
        <v>162</v>
      </c>
      <c r="J23" s="24">
        <v>3.3</v>
      </c>
      <c r="K23" s="24">
        <v>4.7</v>
      </c>
      <c r="L23" s="25"/>
    </row>
    <row r="24" spans="1:12" ht="13.5" thickBot="1" x14ac:dyDescent="0.25">
      <c r="A24" s="33"/>
      <c r="B24" s="34"/>
      <c r="D24" s="35"/>
      <c r="E24" s="37">
        <v>100</v>
      </c>
      <c r="F24" s="38">
        <v>110</v>
      </c>
      <c r="G24" s="13">
        <v>162</v>
      </c>
      <c r="H24" s="14">
        <v>165</v>
      </c>
      <c r="J24" s="24">
        <v>4.7</v>
      </c>
      <c r="K24" s="24">
        <v>6.8</v>
      </c>
      <c r="L24" s="3"/>
    </row>
    <row r="25" spans="1:12" ht="13.5" thickBot="1" x14ac:dyDescent="0.25">
      <c r="A25" s="33"/>
      <c r="B25" s="34"/>
      <c r="D25" s="35"/>
      <c r="E25" s="38">
        <v>110</v>
      </c>
      <c r="F25" s="38">
        <v>120</v>
      </c>
      <c r="G25" s="14">
        <v>165</v>
      </c>
      <c r="H25" s="13">
        <v>169</v>
      </c>
      <c r="J25" s="24">
        <v>6.8</v>
      </c>
      <c r="K25" s="24">
        <v>10</v>
      </c>
      <c r="L25" s="3"/>
    </row>
    <row r="26" spans="1:12" ht="13.5" thickBot="1" x14ac:dyDescent="0.25">
      <c r="A26" s="33"/>
      <c r="B26" s="34"/>
      <c r="D26" s="35"/>
      <c r="E26" s="38">
        <v>120</v>
      </c>
      <c r="F26" s="38">
        <v>130</v>
      </c>
      <c r="G26" s="13">
        <v>169</v>
      </c>
      <c r="H26" s="14">
        <v>174</v>
      </c>
      <c r="J26" s="39"/>
      <c r="K26" s="39"/>
      <c r="L26" s="39"/>
    </row>
    <row r="27" spans="1:12" ht="13.5" thickBot="1" x14ac:dyDescent="0.25">
      <c r="A27" s="33"/>
      <c r="B27" s="34"/>
      <c r="D27" s="35"/>
      <c r="E27" s="38">
        <v>130</v>
      </c>
      <c r="F27" s="38">
        <v>150</v>
      </c>
      <c r="G27" s="14">
        <v>174</v>
      </c>
      <c r="H27" s="13">
        <v>178</v>
      </c>
      <c r="J27" s="39"/>
      <c r="K27" s="39"/>
      <c r="L27" s="39"/>
    </row>
    <row r="28" spans="1:12" ht="13.5" thickBot="1" x14ac:dyDescent="0.25">
      <c r="A28" s="33"/>
      <c r="B28" s="34"/>
      <c r="D28" s="35"/>
      <c r="E28" s="38">
        <v>150</v>
      </c>
      <c r="F28" s="38">
        <v>160</v>
      </c>
      <c r="G28" s="13">
        <v>178</v>
      </c>
      <c r="H28" s="14">
        <v>182</v>
      </c>
      <c r="I28" s="40"/>
      <c r="J28" s="39"/>
      <c r="K28" s="39"/>
      <c r="L28" s="39"/>
    </row>
    <row r="29" spans="1:12" ht="13.5" thickBot="1" x14ac:dyDescent="0.25">
      <c r="A29" s="33"/>
      <c r="B29" s="34"/>
      <c r="D29" s="35"/>
      <c r="E29" s="38">
        <v>160</v>
      </c>
      <c r="F29" s="38">
        <v>180</v>
      </c>
      <c r="G29" s="14">
        <v>182</v>
      </c>
      <c r="H29" s="13">
        <v>187</v>
      </c>
      <c r="I29" s="40"/>
      <c r="J29" s="39"/>
      <c r="K29" s="39"/>
      <c r="L29" s="39"/>
    </row>
    <row r="30" spans="1:12" ht="13.5" thickBot="1" x14ac:dyDescent="0.25">
      <c r="A30" s="33"/>
      <c r="B30" s="34"/>
      <c r="D30" s="35"/>
      <c r="E30" s="38">
        <v>180</v>
      </c>
      <c r="F30" s="41">
        <v>200</v>
      </c>
      <c r="G30" s="13">
        <v>187</v>
      </c>
      <c r="H30" s="14">
        <v>191</v>
      </c>
      <c r="I30" s="40"/>
      <c r="J30" s="39"/>
      <c r="K30" s="39"/>
      <c r="L30" s="39"/>
    </row>
    <row r="31" spans="1:12" ht="13.5" thickBot="1" x14ac:dyDescent="0.25">
      <c r="A31" s="33"/>
      <c r="B31" s="34"/>
      <c r="D31" s="35"/>
      <c r="E31" s="41">
        <v>200</v>
      </c>
      <c r="F31" s="37">
        <v>220</v>
      </c>
      <c r="G31" s="14">
        <v>191</v>
      </c>
      <c r="H31" s="13">
        <v>196</v>
      </c>
      <c r="I31" s="40"/>
      <c r="J31" s="39"/>
      <c r="K31" s="39"/>
      <c r="L31" s="39"/>
    </row>
    <row r="32" spans="1:12" ht="13.5" thickBot="1" x14ac:dyDescent="0.25">
      <c r="A32" s="33"/>
      <c r="B32" s="34"/>
      <c r="D32" s="35"/>
      <c r="E32" s="37">
        <v>220</v>
      </c>
      <c r="F32" s="38">
        <v>240</v>
      </c>
      <c r="G32" s="13">
        <v>196</v>
      </c>
      <c r="H32" s="14">
        <v>200</v>
      </c>
      <c r="I32" s="40"/>
      <c r="J32" s="39"/>
      <c r="K32" s="39"/>
      <c r="L32" s="39"/>
    </row>
    <row r="33" spans="1:12" ht="13.5" thickBot="1" x14ac:dyDescent="0.25">
      <c r="A33" s="33"/>
      <c r="B33" s="34"/>
      <c r="D33" s="35"/>
      <c r="E33" s="38">
        <v>240</v>
      </c>
      <c r="F33" s="38">
        <v>270</v>
      </c>
      <c r="G33" s="14">
        <v>200</v>
      </c>
      <c r="H33" s="13">
        <v>205</v>
      </c>
      <c r="I33" s="40"/>
      <c r="J33" s="39"/>
      <c r="K33" s="39"/>
      <c r="L33" s="39"/>
    </row>
    <row r="34" spans="1:12" s="43" customFormat="1" ht="13.5" thickBot="1" x14ac:dyDescent="0.25">
      <c r="A34" s="33"/>
      <c r="B34" s="34"/>
      <c r="C34" s="10"/>
      <c r="D34" s="35"/>
      <c r="E34" s="38">
        <v>270</v>
      </c>
      <c r="F34" s="38">
        <v>300</v>
      </c>
      <c r="G34" s="13">
        <v>205</v>
      </c>
      <c r="H34" s="14">
        <v>210</v>
      </c>
      <c r="I34" s="42"/>
      <c r="J34" s="39"/>
      <c r="K34" s="39"/>
      <c r="L34" s="39"/>
    </row>
    <row r="35" spans="1:12" s="43" customFormat="1" ht="13.5" thickBot="1" x14ac:dyDescent="0.25">
      <c r="E35" s="38">
        <v>300</v>
      </c>
      <c r="F35" s="38">
        <v>330</v>
      </c>
      <c r="G35" s="14">
        <v>210</v>
      </c>
      <c r="H35" s="13">
        <v>215</v>
      </c>
      <c r="I35" s="5"/>
      <c r="J35" s="39"/>
      <c r="K35" s="39"/>
      <c r="L35" s="39"/>
    </row>
    <row r="36" spans="1:12" s="43" customFormat="1" ht="13.5" thickBot="1" x14ac:dyDescent="0.25">
      <c r="E36" s="38">
        <v>330</v>
      </c>
      <c r="F36" s="38">
        <v>360</v>
      </c>
      <c r="G36" s="13">
        <v>215</v>
      </c>
      <c r="H36" s="14">
        <v>221</v>
      </c>
      <c r="I36" s="5"/>
      <c r="J36" s="39"/>
      <c r="K36" s="39"/>
      <c r="L36" s="39"/>
    </row>
    <row r="37" spans="1:12" s="43" customFormat="1" ht="13.5" thickBot="1" x14ac:dyDescent="0.25">
      <c r="E37" s="38">
        <v>360</v>
      </c>
      <c r="F37" s="38">
        <v>390</v>
      </c>
      <c r="G37" s="14">
        <v>221</v>
      </c>
      <c r="H37" s="13">
        <v>226</v>
      </c>
      <c r="I37" s="5"/>
      <c r="J37" s="39"/>
      <c r="K37" s="39"/>
      <c r="L37" s="39"/>
    </row>
    <row r="38" spans="1:12" s="43" customFormat="1" ht="13.5" thickBot="1" x14ac:dyDescent="0.25">
      <c r="E38" s="38">
        <v>390</v>
      </c>
      <c r="F38" s="41">
        <v>430</v>
      </c>
      <c r="G38" s="13">
        <v>226</v>
      </c>
      <c r="H38" s="14">
        <v>232</v>
      </c>
      <c r="I38" s="40"/>
      <c r="J38" s="39"/>
      <c r="K38" s="39"/>
      <c r="L38" s="39"/>
    </row>
    <row r="39" spans="1:12" ht="13.5" thickBot="1" x14ac:dyDescent="0.25">
      <c r="E39" s="41">
        <v>430</v>
      </c>
      <c r="F39" s="37">
        <v>470</v>
      </c>
      <c r="G39" s="14">
        <v>232</v>
      </c>
      <c r="H39" s="13">
        <v>237</v>
      </c>
      <c r="I39" s="40"/>
      <c r="J39" s="39"/>
      <c r="K39" s="39"/>
      <c r="L39" s="39"/>
    </row>
    <row r="40" spans="1:12" ht="13.5" thickBot="1" x14ac:dyDescent="0.25">
      <c r="E40" s="37">
        <v>470</v>
      </c>
      <c r="F40" s="38">
        <v>510</v>
      </c>
      <c r="G40" s="13">
        <v>237</v>
      </c>
      <c r="H40" s="14">
        <v>243</v>
      </c>
      <c r="I40" s="40"/>
      <c r="J40" s="39"/>
      <c r="K40" s="39"/>
      <c r="L40" s="39"/>
    </row>
    <row r="41" spans="1:12" ht="13.5" thickBot="1" x14ac:dyDescent="0.25">
      <c r="E41" s="38">
        <v>510</v>
      </c>
      <c r="F41" s="38">
        <v>560</v>
      </c>
      <c r="G41" s="14">
        <v>243</v>
      </c>
      <c r="H41" s="13">
        <v>249</v>
      </c>
      <c r="I41" s="40"/>
      <c r="J41" s="39"/>
      <c r="K41" s="39"/>
      <c r="L41" s="39"/>
    </row>
    <row r="42" spans="1:12" ht="13.5" thickBot="1" x14ac:dyDescent="0.25">
      <c r="E42" s="38">
        <v>560</v>
      </c>
      <c r="F42" s="38">
        <v>620</v>
      </c>
      <c r="G42" s="13">
        <v>249</v>
      </c>
      <c r="H42" s="14">
        <v>255</v>
      </c>
      <c r="I42" s="40"/>
      <c r="J42" s="39"/>
      <c r="K42" s="39"/>
      <c r="L42" s="39"/>
    </row>
    <row r="43" spans="1:12" ht="13.5" thickBot="1" x14ac:dyDescent="0.25">
      <c r="E43" s="38">
        <v>620</v>
      </c>
      <c r="F43" s="38">
        <v>680</v>
      </c>
      <c r="G43" s="14">
        <v>255</v>
      </c>
      <c r="H43" s="13">
        <v>261</v>
      </c>
      <c r="I43" s="40"/>
      <c r="J43" s="39"/>
      <c r="K43" s="39"/>
      <c r="L43" s="39"/>
    </row>
    <row r="44" spans="1:12" ht="13.5" thickBot="1" x14ac:dyDescent="0.25">
      <c r="E44" s="38">
        <v>680</v>
      </c>
      <c r="F44" s="38">
        <v>750</v>
      </c>
      <c r="G44" s="13">
        <v>261</v>
      </c>
      <c r="H44" s="14">
        <v>267</v>
      </c>
      <c r="I44" s="40"/>
      <c r="J44" s="39"/>
      <c r="K44" s="39"/>
      <c r="L44" s="39"/>
    </row>
    <row r="45" spans="1:12" ht="13.5" thickBot="1" x14ac:dyDescent="0.25">
      <c r="E45" s="38">
        <v>750</v>
      </c>
      <c r="F45" s="38">
        <v>820</v>
      </c>
      <c r="G45" s="14">
        <v>267</v>
      </c>
      <c r="H45" s="13">
        <v>274</v>
      </c>
      <c r="J45" s="39"/>
      <c r="K45" s="39"/>
      <c r="L45" s="39"/>
    </row>
    <row r="46" spans="1:12" ht="13.5" thickBot="1" x14ac:dyDescent="0.25">
      <c r="E46" s="38">
        <v>820</v>
      </c>
      <c r="F46" s="41">
        <v>910</v>
      </c>
      <c r="G46" s="13">
        <v>274</v>
      </c>
      <c r="H46" s="14">
        <v>280</v>
      </c>
      <c r="J46" s="39"/>
      <c r="K46" s="39"/>
      <c r="L46" s="39"/>
    </row>
    <row r="47" spans="1:12" ht="13.5" thickBot="1" x14ac:dyDescent="0.25">
      <c r="E47" s="41">
        <v>910</v>
      </c>
      <c r="F47" s="41">
        <v>1000</v>
      </c>
      <c r="G47" s="14">
        <v>280</v>
      </c>
      <c r="H47" s="13">
        <v>287</v>
      </c>
      <c r="J47" s="39"/>
      <c r="K47" s="39"/>
      <c r="L47" s="39"/>
    </row>
    <row r="48" spans="1:12" ht="13.5" thickBot="1" x14ac:dyDescent="0.25">
      <c r="E48" s="270" t="s">
        <v>85</v>
      </c>
      <c r="F48" s="270"/>
      <c r="G48" s="13">
        <v>287</v>
      </c>
      <c r="H48" s="14">
        <v>294</v>
      </c>
      <c r="J48" s="39"/>
      <c r="K48" s="39"/>
      <c r="L48" s="39"/>
    </row>
    <row r="49" spans="1:12" ht="13.5" thickBot="1" x14ac:dyDescent="0.25">
      <c r="E49" s="44">
        <v>100</v>
      </c>
      <c r="F49" s="44">
        <v>105</v>
      </c>
      <c r="G49" s="14">
        <v>294</v>
      </c>
      <c r="H49" s="13">
        <v>301</v>
      </c>
      <c r="J49" s="39"/>
      <c r="K49" s="39"/>
      <c r="L49" s="39"/>
    </row>
    <row r="50" spans="1:12" ht="13.5" thickBot="1" x14ac:dyDescent="0.25">
      <c r="A50" s="3"/>
      <c r="B50" s="3"/>
      <c r="C50" s="3"/>
      <c r="D50" s="3"/>
      <c r="E50" s="44">
        <v>105</v>
      </c>
      <c r="F50" s="44">
        <v>110</v>
      </c>
      <c r="G50" s="13">
        <v>301</v>
      </c>
      <c r="H50" s="14">
        <v>309</v>
      </c>
      <c r="J50" s="39"/>
      <c r="K50" s="39"/>
      <c r="L50" s="39"/>
    </row>
    <row r="51" spans="1:12" ht="13.5" thickBot="1" x14ac:dyDescent="0.25">
      <c r="A51" s="3"/>
      <c r="B51" s="3"/>
      <c r="C51" s="3"/>
      <c r="D51" s="3"/>
      <c r="E51" s="44">
        <v>110</v>
      </c>
      <c r="F51" s="44">
        <v>115</v>
      </c>
      <c r="G51" s="14">
        <v>309</v>
      </c>
      <c r="H51" s="13">
        <v>316</v>
      </c>
      <c r="J51" s="39"/>
      <c r="K51" s="39"/>
      <c r="L51" s="39"/>
    </row>
    <row r="52" spans="1:12" ht="13.5" thickBot="1" x14ac:dyDescent="0.25">
      <c r="A52" s="3"/>
      <c r="B52" s="3"/>
      <c r="C52" s="3"/>
      <c r="D52" s="3"/>
      <c r="E52" s="44">
        <v>115</v>
      </c>
      <c r="F52" s="44">
        <v>121</v>
      </c>
      <c r="G52" s="13">
        <v>316</v>
      </c>
      <c r="H52" s="14">
        <v>324</v>
      </c>
      <c r="J52" s="39"/>
      <c r="K52" s="39"/>
      <c r="L52" s="39"/>
    </row>
    <row r="53" spans="1:12" ht="13.5" thickBot="1" x14ac:dyDescent="0.25">
      <c r="A53" s="3"/>
      <c r="B53" s="3"/>
      <c r="C53" s="3"/>
      <c r="D53" s="3"/>
      <c r="E53" s="44">
        <v>121</v>
      </c>
      <c r="F53" s="44">
        <v>127</v>
      </c>
      <c r="G53" s="14">
        <v>324</v>
      </c>
      <c r="H53" s="13">
        <v>332</v>
      </c>
      <c r="J53" s="39"/>
      <c r="K53" s="39"/>
      <c r="L53" s="39"/>
    </row>
    <row r="54" spans="1:12" ht="13.5" thickBot="1" x14ac:dyDescent="0.25">
      <c r="A54" s="3"/>
      <c r="B54" s="3"/>
      <c r="C54" s="3"/>
      <c r="D54" s="3"/>
      <c r="E54" s="44">
        <v>127</v>
      </c>
      <c r="F54" s="44">
        <v>133</v>
      </c>
      <c r="G54" s="13">
        <v>332</v>
      </c>
      <c r="H54" s="14">
        <v>340</v>
      </c>
      <c r="J54" s="39"/>
      <c r="K54" s="39"/>
      <c r="L54" s="39"/>
    </row>
    <row r="55" spans="1:12" ht="13.5" thickBot="1" x14ac:dyDescent="0.25">
      <c r="A55" s="3"/>
      <c r="B55" s="3"/>
      <c r="C55" s="3"/>
      <c r="D55" s="3"/>
      <c r="E55" s="44">
        <v>133</v>
      </c>
      <c r="F55" s="44">
        <v>140</v>
      </c>
      <c r="G55" s="14">
        <v>340</v>
      </c>
      <c r="H55" s="13">
        <v>348</v>
      </c>
      <c r="J55" s="39"/>
      <c r="K55" s="39"/>
      <c r="L55" s="39"/>
    </row>
    <row r="56" spans="1:12" ht="13.5" thickBot="1" x14ac:dyDescent="0.25">
      <c r="A56" s="3"/>
      <c r="B56" s="3"/>
      <c r="C56" s="3"/>
      <c r="D56" s="3"/>
      <c r="E56" s="44">
        <v>140</v>
      </c>
      <c r="F56" s="44">
        <v>147</v>
      </c>
      <c r="G56" s="13">
        <v>348</v>
      </c>
      <c r="H56" s="14">
        <v>357</v>
      </c>
      <c r="J56" s="39"/>
      <c r="K56" s="39"/>
      <c r="L56" s="39"/>
    </row>
    <row r="57" spans="1:12" ht="13.5" thickBot="1" x14ac:dyDescent="0.25">
      <c r="A57" s="3"/>
      <c r="B57" s="3"/>
      <c r="C57" s="3"/>
      <c r="D57" s="3"/>
      <c r="E57" s="44">
        <v>147</v>
      </c>
      <c r="F57" s="44">
        <v>154</v>
      </c>
      <c r="G57" s="14">
        <v>357</v>
      </c>
      <c r="H57" s="13">
        <v>365</v>
      </c>
      <c r="J57" s="39"/>
      <c r="K57" s="39"/>
      <c r="L57" s="39"/>
    </row>
    <row r="58" spans="1:12" ht="13.5" thickBot="1" x14ac:dyDescent="0.25">
      <c r="A58" s="3"/>
      <c r="B58" s="3"/>
      <c r="C58" s="3"/>
      <c r="D58" s="3"/>
      <c r="E58" s="44">
        <v>154</v>
      </c>
      <c r="F58" s="44">
        <v>162</v>
      </c>
      <c r="G58" s="13">
        <v>365</v>
      </c>
      <c r="H58" s="14">
        <v>374</v>
      </c>
      <c r="J58" s="39"/>
      <c r="K58" s="39"/>
      <c r="L58" s="39"/>
    </row>
    <row r="59" spans="1:12" ht="13.5" thickBot="1" x14ac:dyDescent="0.25">
      <c r="A59" s="3"/>
      <c r="B59" s="3"/>
      <c r="C59" s="3"/>
      <c r="D59" s="3"/>
      <c r="E59" s="44">
        <v>162</v>
      </c>
      <c r="F59" s="44">
        <v>169</v>
      </c>
      <c r="G59" s="14">
        <v>374</v>
      </c>
      <c r="H59" s="13">
        <v>383</v>
      </c>
      <c r="J59" s="39"/>
      <c r="K59" s="39"/>
      <c r="L59" s="39"/>
    </row>
    <row r="60" spans="1:12" ht="13.5" thickBot="1" x14ac:dyDescent="0.25">
      <c r="A60" s="3"/>
      <c r="B60" s="3"/>
      <c r="C60" s="3"/>
      <c r="D60" s="3"/>
      <c r="E60" s="44">
        <v>169</v>
      </c>
      <c r="F60" s="44">
        <v>178</v>
      </c>
      <c r="G60" s="13">
        <v>383</v>
      </c>
      <c r="H60" s="14">
        <v>392</v>
      </c>
      <c r="J60" s="39"/>
      <c r="K60" s="39"/>
      <c r="L60" s="39"/>
    </row>
    <row r="61" spans="1:12" ht="13.5" thickBot="1" x14ac:dyDescent="0.25">
      <c r="A61" s="3"/>
      <c r="B61" s="3"/>
      <c r="C61" s="3"/>
      <c r="D61" s="3"/>
      <c r="E61" s="44">
        <v>178</v>
      </c>
      <c r="F61" s="44">
        <v>187</v>
      </c>
      <c r="G61" s="14">
        <v>392</v>
      </c>
      <c r="H61" s="13">
        <v>402</v>
      </c>
      <c r="J61" s="39"/>
      <c r="K61" s="39"/>
      <c r="L61" s="39"/>
    </row>
    <row r="62" spans="1:12" ht="13.5" thickBot="1" x14ac:dyDescent="0.25">
      <c r="A62" s="3"/>
      <c r="B62" s="3"/>
      <c r="C62" s="3"/>
      <c r="D62" s="3"/>
      <c r="E62" s="44">
        <v>187</v>
      </c>
      <c r="F62" s="44">
        <v>196</v>
      </c>
      <c r="G62" s="13">
        <v>402</v>
      </c>
      <c r="H62" s="14">
        <v>412</v>
      </c>
      <c r="J62" s="39"/>
      <c r="K62" s="39"/>
      <c r="L62" s="39"/>
    </row>
    <row r="63" spans="1:12" ht="13.5" thickBot="1" x14ac:dyDescent="0.25">
      <c r="A63" s="3"/>
      <c r="B63" s="3"/>
      <c r="C63" s="3"/>
      <c r="D63" s="3"/>
      <c r="E63" s="44">
        <v>196</v>
      </c>
      <c r="F63" s="44">
        <v>205</v>
      </c>
      <c r="G63" s="14">
        <v>412</v>
      </c>
      <c r="H63" s="13">
        <v>422</v>
      </c>
      <c r="J63" s="39"/>
      <c r="K63" s="39"/>
      <c r="L63" s="39"/>
    </row>
    <row r="64" spans="1:12" ht="13.5" thickBot="1" x14ac:dyDescent="0.25">
      <c r="A64" s="3"/>
      <c r="B64" s="3"/>
      <c r="C64" s="3"/>
      <c r="D64" s="3"/>
      <c r="E64" s="44">
        <v>205</v>
      </c>
      <c r="F64" s="44">
        <v>215</v>
      </c>
      <c r="G64" s="13">
        <v>422</v>
      </c>
      <c r="H64" s="14">
        <v>432</v>
      </c>
      <c r="J64" s="39"/>
      <c r="K64" s="39"/>
      <c r="L64" s="39"/>
    </row>
    <row r="65" spans="5:12" s="3" customFormat="1" ht="13.5" thickBot="1" x14ac:dyDescent="0.25">
      <c r="E65" s="44">
        <v>215</v>
      </c>
      <c r="F65" s="44">
        <v>226</v>
      </c>
      <c r="G65" s="14">
        <v>432</v>
      </c>
      <c r="H65" s="13">
        <v>442</v>
      </c>
      <c r="I65" s="5"/>
      <c r="J65" s="39"/>
      <c r="K65" s="39"/>
      <c r="L65" s="39"/>
    </row>
    <row r="66" spans="5:12" s="3" customFormat="1" ht="13.5" thickBot="1" x14ac:dyDescent="0.25">
      <c r="E66" s="44">
        <v>226</v>
      </c>
      <c r="F66" s="44">
        <v>237</v>
      </c>
      <c r="G66" s="13">
        <v>442</v>
      </c>
      <c r="H66" s="14">
        <v>453</v>
      </c>
      <c r="I66" s="5"/>
      <c r="J66" s="39"/>
      <c r="K66" s="39"/>
      <c r="L66" s="39"/>
    </row>
    <row r="67" spans="5:12" s="3" customFormat="1" ht="13.5" thickBot="1" x14ac:dyDescent="0.25">
      <c r="E67" s="44">
        <v>237</v>
      </c>
      <c r="F67" s="44">
        <v>249</v>
      </c>
      <c r="G67" s="14">
        <v>453</v>
      </c>
      <c r="H67" s="13">
        <v>464</v>
      </c>
      <c r="I67" s="5"/>
      <c r="J67" s="39"/>
      <c r="K67" s="39"/>
      <c r="L67" s="39"/>
    </row>
    <row r="68" spans="5:12" s="3" customFormat="1" ht="13.5" thickBot="1" x14ac:dyDescent="0.25">
      <c r="E68" s="44">
        <v>249</v>
      </c>
      <c r="F68" s="44">
        <v>261</v>
      </c>
      <c r="G68" s="13">
        <v>464</v>
      </c>
      <c r="H68" s="14">
        <v>475</v>
      </c>
      <c r="I68" s="5"/>
      <c r="J68" s="39"/>
      <c r="K68" s="39"/>
      <c r="L68" s="39"/>
    </row>
    <row r="69" spans="5:12" s="3" customFormat="1" ht="13.5" thickBot="1" x14ac:dyDescent="0.25">
      <c r="E69" s="44">
        <v>261</v>
      </c>
      <c r="F69" s="44">
        <v>274</v>
      </c>
      <c r="G69" s="14">
        <v>475</v>
      </c>
      <c r="H69" s="13">
        <v>487</v>
      </c>
      <c r="I69" s="5"/>
      <c r="J69" s="39"/>
      <c r="K69" s="39"/>
      <c r="L69" s="39"/>
    </row>
    <row r="70" spans="5:12" s="3" customFormat="1" ht="13.5" thickBot="1" x14ac:dyDescent="0.25">
      <c r="E70" s="44">
        <v>274</v>
      </c>
      <c r="F70" s="44">
        <v>287</v>
      </c>
      <c r="G70" s="13">
        <v>487</v>
      </c>
      <c r="H70" s="14">
        <v>499</v>
      </c>
      <c r="I70" s="5"/>
      <c r="J70" s="39"/>
      <c r="K70" s="39"/>
      <c r="L70" s="39"/>
    </row>
    <row r="71" spans="5:12" s="3" customFormat="1" ht="13.5" thickBot="1" x14ac:dyDescent="0.25">
      <c r="E71" s="44">
        <v>287</v>
      </c>
      <c r="F71" s="44">
        <v>301</v>
      </c>
      <c r="G71" s="14">
        <v>499</v>
      </c>
      <c r="H71" s="13">
        <v>511</v>
      </c>
      <c r="I71" s="5"/>
      <c r="J71" s="39"/>
      <c r="K71" s="39"/>
      <c r="L71" s="39"/>
    </row>
    <row r="72" spans="5:12" s="3" customFormat="1" ht="13.5" thickBot="1" x14ac:dyDescent="0.25">
      <c r="E72" s="44">
        <v>301</v>
      </c>
      <c r="F72" s="44">
        <v>316</v>
      </c>
      <c r="G72" s="13">
        <v>511</v>
      </c>
      <c r="H72" s="14">
        <v>523</v>
      </c>
      <c r="I72" s="5"/>
      <c r="J72" s="39"/>
      <c r="K72" s="39"/>
      <c r="L72" s="39"/>
    </row>
    <row r="73" spans="5:12" s="3" customFormat="1" ht="13.5" thickBot="1" x14ac:dyDescent="0.25">
      <c r="E73" s="44">
        <v>316</v>
      </c>
      <c r="F73" s="44">
        <v>332</v>
      </c>
      <c r="G73" s="14">
        <v>523</v>
      </c>
      <c r="H73" s="13">
        <v>536</v>
      </c>
      <c r="I73" s="5"/>
      <c r="J73" s="39"/>
      <c r="K73" s="39"/>
      <c r="L73" s="39"/>
    </row>
    <row r="74" spans="5:12" s="3" customFormat="1" ht="13.5" thickBot="1" x14ac:dyDescent="0.25">
      <c r="E74" s="44">
        <v>332</v>
      </c>
      <c r="F74" s="44">
        <v>348</v>
      </c>
      <c r="G74" s="13">
        <v>536</v>
      </c>
      <c r="H74" s="14">
        <v>549</v>
      </c>
      <c r="I74" s="5"/>
      <c r="J74" s="39"/>
      <c r="K74" s="39"/>
      <c r="L74" s="39"/>
    </row>
    <row r="75" spans="5:12" s="3" customFormat="1" ht="13.5" thickBot="1" x14ac:dyDescent="0.25">
      <c r="E75" s="44">
        <v>348</v>
      </c>
      <c r="F75" s="44">
        <v>365</v>
      </c>
      <c r="G75" s="14">
        <v>549</v>
      </c>
      <c r="H75" s="13">
        <v>562</v>
      </c>
      <c r="I75" s="5"/>
      <c r="J75" s="39"/>
      <c r="K75" s="39"/>
      <c r="L75" s="39"/>
    </row>
    <row r="76" spans="5:12" s="3" customFormat="1" ht="13.5" thickBot="1" x14ac:dyDescent="0.25">
      <c r="E76" s="44">
        <v>365</v>
      </c>
      <c r="F76" s="44">
        <v>383</v>
      </c>
      <c r="G76" s="13">
        <v>562</v>
      </c>
      <c r="H76" s="14">
        <v>576</v>
      </c>
      <c r="I76" s="5"/>
      <c r="J76" s="45"/>
      <c r="K76" s="45"/>
      <c r="L76" s="45"/>
    </row>
    <row r="77" spans="5:12" s="3" customFormat="1" ht="13.5" thickBot="1" x14ac:dyDescent="0.25">
      <c r="E77" s="44">
        <v>383</v>
      </c>
      <c r="F77" s="44">
        <v>402</v>
      </c>
      <c r="G77" s="14">
        <v>576</v>
      </c>
      <c r="H77" s="13">
        <v>590</v>
      </c>
      <c r="I77" s="5"/>
      <c r="J77" s="45"/>
      <c r="K77" s="45"/>
      <c r="L77" s="45"/>
    </row>
    <row r="78" spans="5:12" s="3" customFormat="1" ht="13.5" thickBot="1" x14ac:dyDescent="0.25">
      <c r="E78" s="44">
        <v>402</v>
      </c>
      <c r="F78" s="44">
        <v>422</v>
      </c>
      <c r="G78" s="13">
        <v>590</v>
      </c>
      <c r="H78" s="14">
        <v>604</v>
      </c>
      <c r="I78" s="5"/>
      <c r="J78" s="45"/>
      <c r="K78" s="45"/>
      <c r="L78" s="45"/>
    </row>
    <row r="79" spans="5:12" s="3" customFormat="1" ht="13.5" thickBot="1" x14ac:dyDescent="0.25">
      <c r="E79" s="44">
        <v>422</v>
      </c>
      <c r="F79" s="44">
        <v>442</v>
      </c>
      <c r="G79" s="14">
        <v>604</v>
      </c>
      <c r="H79" s="13">
        <v>619</v>
      </c>
      <c r="I79" s="5"/>
      <c r="J79" s="45"/>
      <c r="K79" s="45"/>
      <c r="L79" s="45"/>
    </row>
    <row r="80" spans="5:12" s="3" customFormat="1" ht="13.5" thickBot="1" x14ac:dyDescent="0.25">
      <c r="E80" s="44">
        <v>442</v>
      </c>
      <c r="F80" s="44">
        <v>464</v>
      </c>
      <c r="G80" s="13">
        <v>619</v>
      </c>
      <c r="H80" s="14">
        <v>634</v>
      </c>
      <c r="I80" s="5"/>
      <c r="J80" s="45"/>
      <c r="K80" s="45"/>
      <c r="L80" s="45"/>
    </row>
    <row r="81" spans="5:12" s="3" customFormat="1" ht="13.5" thickBot="1" x14ac:dyDescent="0.25">
      <c r="E81" s="44">
        <v>464</v>
      </c>
      <c r="F81" s="44">
        <v>487</v>
      </c>
      <c r="G81" s="14">
        <v>634</v>
      </c>
      <c r="H81" s="13">
        <v>649</v>
      </c>
      <c r="I81" s="5"/>
      <c r="J81" s="45"/>
      <c r="K81" s="45"/>
      <c r="L81" s="45"/>
    </row>
    <row r="82" spans="5:12" s="3" customFormat="1" ht="13.5" thickBot="1" x14ac:dyDescent="0.25">
      <c r="E82" s="44">
        <v>487</v>
      </c>
      <c r="F82" s="44">
        <v>511</v>
      </c>
      <c r="G82" s="13">
        <v>649</v>
      </c>
      <c r="H82" s="14">
        <v>665</v>
      </c>
      <c r="I82" s="5"/>
      <c r="J82" s="45"/>
      <c r="K82" s="45"/>
      <c r="L82" s="45"/>
    </row>
    <row r="83" spans="5:12" s="3" customFormat="1" ht="13.5" thickBot="1" x14ac:dyDescent="0.25">
      <c r="E83" s="44">
        <v>511</v>
      </c>
      <c r="F83" s="44">
        <v>536</v>
      </c>
      <c r="G83" s="14">
        <v>665</v>
      </c>
      <c r="H83" s="13">
        <v>681</v>
      </c>
      <c r="I83" s="5"/>
      <c r="J83" s="45"/>
      <c r="K83" s="45"/>
      <c r="L83" s="45"/>
    </row>
    <row r="84" spans="5:12" s="3" customFormat="1" ht="13.5" thickBot="1" x14ac:dyDescent="0.25">
      <c r="E84" s="44">
        <v>536</v>
      </c>
      <c r="F84" s="44">
        <v>562</v>
      </c>
      <c r="G84" s="13">
        <v>681</v>
      </c>
      <c r="H84" s="14">
        <v>698</v>
      </c>
      <c r="I84" s="5"/>
      <c r="J84" s="45"/>
      <c r="K84" s="45"/>
      <c r="L84" s="45"/>
    </row>
    <row r="85" spans="5:12" s="3" customFormat="1" ht="13.5" thickBot="1" x14ac:dyDescent="0.25">
      <c r="E85" s="44">
        <v>562</v>
      </c>
      <c r="F85" s="44">
        <v>590</v>
      </c>
      <c r="G85" s="14">
        <v>698</v>
      </c>
      <c r="H85" s="13">
        <v>715</v>
      </c>
      <c r="I85" s="5"/>
      <c r="J85" s="45"/>
      <c r="K85" s="45"/>
      <c r="L85" s="45"/>
    </row>
    <row r="86" spans="5:12" s="3" customFormat="1" ht="13.5" thickBot="1" x14ac:dyDescent="0.25">
      <c r="E86" s="44">
        <v>590</v>
      </c>
      <c r="F86" s="44">
        <v>619</v>
      </c>
      <c r="G86" s="13">
        <v>715</v>
      </c>
      <c r="H86" s="14">
        <v>732</v>
      </c>
      <c r="I86" s="5"/>
      <c r="J86" s="45"/>
      <c r="K86" s="45"/>
      <c r="L86" s="45"/>
    </row>
    <row r="87" spans="5:12" s="3" customFormat="1" ht="13.5" thickBot="1" x14ac:dyDescent="0.25">
      <c r="E87" s="44">
        <v>619</v>
      </c>
      <c r="F87" s="44">
        <v>649</v>
      </c>
      <c r="G87" s="14">
        <v>732</v>
      </c>
      <c r="H87" s="13">
        <v>750</v>
      </c>
      <c r="I87" s="5"/>
      <c r="J87" s="45"/>
      <c r="K87" s="45"/>
      <c r="L87" s="45"/>
    </row>
    <row r="88" spans="5:12" s="3" customFormat="1" ht="13.5" thickBot="1" x14ac:dyDescent="0.25">
      <c r="E88" s="44">
        <v>649</v>
      </c>
      <c r="F88" s="44">
        <v>681</v>
      </c>
      <c r="G88" s="13">
        <v>750</v>
      </c>
      <c r="H88" s="14">
        <v>768</v>
      </c>
      <c r="I88" s="5"/>
      <c r="J88" s="45"/>
      <c r="K88" s="45"/>
      <c r="L88" s="45"/>
    </row>
    <row r="89" spans="5:12" s="3" customFormat="1" ht="13.5" thickBot="1" x14ac:dyDescent="0.25">
      <c r="E89" s="44">
        <v>681</v>
      </c>
      <c r="F89" s="44">
        <v>715</v>
      </c>
      <c r="G89" s="14">
        <v>768</v>
      </c>
      <c r="H89" s="13">
        <v>787</v>
      </c>
      <c r="I89" s="5"/>
      <c r="J89" s="45"/>
      <c r="K89" s="45"/>
      <c r="L89" s="45"/>
    </row>
    <row r="90" spans="5:12" s="3" customFormat="1" ht="13.5" thickBot="1" x14ac:dyDescent="0.25">
      <c r="E90" s="44">
        <v>715</v>
      </c>
      <c r="F90" s="44">
        <v>750</v>
      </c>
      <c r="G90" s="13">
        <v>787</v>
      </c>
      <c r="H90" s="14">
        <v>806</v>
      </c>
      <c r="I90" s="5"/>
      <c r="J90" s="45"/>
      <c r="K90" s="45"/>
      <c r="L90" s="45"/>
    </row>
    <row r="91" spans="5:12" s="3" customFormat="1" ht="13.5" thickBot="1" x14ac:dyDescent="0.25">
      <c r="E91" s="44">
        <v>750</v>
      </c>
      <c r="F91" s="44">
        <v>787</v>
      </c>
      <c r="G91" s="14">
        <v>806</v>
      </c>
      <c r="H91" s="13">
        <v>825</v>
      </c>
      <c r="I91" s="5"/>
      <c r="J91" s="45"/>
      <c r="K91" s="45"/>
      <c r="L91" s="45"/>
    </row>
    <row r="92" spans="5:12" s="3" customFormat="1" ht="13.5" thickBot="1" x14ac:dyDescent="0.25">
      <c r="E92" s="44">
        <v>787</v>
      </c>
      <c r="F92" s="44">
        <v>825</v>
      </c>
      <c r="G92" s="13">
        <v>825</v>
      </c>
      <c r="H92" s="14">
        <v>845</v>
      </c>
      <c r="I92" s="5"/>
      <c r="J92" s="45"/>
      <c r="K92" s="45"/>
      <c r="L92" s="45"/>
    </row>
    <row r="93" spans="5:12" s="3" customFormat="1" ht="13.5" thickBot="1" x14ac:dyDescent="0.25">
      <c r="E93" s="44">
        <v>825</v>
      </c>
      <c r="F93" s="44">
        <v>866</v>
      </c>
      <c r="G93" s="14">
        <v>845</v>
      </c>
      <c r="H93" s="13">
        <v>866</v>
      </c>
      <c r="I93" s="5"/>
      <c r="J93" s="45"/>
      <c r="K93" s="45"/>
      <c r="L93" s="45"/>
    </row>
    <row r="94" spans="5:12" s="3" customFormat="1" ht="13.5" thickBot="1" x14ac:dyDescent="0.25">
      <c r="E94" s="44">
        <v>866</v>
      </c>
      <c r="F94" s="44">
        <v>909</v>
      </c>
      <c r="G94" s="13">
        <v>866</v>
      </c>
      <c r="H94" s="14">
        <v>887</v>
      </c>
      <c r="I94" s="5"/>
      <c r="J94" s="45"/>
      <c r="K94" s="45"/>
      <c r="L94" s="45"/>
    </row>
    <row r="95" spans="5:12" s="3" customFormat="1" ht="13.5" thickBot="1" x14ac:dyDescent="0.25">
      <c r="E95" s="44">
        <v>909</v>
      </c>
      <c r="F95" s="44">
        <v>953</v>
      </c>
      <c r="G95" s="14">
        <v>887</v>
      </c>
      <c r="H95" s="13">
        <v>909</v>
      </c>
      <c r="I95" s="5"/>
      <c r="J95" s="45"/>
      <c r="K95" s="45"/>
      <c r="L95" s="45"/>
    </row>
    <row r="96" spans="5:12" s="3" customFormat="1" ht="13.5" thickBot="1" x14ac:dyDescent="0.25">
      <c r="E96" s="44">
        <v>953</v>
      </c>
      <c r="F96" s="44">
        <v>1000</v>
      </c>
      <c r="G96" s="13">
        <v>909</v>
      </c>
      <c r="H96" s="14">
        <v>931</v>
      </c>
      <c r="I96" s="5"/>
      <c r="J96" s="45"/>
      <c r="K96" s="45"/>
      <c r="L96" s="45"/>
    </row>
    <row r="97" spans="7:12" s="3" customFormat="1" ht="13.5" thickBot="1" x14ac:dyDescent="0.25">
      <c r="G97" s="14">
        <v>931</v>
      </c>
      <c r="H97" s="13">
        <v>953</v>
      </c>
      <c r="I97" s="5"/>
      <c r="J97" s="45"/>
      <c r="K97" s="45"/>
      <c r="L97" s="45"/>
    </row>
    <row r="98" spans="7:12" s="3" customFormat="1" ht="13.5" thickBot="1" x14ac:dyDescent="0.25">
      <c r="G98" s="13">
        <v>953</v>
      </c>
      <c r="H98" s="14">
        <v>976</v>
      </c>
      <c r="I98" s="5"/>
      <c r="J98" s="45"/>
      <c r="K98" s="45"/>
      <c r="L98" s="45"/>
    </row>
    <row r="99" spans="7:12" s="3" customFormat="1" ht="13.5" thickBot="1" x14ac:dyDescent="0.25">
      <c r="G99" s="14">
        <v>976</v>
      </c>
      <c r="H99" s="14">
        <v>1000</v>
      </c>
      <c r="I99" s="5"/>
      <c r="J99" s="45"/>
      <c r="K99" s="45"/>
      <c r="L99" s="45"/>
    </row>
    <row r="100" spans="7:12" s="3" customFormat="1" x14ac:dyDescent="0.2">
      <c r="I100" s="5"/>
      <c r="J100" s="45"/>
      <c r="K100" s="45"/>
      <c r="L100" s="45"/>
    </row>
    <row r="101" spans="7:12" s="3" customFormat="1" x14ac:dyDescent="0.2">
      <c r="I101" s="5"/>
      <c r="J101" s="45"/>
      <c r="K101" s="45"/>
      <c r="L101" s="45"/>
    </row>
    <row r="102" spans="7:12" s="3" customFormat="1" x14ac:dyDescent="0.2">
      <c r="I102" s="5"/>
      <c r="J102" s="45"/>
      <c r="K102" s="45"/>
      <c r="L102" s="45"/>
    </row>
    <row r="103" spans="7:12" s="3" customFormat="1" x14ac:dyDescent="0.2">
      <c r="I103" s="5"/>
      <c r="J103" s="45"/>
      <c r="K103" s="45"/>
      <c r="L103" s="45"/>
    </row>
    <row r="104" spans="7:12" s="3" customFormat="1" x14ac:dyDescent="0.2">
      <c r="I104" s="5"/>
      <c r="J104" s="45"/>
      <c r="K104" s="45"/>
      <c r="L104" s="45"/>
    </row>
    <row r="105" spans="7:12" s="3" customFormat="1" x14ac:dyDescent="0.2">
      <c r="I105" s="5"/>
      <c r="J105" s="45"/>
      <c r="K105" s="45"/>
      <c r="L105" s="45"/>
    </row>
    <row r="106" spans="7:12" s="3" customFormat="1" x14ac:dyDescent="0.2">
      <c r="I106" s="5"/>
      <c r="J106" s="45"/>
      <c r="K106" s="45"/>
      <c r="L106" s="45"/>
    </row>
    <row r="107" spans="7:12" s="3" customFormat="1" x14ac:dyDescent="0.2">
      <c r="I107" s="5"/>
      <c r="J107" s="45"/>
      <c r="K107" s="45"/>
      <c r="L107" s="45"/>
    </row>
    <row r="108" spans="7:12" s="3" customFormat="1" x14ac:dyDescent="0.2">
      <c r="I108" s="5"/>
      <c r="J108" s="45"/>
      <c r="K108" s="45"/>
      <c r="L108" s="45"/>
    </row>
    <row r="109" spans="7:12" s="3" customFormat="1" x14ac:dyDescent="0.2">
      <c r="I109" s="5"/>
      <c r="J109" s="45"/>
      <c r="K109" s="45"/>
      <c r="L109" s="45"/>
    </row>
    <row r="110" spans="7:12" s="3" customFormat="1" x14ac:dyDescent="0.2">
      <c r="I110" s="5"/>
      <c r="J110" s="45"/>
      <c r="K110" s="45"/>
      <c r="L110" s="45"/>
    </row>
    <row r="111" spans="7:12" s="3" customFormat="1" x14ac:dyDescent="0.2">
      <c r="I111" s="5"/>
      <c r="J111" s="45"/>
      <c r="K111" s="45"/>
      <c r="L111" s="45"/>
    </row>
    <row r="112" spans="7:12" s="3" customFormat="1" x14ac:dyDescent="0.2">
      <c r="I112" s="5"/>
      <c r="J112" s="45"/>
      <c r="K112" s="45"/>
      <c r="L112" s="45"/>
    </row>
    <row r="113" spans="9:12" s="3" customFormat="1" x14ac:dyDescent="0.2">
      <c r="I113" s="5"/>
      <c r="J113" s="45"/>
      <c r="K113" s="45"/>
      <c r="L113" s="45"/>
    </row>
    <row r="114" spans="9:12" s="3" customFormat="1" x14ac:dyDescent="0.2">
      <c r="J114" s="45"/>
      <c r="K114" s="45"/>
      <c r="L114" s="45"/>
    </row>
    <row r="115" spans="9:12" s="3" customFormat="1" x14ac:dyDescent="0.2">
      <c r="J115" s="45"/>
      <c r="K115" s="45"/>
      <c r="L115" s="45"/>
    </row>
    <row r="116" spans="9:12" s="3" customFormat="1" x14ac:dyDescent="0.2">
      <c r="J116" s="45"/>
      <c r="K116" s="45"/>
      <c r="L116" s="45"/>
    </row>
    <row r="117" spans="9:12" s="3" customFormat="1" x14ac:dyDescent="0.2">
      <c r="J117" s="45"/>
      <c r="K117" s="45"/>
      <c r="L117" s="45"/>
    </row>
    <row r="118" spans="9:12" s="3" customFormat="1" x14ac:dyDescent="0.2">
      <c r="J118" s="45"/>
      <c r="K118" s="45"/>
      <c r="L118" s="45"/>
    </row>
    <row r="119" spans="9:12" s="3" customFormat="1" x14ac:dyDescent="0.2">
      <c r="J119" s="45"/>
      <c r="K119" s="45"/>
      <c r="L119" s="45"/>
    </row>
    <row r="120" spans="9:12" s="3" customFormat="1" x14ac:dyDescent="0.2">
      <c r="J120" s="45"/>
      <c r="K120" s="45"/>
      <c r="L120" s="45"/>
    </row>
    <row r="121" spans="9:12" s="3" customFormat="1" x14ac:dyDescent="0.2">
      <c r="J121" s="45"/>
      <c r="K121" s="45"/>
      <c r="L121" s="45"/>
    </row>
    <row r="122" spans="9:12" s="3" customFormat="1" x14ac:dyDescent="0.2">
      <c r="J122" s="45"/>
      <c r="K122" s="45"/>
      <c r="L122" s="45"/>
    </row>
    <row r="123" spans="9:12" s="3" customFormat="1" x14ac:dyDescent="0.2">
      <c r="J123" s="45"/>
      <c r="K123" s="45"/>
      <c r="L123" s="45"/>
    </row>
    <row r="124" spans="9:12" s="3" customFormat="1" x14ac:dyDescent="0.2">
      <c r="J124" s="45"/>
      <c r="K124" s="45"/>
      <c r="L124" s="45"/>
    </row>
    <row r="125" spans="9:12" s="3" customFormat="1" x14ac:dyDescent="0.2">
      <c r="J125" s="45"/>
      <c r="K125" s="45"/>
      <c r="L125" s="45"/>
    </row>
    <row r="126" spans="9:12" s="3" customFormat="1" x14ac:dyDescent="0.2">
      <c r="J126" s="45"/>
      <c r="K126" s="45"/>
      <c r="L126" s="45"/>
    </row>
    <row r="127" spans="9:12" s="3" customFormat="1" x14ac:dyDescent="0.2">
      <c r="J127" s="45"/>
      <c r="K127" s="45"/>
      <c r="L127" s="45"/>
    </row>
    <row r="128" spans="9:12" s="3" customFormat="1" x14ac:dyDescent="0.2">
      <c r="J128" s="45"/>
      <c r="K128" s="45"/>
      <c r="L128" s="45"/>
    </row>
    <row r="129" spans="10:12" s="3" customFormat="1" x14ac:dyDescent="0.2">
      <c r="J129" s="45"/>
      <c r="K129" s="45"/>
      <c r="L129" s="45"/>
    </row>
    <row r="130" spans="10:12" s="3" customFormat="1" x14ac:dyDescent="0.2">
      <c r="J130" s="45"/>
      <c r="K130" s="45"/>
      <c r="L130" s="45"/>
    </row>
    <row r="131" spans="10:12" s="3" customFormat="1" x14ac:dyDescent="0.2">
      <c r="J131" s="45"/>
      <c r="K131" s="45"/>
      <c r="L131" s="45"/>
    </row>
    <row r="132" spans="10:12" s="3" customFormat="1" x14ac:dyDescent="0.2">
      <c r="J132" s="45"/>
      <c r="K132" s="45"/>
      <c r="L132" s="45"/>
    </row>
    <row r="133" spans="10:12" s="3" customFormat="1" x14ac:dyDescent="0.2">
      <c r="J133" s="45"/>
      <c r="K133" s="45"/>
      <c r="L133" s="45"/>
    </row>
    <row r="134" spans="10:12" s="3" customFormat="1" x14ac:dyDescent="0.2">
      <c r="J134" s="45"/>
      <c r="K134" s="45"/>
      <c r="L134" s="45"/>
    </row>
    <row r="135" spans="10:12" s="3" customFormat="1" x14ac:dyDescent="0.2">
      <c r="J135" s="45"/>
      <c r="K135" s="45"/>
      <c r="L135" s="45"/>
    </row>
    <row r="136" spans="10:12" s="3" customFormat="1" x14ac:dyDescent="0.2">
      <c r="J136" s="45"/>
      <c r="K136" s="45"/>
      <c r="L136" s="45"/>
    </row>
    <row r="137" spans="10:12" s="3" customFormat="1" x14ac:dyDescent="0.2">
      <c r="J137" s="45"/>
      <c r="K137" s="45"/>
      <c r="L137" s="45"/>
    </row>
    <row r="138" spans="10:12" s="3" customFormat="1" x14ac:dyDescent="0.2">
      <c r="J138" s="45"/>
      <c r="K138" s="45"/>
      <c r="L138" s="45"/>
    </row>
    <row r="139" spans="10:12" s="3" customFormat="1" x14ac:dyDescent="0.2">
      <c r="J139" s="45"/>
      <c r="K139" s="45"/>
      <c r="L139" s="45"/>
    </row>
    <row r="140" spans="10:12" s="3" customFormat="1" x14ac:dyDescent="0.2">
      <c r="J140" s="45"/>
      <c r="K140" s="45"/>
      <c r="L140" s="45"/>
    </row>
    <row r="141" spans="10:12" s="3" customFormat="1" x14ac:dyDescent="0.2">
      <c r="J141" s="45"/>
      <c r="K141" s="45"/>
      <c r="L141" s="45"/>
    </row>
    <row r="142" spans="10:12" s="3" customFormat="1" x14ac:dyDescent="0.2">
      <c r="J142" s="45"/>
      <c r="K142" s="45"/>
      <c r="L142" s="45"/>
    </row>
    <row r="143" spans="10:12" s="3" customFormat="1" x14ac:dyDescent="0.2">
      <c r="J143" s="45"/>
      <c r="K143" s="45"/>
      <c r="L143" s="45"/>
    </row>
    <row r="144" spans="10:12" s="3" customFormat="1" x14ac:dyDescent="0.2">
      <c r="J144" s="45"/>
      <c r="K144" s="45"/>
      <c r="L144" s="45"/>
    </row>
    <row r="145" spans="10:12" s="3" customFormat="1" x14ac:dyDescent="0.2">
      <c r="J145" s="45"/>
      <c r="K145" s="45"/>
      <c r="L145" s="45"/>
    </row>
    <row r="146" spans="10:12" s="3" customFormat="1" x14ac:dyDescent="0.2">
      <c r="J146" s="45"/>
      <c r="K146" s="45"/>
      <c r="L146" s="45"/>
    </row>
  </sheetData>
  <sheetProtection selectLockedCells="1"/>
  <mergeCells count="5">
    <mergeCell ref="E48:F48"/>
    <mergeCell ref="E3:F3"/>
    <mergeCell ref="G3:H3"/>
    <mergeCell ref="E10:F10"/>
    <mergeCell ref="E23:F23"/>
  </mergeCells>
  <phoneticPr fontId="0" type="noConversion"/>
  <pageMargins left="0.49" right="0.42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0019-4A25-476F-A741-E24C363F259D}">
  <dimension ref="A1:S13"/>
  <sheetViews>
    <sheetView workbookViewId="0">
      <selection activeCell="A5" sqref="A5"/>
    </sheetView>
  </sheetViews>
  <sheetFormatPr defaultRowHeight="12.75" x14ac:dyDescent="0.2"/>
  <sheetData>
    <row r="1" spans="1:19" x14ac:dyDescent="0.2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8"/>
      <c r="N1" s="108"/>
      <c r="O1" s="108"/>
      <c r="P1" s="108"/>
      <c r="Q1" s="107"/>
      <c r="R1" s="107"/>
      <c r="S1" s="107"/>
    </row>
    <row r="2" spans="1:19" x14ac:dyDescent="0.2">
      <c r="A2" s="111" t="s">
        <v>301</v>
      </c>
      <c r="B2" s="78" t="s">
        <v>229</v>
      </c>
      <c r="C2" s="78" t="s">
        <v>224</v>
      </c>
      <c r="D2" s="78" t="s">
        <v>275</v>
      </c>
      <c r="E2" s="78" t="s">
        <v>274</v>
      </c>
      <c r="F2" s="78" t="s">
        <v>276</v>
      </c>
      <c r="G2" s="78" t="s">
        <v>277</v>
      </c>
      <c r="H2" s="111"/>
      <c r="I2" s="111"/>
      <c r="J2" s="111"/>
      <c r="K2" s="111"/>
      <c r="L2" s="111"/>
      <c r="M2" s="112"/>
      <c r="N2" s="112"/>
      <c r="O2" s="111"/>
      <c r="P2" s="112"/>
      <c r="Q2" s="111"/>
      <c r="R2" s="111"/>
      <c r="S2" s="111"/>
    </row>
    <row r="3" spans="1:19" x14ac:dyDescent="0.2">
      <c r="A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7"/>
      <c r="N3" s="107"/>
      <c r="O3" s="107"/>
      <c r="P3" s="107"/>
      <c r="Q3" s="107"/>
      <c r="R3" s="107"/>
      <c r="S3" s="107"/>
    </row>
    <row r="4" spans="1:19" x14ac:dyDescent="0.2">
      <c r="A4" s="110" t="s">
        <v>299</v>
      </c>
      <c r="B4">
        <v>7.5</v>
      </c>
      <c r="C4" s="110" t="s">
        <v>121</v>
      </c>
      <c r="D4" s="110">
        <v>2</v>
      </c>
      <c r="E4" s="110">
        <v>1.2</v>
      </c>
      <c r="F4" s="110">
        <v>2</v>
      </c>
      <c r="G4" s="110">
        <v>1.2</v>
      </c>
      <c r="H4" s="113"/>
      <c r="I4" s="114"/>
      <c r="J4" s="113"/>
      <c r="K4" s="114"/>
      <c r="L4" s="114"/>
      <c r="M4" s="113"/>
      <c r="N4" s="113"/>
      <c r="O4" s="113"/>
      <c r="P4" s="114"/>
      <c r="Q4" s="107"/>
      <c r="R4" s="107"/>
      <c r="S4" s="107"/>
    </row>
    <row r="5" spans="1:19" x14ac:dyDescent="0.2">
      <c r="A5" s="110" t="s">
        <v>300</v>
      </c>
      <c r="B5">
        <v>5.5</v>
      </c>
      <c r="C5" s="110">
        <v>0.75</v>
      </c>
      <c r="D5" s="110">
        <v>2.5</v>
      </c>
      <c r="E5" s="110">
        <v>1.6</v>
      </c>
      <c r="F5" s="110">
        <v>5</v>
      </c>
      <c r="G5" s="110">
        <v>3</v>
      </c>
      <c r="H5" s="113"/>
      <c r="I5" s="114"/>
      <c r="J5" s="113"/>
      <c r="K5" s="114"/>
      <c r="L5" s="114"/>
      <c r="M5" s="113"/>
      <c r="N5" s="113"/>
      <c r="O5" s="113"/>
      <c r="P5" s="114"/>
      <c r="Q5" s="107"/>
      <c r="R5" s="107"/>
      <c r="S5" s="107"/>
    </row>
    <row r="6" spans="1:19" x14ac:dyDescent="0.2">
      <c r="A6" s="110"/>
      <c r="C6" s="110"/>
      <c r="D6" s="110"/>
      <c r="E6" s="110"/>
      <c r="F6" s="110"/>
      <c r="G6" s="110"/>
      <c r="H6" s="113"/>
      <c r="I6" s="114"/>
      <c r="J6" s="113"/>
      <c r="K6" s="114"/>
      <c r="L6" s="114"/>
      <c r="M6" s="113"/>
      <c r="N6" s="113"/>
      <c r="O6" s="113"/>
      <c r="P6" s="114"/>
      <c r="Q6" s="107"/>
      <c r="R6" s="107"/>
      <c r="S6" s="107"/>
    </row>
    <row r="7" spans="1:19" x14ac:dyDescent="0.2">
      <c r="A7" s="110"/>
      <c r="C7" s="110"/>
      <c r="D7" s="110"/>
      <c r="E7" s="110"/>
      <c r="F7" s="110"/>
      <c r="G7" s="110"/>
      <c r="H7" s="113"/>
      <c r="I7" s="114"/>
      <c r="J7" s="113"/>
      <c r="K7" s="114"/>
      <c r="L7" s="114"/>
      <c r="M7" s="113"/>
      <c r="N7" s="113"/>
      <c r="O7" s="113"/>
      <c r="P7" s="114"/>
      <c r="Q7" s="107"/>
      <c r="R7" s="107"/>
      <c r="S7" s="107"/>
    </row>
    <row r="8" spans="1:19" x14ac:dyDescent="0.2">
      <c r="A8" s="110"/>
      <c r="B8" s="110"/>
      <c r="C8" s="110"/>
      <c r="D8" s="110"/>
      <c r="E8" s="110"/>
      <c r="F8" s="110"/>
      <c r="G8" s="110"/>
      <c r="H8" s="113"/>
      <c r="I8" s="114"/>
      <c r="J8" s="113"/>
      <c r="K8" s="114"/>
      <c r="L8" s="114"/>
      <c r="M8" s="113"/>
      <c r="N8" s="113"/>
      <c r="O8" s="113"/>
      <c r="P8" s="114"/>
      <c r="Q8" s="107"/>
      <c r="R8" s="107"/>
      <c r="S8" s="107"/>
    </row>
    <row r="9" spans="1:19" x14ac:dyDescent="0.2">
      <c r="A9" s="110"/>
      <c r="B9" s="110"/>
      <c r="C9" s="110"/>
      <c r="D9" s="110"/>
      <c r="E9" s="110"/>
      <c r="F9" s="110"/>
      <c r="G9" s="110"/>
      <c r="H9" s="113"/>
      <c r="I9" s="114"/>
      <c r="J9" s="113"/>
      <c r="K9" s="114"/>
      <c r="L9" s="114"/>
      <c r="M9" s="113"/>
      <c r="N9" s="113"/>
      <c r="O9" s="113"/>
      <c r="P9" s="114"/>
      <c r="Q9" s="107"/>
      <c r="R9" s="107"/>
      <c r="S9" s="107"/>
    </row>
    <row r="10" spans="1:19" x14ac:dyDescent="0.2">
      <c r="A10" s="110"/>
      <c r="B10" s="110"/>
      <c r="C10" s="110"/>
      <c r="D10" s="110"/>
      <c r="E10" s="110"/>
      <c r="F10" s="110"/>
      <c r="G10" s="110"/>
      <c r="H10" s="113"/>
      <c r="I10" s="114"/>
      <c r="J10" s="113"/>
      <c r="K10" s="114"/>
      <c r="L10" s="114"/>
      <c r="M10" s="113"/>
      <c r="N10" s="113"/>
      <c r="O10" s="113"/>
      <c r="P10" s="114"/>
      <c r="Q10" s="107"/>
      <c r="R10" s="107"/>
      <c r="S10" s="107"/>
    </row>
    <row r="11" spans="1:19" x14ac:dyDescent="0.2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1:19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8F97F0-3F7C-4CAD-A04A-6F406EDE7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20515AA-3747-44C2-9DAA-1264A554F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8435C-502C-41AE-AD35-98175F51DE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135</vt:i4>
      </vt:variant>
    </vt:vector>
  </HeadingPairs>
  <TitlesOfParts>
    <vt:vector size="141" baseType="lpstr">
      <vt:lpstr>Intro</vt:lpstr>
      <vt:lpstr>Boost Calculations</vt:lpstr>
      <vt:lpstr>Small Signal</vt:lpstr>
      <vt:lpstr>Std. R and C Values</vt:lpstr>
      <vt:lpstr>partdata</vt:lpstr>
      <vt:lpstr>EVM Matching</vt:lpstr>
      <vt:lpstr>Acs</vt:lpstr>
      <vt:lpstr>aol</vt:lpstr>
      <vt:lpstr>C_f1</vt:lpstr>
      <vt:lpstr>C_f2</vt:lpstr>
      <vt:lpstr>c_s1</vt:lpstr>
      <vt:lpstr>C_s2</vt:lpstr>
      <vt:lpstr>Cbulkss</vt:lpstr>
      <vt:lpstr>Ccerss</vt:lpstr>
      <vt:lpstr>Ccomp</vt:lpstr>
      <vt:lpstr>Ccompss</vt:lpstr>
      <vt:lpstr>Cffss</vt:lpstr>
      <vt:lpstr>Chf</vt:lpstr>
      <vt:lpstr>Chfss</vt:lpstr>
      <vt:lpstr>Cin_chosen</vt:lpstr>
      <vt:lpstr>Co</vt:lpstr>
      <vt:lpstr>Co_esr</vt:lpstr>
      <vt:lpstr>Cochosen</vt:lpstr>
      <vt:lpstr>Coss</vt:lpstr>
      <vt:lpstr>CVcc</vt:lpstr>
      <vt:lpstr>DCR</vt:lpstr>
      <vt:lpstr>DCRss</vt:lpstr>
      <vt:lpstr>devfreqmax</vt:lpstr>
      <vt:lpstr>devfreqmin</vt:lpstr>
      <vt:lpstr>dItran</vt:lpstr>
      <vt:lpstr>Dmax</vt:lpstr>
      <vt:lpstr>Dmin</vt:lpstr>
      <vt:lpstr>Dnom</vt:lpstr>
      <vt:lpstr>Dss</vt:lpstr>
      <vt:lpstr>dVtran</vt:lpstr>
      <vt:lpstr>E12_f</vt:lpstr>
      <vt:lpstr>E12_s</vt:lpstr>
      <vt:lpstr>E24_f</vt:lpstr>
      <vt:lpstr>E24_s</vt:lpstr>
      <vt:lpstr>E48_f</vt:lpstr>
      <vt:lpstr>E48_s</vt:lpstr>
      <vt:lpstr>E6_f</vt:lpstr>
      <vt:lpstr>E6_s</vt:lpstr>
      <vt:lpstr>E96_f</vt:lpstr>
      <vt:lpstr>E96_s</vt:lpstr>
      <vt:lpstr>ESRss</vt:lpstr>
      <vt:lpstr>Fco_target</vt:lpstr>
      <vt:lpstr>Fm</vt:lpstr>
      <vt:lpstr>frhpz</vt:lpstr>
      <vt:lpstr>fswss</vt:lpstr>
      <vt:lpstr>gbw</vt:lpstr>
      <vt:lpstr>gea</vt:lpstr>
      <vt:lpstr>gea_typ</vt:lpstr>
      <vt:lpstr>Icrit</vt:lpstr>
      <vt:lpstr>Idrive_hs</vt:lpstr>
      <vt:lpstr>Idrive_ls</vt:lpstr>
      <vt:lpstr>Ien_hys</vt:lpstr>
      <vt:lpstr>Ien_pup</vt:lpstr>
      <vt:lpstr>Iin_max</vt:lpstr>
      <vt:lpstr>Ilpeak</vt:lpstr>
      <vt:lpstr>Ilrms</vt:lpstr>
      <vt:lpstr>Iout</vt:lpstr>
      <vt:lpstr>Ioutss</vt:lpstr>
      <vt:lpstr>Iq</vt:lpstr>
      <vt:lpstr>Iripple</vt:lpstr>
      <vt:lpstr>Irms_cin</vt:lpstr>
      <vt:lpstr>Irms_cout</vt:lpstr>
      <vt:lpstr>Isat</vt:lpstr>
      <vt:lpstr>Iss</vt:lpstr>
      <vt:lpstr>k_3</vt:lpstr>
      <vt:lpstr>Kind</vt:lpstr>
      <vt:lpstr>L</vt:lpstr>
      <vt:lpstr>Lss</vt:lpstr>
      <vt:lpstr>M</vt:lpstr>
      <vt:lpstr>mc</vt:lpstr>
      <vt:lpstr>Pind</vt:lpstr>
      <vt:lpstr>Pls_sw</vt:lpstr>
      <vt:lpstr>'Std. R and C Values'!Print_Area</vt:lpstr>
      <vt:lpstr>PSgain_fco</vt:lpstr>
      <vt:lpstr>Psw_cond</vt:lpstr>
      <vt:lpstr>q0</vt:lpstr>
      <vt:lpstr>Qg_hs</vt:lpstr>
      <vt:lpstr>Qg_ls</vt:lpstr>
      <vt:lpstr>Qgd</vt:lpstr>
      <vt:lpstr>Rcerss</vt:lpstr>
      <vt:lpstr>Rcomp</vt:lpstr>
      <vt:lpstr>Rcompss</vt:lpstr>
      <vt:lpstr>Rdson_hs</vt:lpstr>
      <vt:lpstr>Rdson_ls</vt:lpstr>
      <vt:lpstr>Rdsonss</vt:lpstr>
      <vt:lpstr>Rea</vt:lpstr>
      <vt:lpstr>Rffss</vt:lpstr>
      <vt:lpstr>Rfreq</vt:lpstr>
      <vt:lpstr>Rg_hs</vt:lpstr>
      <vt:lpstr>Rg_ls</vt:lpstr>
      <vt:lpstr>Rgd_hs</vt:lpstr>
      <vt:lpstr>Rgd_ls</vt:lpstr>
      <vt:lpstr>Rhdrv_pd</vt:lpstr>
      <vt:lpstr>Rhdrv_pu</vt:lpstr>
      <vt:lpstr>Risense</vt:lpstr>
      <vt:lpstr>Rldrv_pd</vt:lpstr>
      <vt:lpstr>Rldrv_pu</vt:lpstr>
      <vt:lpstr>Ro</vt:lpstr>
      <vt:lpstr>Ross</vt:lpstr>
      <vt:lpstr>Rsense</vt:lpstr>
      <vt:lpstr>Rsh</vt:lpstr>
      <vt:lpstr>Rshss</vt:lpstr>
      <vt:lpstr>Rsl</vt:lpstr>
      <vt:lpstr>Rslss</vt:lpstr>
      <vt:lpstr>Ruvloh</vt:lpstr>
      <vt:lpstr>Ruvlol</vt:lpstr>
      <vt:lpstr>sess</vt:lpstr>
      <vt:lpstr>snss</vt:lpstr>
      <vt:lpstr>tnonoverlap</vt:lpstr>
      <vt:lpstr>toffmin</vt:lpstr>
      <vt:lpstr>tonmin</vt:lpstr>
      <vt:lpstr>tss</vt:lpstr>
      <vt:lpstr>Vcc_typ</vt:lpstr>
      <vt:lpstr>Vcs</vt:lpstr>
      <vt:lpstr>Vcs0duty_max</vt:lpstr>
      <vt:lpstr>Vcs0duty_min</vt:lpstr>
      <vt:lpstr>vdevmax</vt:lpstr>
      <vt:lpstr>Ven_dis</vt:lpstr>
      <vt:lpstr>Ven_on</vt:lpstr>
      <vt:lpstr>vf_body</vt:lpstr>
      <vt:lpstr>Vfboot</vt:lpstr>
      <vt:lpstr>Vfboot_int</vt:lpstr>
      <vt:lpstr>Vin_Max</vt:lpstr>
      <vt:lpstr>Vin_Min</vt:lpstr>
      <vt:lpstr>Vin_Nom</vt:lpstr>
      <vt:lpstr>Vinss</vt:lpstr>
      <vt:lpstr>Viripple</vt:lpstr>
      <vt:lpstr>Vout</vt:lpstr>
      <vt:lpstr>Vout_ripple</vt:lpstr>
      <vt:lpstr>Voutss</vt:lpstr>
      <vt:lpstr>Vref</vt:lpstr>
      <vt:lpstr>Vsl</vt:lpstr>
      <vt:lpstr>Vstart</vt:lpstr>
      <vt:lpstr>Vstop</vt:lpstr>
      <vt:lpstr>Vth</vt:lpstr>
      <vt:lpstr>wn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a0192789</dc:creator>
  <cp:lastModifiedBy>Jed Wang</cp:lastModifiedBy>
  <cp:lastPrinted>2009-05-21T20:23:27Z</cp:lastPrinted>
  <dcterms:created xsi:type="dcterms:W3CDTF">2009-03-26T20:28:21Z</dcterms:created>
  <dcterms:modified xsi:type="dcterms:W3CDTF">2025-05-15T18:44:24Z</dcterms:modified>
</cp:coreProperties>
</file>