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13_ncr:1_{21F85A14-9FD8-4B56-9A0D-E32F672E1A3E}" xr6:coauthVersionLast="47" xr6:coauthVersionMax="47" xr10:uidLastSave="{00000000-0000-0000-0000-000000000000}"/>
  <bookViews>
    <workbookView xWindow="-120" yWindow="-120" windowWidth="29040" windowHeight="15840" activeTab="1" xr2:uid="{54449181-DBEC-415B-9D38-DA42EECC2BCF}"/>
  </bookViews>
  <sheets>
    <sheet name="Intro" sheetId="7" r:id="rId1"/>
    <sheet name="Boost Calculations" sheetId="1" r:id="rId2"/>
    <sheet name="Small Signal" sheetId="4" r:id="rId3"/>
    <sheet name="EVM Matching" sheetId="9" state="hidden" r:id="rId4"/>
    <sheet name="Std. R and C Values" sheetId="6" state="hidden" r:id="rId5"/>
    <sheet name="partdata" sheetId="8" state="hidden" r:id="rId6"/>
  </sheets>
  <definedNames>
    <definedName name="Acs">'Small Signal'!$C$56</definedName>
    <definedName name="aol">'Small Signal'!$C$58</definedName>
    <definedName name="C_f1">'Std. R and C Values'!$K$18</definedName>
    <definedName name="C_f2">'Std. R and C Values'!$K$25</definedName>
    <definedName name="c_s1">'Std. R and C Values'!$J$7</definedName>
    <definedName name="C_s2">'Std. R and C Values'!$J$20</definedName>
    <definedName name="Cbulkss">'Small Signal'!$F$17</definedName>
    <definedName name="Ccerss">'Small Signal'!$C$54</definedName>
    <definedName name="Ccomp">'Boost Calculations'!$D$174</definedName>
    <definedName name="Ccompss">'Small Signal'!$F$11</definedName>
    <definedName name="Cffss">'Small Signal'!$C$50</definedName>
    <definedName name="Chf">'Boost Calculations'!$D$177</definedName>
    <definedName name="Chfss">'Small Signal'!$F$12</definedName>
    <definedName name="Cin_chosen">'Boost Calculations'!$D$129</definedName>
    <definedName name="Co">'Boost Calculations'!$D$83</definedName>
    <definedName name="Co_esr">'Boost Calculations'!$D$84</definedName>
    <definedName name="Cochosen">'Boost Calculations'!$D$83</definedName>
    <definedName name="Coss">'Boost Calculations'!$D$94</definedName>
    <definedName name="CVcc">'Boost Calculations'!$D$117</definedName>
    <definedName name="DCR">'Boost Calculations'!$D$59</definedName>
    <definedName name="DCRss">'Small Signal'!$F$15</definedName>
    <definedName name="devfreqmax">'Boost Calculations'!$F$186</definedName>
    <definedName name="devfreqmin">'Boost Calculations'!$D$186</definedName>
    <definedName name="dItran">'Boost Calculations'!$D$15</definedName>
    <definedName name="Dmax">'Boost Calculations'!$D$45</definedName>
    <definedName name="Dmin">'Boost Calculations'!$D$46</definedName>
    <definedName name="Dnom">'Boost Calculations'!$D$44</definedName>
    <definedName name="Dss">'Small Signal'!$F$27</definedName>
    <definedName name="dVtran">'Boost Calculations'!$D$16</definedName>
    <definedName name="E12_f">'Std. R and C Values'!$F$22</definedName>
    <definedName name="E12_s">'Std. R and C Values'!$E$11</definedName>
    <definedName name="E24_f">'Std. R and C Values'!$F$47</definedName>
    <definedName name="E24_s">'Std. R and C Values'!$E$24</definedName>
    <definedName name="E48_f">'Std. R and C Values'!$F$96</definedName>
    <definedName name="E48_s">'Std. R and C Values'!$E$49</definedName>
    <definedName name="E6_f">'Std. R and C Values'!$F$9</definedName>
    <definedName name="E6_s">'Std. R and C Values'!$E$4</definedName>
    <definedName name="E96_f">'Std. R and C Values'!$H$99</definedName>
    <definedName name="E96_s">'Std. R and C Values'!$G$4</definedName>
    <definedName name="ESRss">'Small Signal'!$F$18</definedName>
    <definedName name="Fco_target">'Boost Calculations'!$D$167</definedName>
    <definedName name="Fm">'Small Signal'!$F$30</definedName>
    <definedName name="frhpz">'Boost Calculations'!$D$161</definedName>
    <definedName name="fsw">'Boost Calculations'!$D$14*1000</definedName>
    <definedName name="fswss">'Small Signal'!$F$13</definedName>
    <definedName name="gbw">'Small Signal'!$F$36</definedName>
    <definedName name="gea">'Boost Calculations'!$E$187</definedName>
    <definedName name="gea_typ">'Boost Calculations'!$E$187</definedName>
    <definedName name="Icrit">'Boost Calculations'!$F$61</definedName>
    <definedName name="Idrive_hs">'Boost Calculations'!$D$105</definedName>
    <definedName name="Idrive_ls">'Boost Calculations'!$D$90</definedName>
    <definedName name="Ien_hys">'Boost Calculations'!$E$204</definedName>
    <definedName name="Ien_pup">'Boost Calculations'!$E$203</definedName>
    <definedName name="Iin_max">'Boost Calculations'!$D$52</definedName>
    <definedName name="Ilpeak">'Boost Calculations'!$D$64</definedName>
    <definedName name="Ilrms">'Boost Calculations'!$D$63</definedName>
    <definedName name="Iout">'Boost Calculations'!$D$13</definedName>
    <definedName name="Ioutss">'Small Signal'!$F$7</definedName>
    <definedName name="Iq">'Boost Calculations'!$E$205</definedName>
    <definedName name="Iripple">'Boost Calculations'!$D$60</definedName>
    <definedName name="Irms_cin">'Boost Calculations'!$D$130</definedName>
    <definedName name="Irms_cout">'Boost Calculations'!$D$85</definedName>
    <definedName name="Isat">'Boost Calculations'!$E$64</definedName>
    <definedName name="Iss">'Boost Calculations'!$E$206</definedName>
    <definedName name="k_3">'Small Signal'!$C$49</definedName>
    <definedName name="Kind">'Boost Calculations'!$D$53</definedName>
    <definedName name="L">'Boost Calculations'!$D$58</definedName>
    <definedName name="Lss">'Small Signal'!$F$14</definedName>
    <definedName name="M">'Small Signal'!$F$28</definedName>
    <definedName name="mc">'Small Signal'!$F$35</definedName>
    <definedName name="Pind">'Boost Calculations'!$D$65</definedName>
    <definedName name="Pls_sw">'Boost Calculations'!$D$97</definedName>
    <definedName name="_xlnm.Print_Area" localSheetId="4">'Std. R and C Values'!$A$2:$I$46</definedName>
    <definedName name="PSgain_fco">'Boost Calculations'!$D$169</definedName>
    <definedName name="Psw_cond">'Boost Calculations'!$D$92</definedName>
    <definedName name="q0">'Small Signal'!$F$33</definedName>
    <definedName name="Qg_hs">'Boost Calculations'!$D$104</definedName>
    <definedName name="Qg_ls">'Boost Calculations'!$D$89</definedName>
    <definedName name="Qgd">'Boost Calculations'!$D$95</definedName>
    <definedName name="Rcerss">'Small Signal'!$C$55</definedName>
    <definedName name="Rcomp">'Boost Calculations'!$D$172</definedName>
    <definedName name="Rcompss">'Small Signal'!$F$10</definedName>
    <definedName name="Rdson_hs">'Boost Calculations'!$D$108</definedName>
    <definedName name="Rdson_ls">'Boost Calculations'!$D$91</definedName>
    <definedName name="Rdsonss">'Small Signal'!$C$16</definedName>
    <definedName name="Rea">'Boost Calculations'!$E$188</definedName>
    <definedName name="Rffss">'Small Signal'!$C$51</definedName>
    <definedName name="Rfreq">'Boost Calculations'!$D$49</definedName>
    <definedName name="Rg_hs">'Boost Calculations'!$D$110</definedName>
    <definedName name="Rg_ls">'Boost Calculations'!$D$96</definedName>
    <definedName name="Rgd_hs">'Boost Calculations'!$D$122</definedName>
    <definedName name="Rgd_ls">'Boost Calculations'!$D$121</definedName>
    <definedName name="Rhdrv_pd">'Boost Calculations'!$E$200</definedName>
    <definedName name="Rhdrv_pu">'Boost Calculations'!$E$199</definedName>
    <definedName name="Risense">'Small Signal'!$F$19</definedName>
    <definedName name="Rldrv_pd">'Boost Calculations'!$E$198</definedName>
    <definedName name="Rldrv_pu">'Boost Calculations'!$E$197</definedName>
    <definedName name="Ro">'Boost Calculations'!$D$158</definedName>
    <definedName name="Ross">'Small Signal'!$F$29</definedName>
    <definedName name="Rsense">'Boost Calculations'!$D$71</definedName>
    <definedName name="Rsh">'Boost Calculations'!$D$137</definedName>
    <definedName name="Rshss">'Small Signal'!$F$8</definedName>
    <definedName name="Rsl">'Boost Calculations'!$D$135</definedName>
    <definedName name="Rslss">'Small Signal'!$F$9</definedName>
    <definedName name="Ruvloh">'Boost Calculations'!$D$146</definedName>
    <definedName name="Ruvlol">'Boost Calculations'!$D$148</definedName>
    <definedName name="sess">'Small Signal'!$F$32</definedName>
    <definedName name="snss">'Small Signal'!$F$31</definedName>
    <definedName name="tnonoverlap">'Boost Calculations'!$E$196</definedName>
    <definedName name="toffmin">'Boost Calculations'!$E$191</definedName>
    <definedName name="tonmin">'Boost Calculations'!$E$190</definedName>
    <definedName name="tss">'Boost Calculations'!$D$140</definedName>
    <definedName name="Vcc_typ">'Boost Calculations'!$E$194</definedName>
    <definedName name="Vcs">'Boost Calculations'!$D$69</definedName>
    <definedName name="Vcs0duty_max">'Boost Calculations'!$F$192</definedName>
    <definedName name="Vcs0duty_min">'Boost Calculations'!$D$192</definedName>
    <definedName name="vdevmax">'Boost Calculations'!$F$184</definedName>
    <definedName name="Ven_dis">'Boost Calculations'!$E$202</definedName>
    <definedName name="Ven_on">'Boost Calculations'!$E$201</definedName>
    <definedName name="vf_body">'Boost Calculations'!$D$111</definedName>
    <definedName name="Vfboot">'Boost Calculations'!$D$119</definedName>
    <definedName name="Vfboot_int">'Boost Calculations'!$E$195</definedName>
    <definedName name="Vin_Max">'Boost Calculations'!$D$9</definedName>
    <definedName name="Vin_Min">'Boost Calculations'!$D$8</definedName>
    <definedName name="Vin_Nom">'Boost Calculations'!$D$7</definedName>
    <definedName name="Vinss">'Small Signal'!$F$3</definedName>
    <definedName name="Viripple">'Boost Calculations'!$D$10</definedName>
    <definedName name="Vout">'Boost Calculations'!$D$11</definedName>
    <definedName name="Vout_ripple">'Boost Calculations'!$D$12</definedName>
    <definedName name="Voutss">'Small Signal'!$F$6</definedName>
    <definedName name="Vref">'Boost Calculations'!$E$189</definedName>
    <definedName name="Vsl">'Small Signal'!$C$57</definedName>
    <definedName name="Vstart">'Boost Calculations'!$D$17</definedName>
    <definedName name="Vstop">'Boost Calculations'!$D$18</definedName>
    <definedName name="Vth">'Boost Calculations'!$D$93</definedName>
    <definedName name="wn">'Small Signal'!$F$34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1" l="1"/>
  <c r="D108" i="1"/>
  <c r="D104" i="1"/>
  <c r="F13" i="4"/>
  <c r="D12" i="1"/>
  <c r="F6" i="4"/>
  <c r="D10" i="1"/>
  <c r="D39" i="1"/>
  <c r="E27" i="1"/>
  <c r="E28" i="1"/>
  <c r="D31" i="1"/>
  <c r="D30" i="1"/>
  <c r="D26" i="1"/>
  <c r="D25" i="1"/>
  <c r="D106" i="1"/>
  <c r="E106" i="1"/>
  <c r="D166" i="1"/>
  <c r="C7" i="4"/>
  <c r="F7" i="4"/>
  <c r="F29" i="4"/>
  <c r="D3" i="6"/>
  <c r="K4" i="6"/>
  <c r="C5" i="6"/>
  <c r="C6" i="6"/>
  <c r="C7" i="6"/>
  <c r="L7" i="6"/>
  <c r="C8" i="6"/>
  <c r="L20" i="6"/>
  <c r="C3" i="4"/>
  <c r="F3" i="4"/>
  <c r="C4" i="4"/>
  <c r="J4" i="4"/>
  <c r="K4" i="4"/>
  <c r="L4" i="4"/>
  <c r="C5" i="4"/>
  <c r="J5" i="4"/>
  <c r="K5" i="4"/>
  <c r="L5" i="4"/>
  <c r="C6" i="4"/>
  <c r="J6" i="4"/>
  <c r="K6" i="4"/>
  <c r="J7" i="4"/>
  <c r="K7" i="4"/>
  <c r="J8" i="4"/>
  <c r="K8" i="4"/>
  <c r="C9" i="4"/>
  <c r="F9" i="4"/>
  <c r="J9" i="4"/>
  <c r="K9" i="4"/>
  <c r="J10" i="4"/>
  <c r="K10" i="4"/>
  <c r="J11" i="4"/>
  <c r="K11" i="4"/>
  <c r="Q11" i="4"/>
  <c r="J12" i="4"/>
  <c r="K12" i="4"/>
  <c r="C13" i="4"/>
  <c r="J13" i="4"/>
  <c r="K13" i="4"/>
  <c r="L13" i="4"/>
  <c r="J14" i="4"/>
  <c r="K14" i="4"/>
  <c r="C15" i="4"/>
  <c r="F15" i="4"/>
  <c r="J15" i="4"/>
  <c r="K15" i="4"/>
  <c r="L15" i="4"/>
  <c r="C16" i="4"/>
  <c r="F16" i="4"/>
  <c r="J16" i="4"/>
  <c r="K16" i="4"/>
  <c r="Q16" i="4"/>
  <c r="J17" i="4"/>
  <c r="K17" i="4"/>
  <c r="J18" i="4"/>
  <c r="K18" i="4"/>
  <c r="J19" i="4"/>
  <c r="K19" i="4"/>
  <c r="J20" i="4"/>
  <c r="K20" i="4"/>
  <c r="Q20" i="4"/>
  <c r="J21" i="4"/>
  <c r="K21" i="4"/>
  <c r="J22" i="4"/>
  <c r="K22" i="4"/>
  <c r="J23" i="4"/>
  <c r="K23" i="4"/>
  <c r="J24" i="4"/>
  <c r="K24" i="4"/>
  <c r="L24" i="4"/>
  <c r="J25" i="4"/>
  <c r="K25" i="4"/>
  <c r="J26" i="4"/>
  <c r="K26" i="4"/>
  <c r="J27" i="4"/>
  <c r="K27" i="4"/>
  <c r="J28" i="4"/>
  <c r="K28" i="4"/>
  <c r="J29" i="4"/>
  <c r="K29" i="4"/>
  <c r="L29" i="4"/>
  <c r="J30" i="4"/>
  <c r="K30" i="4"/>
  <c r="J31" i="4"/>
  <c r="K31" i="4"/>
  <c r="L31" i="4"/>
  <c r="J32" i="4"/>
  <c r="K32" i="4"/>
  <c r="J33" i="4"/>
  <c r="K33" i="4"/>
  <c r="J34" i="4"/>
  <c r="K34" i="4"/>
  <c r="J35" i="4"/>
  <c r="K35" i="4"/>
  <c r="J36" i="4"/>
  <c r="K36" i="4"/>
  <c r="Q36" i="4"/>
  <c r="J37" i="4"/>
  <c r="K37" i="4"/>
  <c r="Q37" i="4"/>
  <c r="J38" i="4"/>
  <c r="K38" i="4"/>
  <c r="J39" i="4"/>
  <c r="K39" i="4"/>
  <c r="J40" i="4"/>
  <c r="K40" i="4"/>
  <c r="Q40" i="4"/>
  <c r="J41" i="4"/>
  <c r="K41" i="4"/>
  <c r="L41" i="4"/>
  <c r="J42" i="4"/>
  <c r="K42" i="4"/>
  <c r="L42" i="4"/>
  <c r="J43" i="4"/>
  <c r="K43" i="4"/>
  <c r="J44" i="4"/>
  <c r="K44" i="4"/>
  <c r="L44" i="4"/>
  <c r="J45" i="4"/>
  <c r="K45" i="4"/>
  <c r="L45" i="4"/>
  <c r="J46" i="4"/>
  <c r="K46" i="4"/>
  <c r="J47" i="4"/>
  <c r="K47" i="4"/>
  <c r="J48" i="4"/>
  <c r="K48" i="4"/>
  <c r="Q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L57" i="4"/>
  <c r="C58" i="4"/>
  <c r="J58" i="4"/>
  <c r="K58" i="4"/>
  <c r="L58" i="4"/>
  <c r="J59" i="4"/>
  <c r="K59" i="4"/>
  <c r="J60" i="4"/>
  <c r="K60" i="4"/>
  <c r="L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L69" i="4"/>
  <c r="J70" i="4"/>
  <c r="K70" i="4"/>
  <c r="J71" i="4"/>
  <c r="K71" i="4"/>
  <c r="J72" i="4"/>
  <c r="K72" i="4"/>
  <c r="J73" i="4"/>
  <c r="K73" i="4"/>
  <c r="J74" i="4"/>
  <c r="K74" i="4"/>
  <c r="J75" i="4"/>
  <c r="K75" i="4"/>
  <c r="L75" i="4"/>
  <c r="J76" i="4"/>
  <c r="K76" i="4"/>
  <c r="J77" i="4"/>
  <c r="K77" i="4"/>
  <c r="J78" i="4"/>
  <c r="K78" i="4"/>
  <c r="Q78" i="4"/>
  <c r="J79" i="4"/>
  <c r="K79" i="4"/>
  <c r="J80" i="4"/>
  <c r="K80" i="4"/>
  <c r="J81" i="4"/>
  <c r="K81" i="4"/>
  <c r="L81" i="4"/>
  <c r="J82" i="4"/>
  <c r="K82" i="4"/>
  <c r="L82" i="4"/>
  <c r="J83" i="4"/>
  <c r="K83" i="4"/>
  <c r="J84" i="4"/>
  <c r="K84" i="4"/>
  <c r="J85" i="4"/>
  <c r="K85" i="4"/>
  <c r="J86" i="4"/>
  <c r="K86" i="4"/>
  <c r="J87" i="4"/>
  <c r="K87" i="4"/>
  <c r="J88" i="4"/>
  <c r="K88" i="4"/>
  <c r="Q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Q93" i="4"/>
  <c r="J94" i="4"/>
  <c r="K94" i="4"/>
  <c r="Q94" i="4"/>
  <c r="J95" i="4"/>
  <c r="K95" i="4"/>
  <c r="J96" i="4"/>
  <c r="K96" i="4"/>
  <c r="J97" i="4"/>
  <c r="K97" i="4"/>
  <c r="J98" i="4"/>
  <c r="K98" i="4"/>
  <c r="Q98" i="4"/>
  <c r="J99" i="4"/>
  <c r="K99" i="4"/>
  <c r="J100" i="4"/>
  <c r="K100" i="4"/>
  <c r="Q100" i="4"/>
  <c r="J101" i="4"/>
  <c r="K101" i="4"/>
  <c r="J102" i="4"/>
  <c r="K102" i="4"/>
  <c r="J103" i="4"/>
  <c r="K103" i="4"/>
  <c r="Q103" i="4"/>
  <c r="J104" i="4"/>
  <c r="K104" i="4"/>
  <c r="J105" i="4"/>
  <c r="K105" i="4"/>
  <c r="J106" i="4"/>
  <c r="K106" i="4"/>
  <c r="Q106" i="4"/>
  <c r="J107" i="4"/>
  <c r="K107" i="4"/>
  <c r="L107" i="4"/>
  <c r="J108" i="4"/>
  <c r="K108" i="4"/>
  <c r="J109" i="4"/>
  <c r="K109" i="4"/>
  <c r="J110" i="4"/>
  <c r="K110" i="4"/>
  <c r="J111" i="4"/>
  <c r="K111" i="4"/>
  <c r="Q111" i="4"/>
  <c r="J112" i="4"/>
  <c r="K112" i="4"/>
  <c r="Q112" i="4"/>
  <c r="J113" i="4"/>
  <c r="K113" i="4"/>
  <c r="J114" i="4"/>
  <c r="K114" i="4"/>
  <c r="Q114" i="4"/>
  <c r="J115" i="4"/>
  <c r="K115" i="4"/>
  <c r="J116" i="4"/>
  <c r="K116" i="4"/>
  <c r="Q116" i="4"/>
  <c r="J117" i="4"/>
  <c r="K117" i="4"/>
  <c r="J118" i="4"/>
  <c r="K118" i="4"/>
  <c r="J119" i="4"/>
  <c r="K119" i="4"/>
  <c r="Q119" i="4"/>
  <c r="J120" i="4"/>
  <c r="K120" i="4"/>
  <c r="Q120" i="4"/>
  <c r="J121" i="4"/>
  <c r="K121" i="4"/>
  <c r="J122" i="4"/>
  <c r="K122" i="4"/>
  <c r="J123" i="4"/>
  <c r="K123" i="4"/>
  <c r="Q123" i="4"/>
  <c r="J124" i="4"/>
  <c r="K124" i="4"/>
  <c r="J125" i="4"/>
  <c r="K125" i="4"/>
  <c r="J126" i="4"/>
  <c r="K126" i="4"/>
  <c r="L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Q132" i="4"/>
  <c r="J133" i="4"/>
  <c r="K133" i="4"/>
  <c r="J134" i="4"/>
  <c r="K134" i="4"/>
  <c r="J135" i="4"/>
  <c r="K135" i="4"/>
  <c r="J136" i="4"/>
  <c r="K136" i="4"/>
  <c r="J137" i="4"/>
  <c r="K137" i="4"/>
  <c r="L137" i="4"/>
  <c r="J138" i="4"/>
  <c r="K138" i="4"/>
  <c r="J139" i="4"/>
  <c r="K139" i="4"/>
  <c r="J140" i="4"/>
  <c r="K140" i="4"/>
  <c r="J141" i="4"/>
  <c r="K141" i="4"/>
  <c r="Q141" i="4"/>
  <c r="J142" i="4"/>
  <c r="K142" i="4"/>
  <c r="J143" i="4"/>
  <c r="K143" i="4"/>
  <c r="L143" i="4"/>
  <c r="J144" i="4"/>
  <c r="K144" i="4"/>
  <c r="L144" i="4"/>
  <c r="J145" i="4"/>
  <c r="K145" i="4"/>
  <c r="J146" i="4"/>
  <c r="K146" i="4"/>
  <c r="J147" i="4"/>
  <c r="K147" i="4"/>
  <c r="Q147" i="4"/>
  <c r="J148" i="4"/>
  <c r="K148" i="4"/>
  <c r="Q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L159" i="4"/>
  <c r="J160" i="4"/>
  <c r="K160" i="4"/>
  <c r="J161" i="4"/>
  <c r="K161" i="4"/>
  <c r="J162" i="4"/>
  <c r="K162" i="4"/>
  <c r="J163" i="4"/>
  <c r="K163" i="4"/>
  <c r="Q163" i="4"/>
  <c r="J164" i="4"/>
  <c r="K164" i="4"/>
  <c r="J165" i="4"/>
  <c r="K165" i="4"/>
  <c r="Q165" i="4"/>
  <c r="J166" i="4"/>
  <c r="K166" i="4"/>
  <c r="Q166" i="4"/>
  <c r="J167" i="4"/>
  <c r="K167" i="4"/>
  <c r="Q167" i="4"/>
  <c r="J168" i="4"/>
  <c r="K168" i="4"/>
  <c r="J169" i="4"/>
  <c r="K169" i="4"/>
  <c r="J170" i="4"/>
  <c r="K170" i="4"/>
  <c r="L170" i="4"/>
  <c r="J171" i="4"/>
  <c r="K171" i="4"/>
  <c r="J172" i="4"/>
  <c r="K172" i="4"/>
  <c r="J173" i="4"/>
  <c r="K173" i="4"/>
  <c r="J174" i="4"/>
  <c r="K174" i="4"/>
  <c r="L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Q185" i="4"/>
  <c r="J186" i="4"/>
  <c r="K186" i="4"/>
  <c r="J187" i="4"/>
  <c r="K187" i="4"/>
  <c r="L187" i="4"/>
  <c r="J188" i="4"/>
  <c r="K188" i="4"/>
  <c r="J189" i="4"/>
  <c r="K189" i="4"/>
  <c r="J190" i="4"/>
  <c r="K190" i="4"/>
  <c r="J191" i="4"/>
  <c r="K191" i="4"/>
  <c r="Q191" i="4"/>
  <c r="J192" i="4"/>
  <c r="K192" i="4"/>
  <c r="J193" i="4"/>
  <c r="K193" i="4"/>
  <c r="Q193" i="4"/>
  <c r="J194" i="4"/>
  <c r="K194" i="4"/>
  <c r="L194" i="4"/>
  <c r="J195" i="4"/>
  <c r="K195" i="4"/>
  <c r="J196" i="4"/>
  <c r="K196" i="4"/>
  <c r="L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Q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Q214" i="4"/>
  <c r="J215" i="4"/>
  <c r="K215" i="4"/>
  <c r="J216" i="4"/>
  <c r="K216" i="4"/>
  <c r="Q216" i="4"/>
  <c r="J217" i="4"/>
  <c r="K217" i="4"/>
  <c r="J218" i="4"/>
  <c r="K218" i="4"/>
  <c r="L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Q240" i="4"/>
  <c r="J241" i="4"/>
  <c r="K241" i="4"/>
  <c r="L241" i="4"/>
  <c r="J242" i="4"/>
  <c r="K242" i="4"/>
  <c r="J243" i="4"/>
  <c r="K243" i="4"/>
  <c r="J244" i="4"/>
  <c r="K244" i="4"/>
  <c r="L244" i="4"/>
  <c r="J245" i="4"/>
  <c r="K245" i="4"/>
  <c r="J246" i="4"/>
  <c r="K246" i="4"/>
  <c r="J247" i="4"/>
  <c r="K247" i="4"/>
  <c r="Q247" i="4"/>
  <c r="J248" i="4"/>
  <c r="K248" i="4"/>
  <c r="J249" i="4"/>
  <c r="K249" i="4"/>
  <c r="J250" i="4"/>
  <c r="K250" i="4"/>
  <c r="L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L257" i="4"/>
  <c r="J258" i="4"/>
  <c r="K258" i="4"/>
  <c r="J259" i="4"/>
  <c r="K259" i="4"/>
  <c r="J260" i="4"/>
  <c r="K260" i="4"/>
  <c r="Q260" i="4"/>
  <c r="J261" i="4"/>
  <c r="K261" i="4"/>
  <c r="Q261" i="4"/>
  <c r="J262" i="4"/>
  <c r="K262" i="4"/>
  <c r="J263" i="4"/>
  <c r="K263" i="4"/>
  <c r="J264" i="4"/>
  <c r="K264" i="4"/>
  <c r="L264" i="4"/>
  <c r="J265" i="4"/>
  <c r="K265" i="4"/>
  <c r="J266" i="4"/>
  <c r="K266" i="4"/>
  <c r="J267" i="4"/>
  <c r="K267" i="4"/>
  <c r="L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L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L287" i="4"/>
  <c r="J288" i="4"/>
  <c r="K288" i="4"/>
  <c r="J289" i="4"/>
  <c r="K289" i="4"/>
  <c r="J290" i="4"/>
  <c r="K290" i="4"/>
  <c r="L290" i="4"/>
  <c r="J291" i="4"/>
  <c r="K291" i="4"/>
  <c r="Q291" i="4"/>
  <c r="J292" i="4"/>
  <c r="K292" i="4"/>
  <c r="Q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Q298" i="4"/>
  <c r="J299" i="4"/>
  <c r="K299" i="4"/>
  <c r="L299" i="4"/>
  <c r="J300" i="4"/>
  <c r="K300" i="4"/>
  <c r="Q300" i="4"/>
  <c r="J301" i="4"/>
  <c r="K301" i="4"/>
  <c r="Q301" i="4"/>
  <c r="J302" i="4"/>
  <c r="K302" i="4"/>
  <c r="Q302" i="4"/>
  <c r="J303" i="4"/>
  <c r="K303" i="4"/>
  <c r="J304" i="4"/>
  <c r="K304" i="4"/>
  <c r="J305" i="4"/>
  <c r="K305" i="4"/>
  <c r="J306" i="4"/>
  <c r="K306" i="4"/>
  <c r="Q306" i="4"/>
  <c r="J307" i="4"/>
  <c r="K307" i="4"/>
  <c r="J308" i="4"/>
  <c r="K308" i="4"/>
  <c r="Q308" i="4"/>
  <c r="J309" i="4"/>
  <c r="K309" i="4"/>
  <c r="J310" i="4"/>
  <c r="K310" i="4"/>
  <c r="L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L323" i="4"/>
  <c r="J324" i="4"/>
  <c r="K324" i="4"/>
  <c r="L324" i="4"/>
  <c r="J325" i="4"/>
  <c r="K325" i="4"/>
  <c r="J326" i="4"/>
  <c r="K326" i="4"/>
  <c r="L326" i="4"/>
  <c r="J327" i="4"/>
  <c r="K327" i="4"/>
  <c r="J328" i="4"/>
  <c r="K328" i="4"/>
  <c r="J329" i="4"/>
  <c r="K329" i="4"/>
  <c r="J330" i="4"/>
  <c r="K330" i="4"/>
  <c r="L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L342" i="4"/>
  <c r="J343" i="4"/>
  <c r="K343" i="4"/>
  <c r="Q343" i="4"/>
  <c r="J344" i="4"/>
  <c r="K344" i="4"/>
  <c r="L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L353" i="4"/>
  <c r="J354" i="4"/>
  <c r="K354" i="4"/>
  <c r="J355" i="4"/>
  <c r="K355" i="4"/>
  <c r="J356" i="4"/>
  <c r="K356" i="4"/>
  <c r="Q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Q364" i="4"/>
  <c r="L364" i="4"/>
  <c r="J365" i="4"/>
  <c r="K365" i="4"/>
  <c r="J366" i="4"/>
  <c r="K366" i="4"/>
  <c r="J367" i="4"/>
  <c r="K367" i="4"/>
  <c r="L367" i="4"/>
  <c r="J368" i="4"/>
  <c r="K368" i="4"/>
  <c r="J369" i="4"/>
  <c r="K369" i="4"/>
  <c r="J370" i="4"/>
  <c r="K370" i="4"/>
  <c r="J371" i="4"/>
  <c r="K371" i="4"/>
  <c r="J372" i="4"/>
  <c r="K372" i="4"/>
  <c r="Q372" i="4"/>
  <c r="J373" i="4"/>
  <c r="K373" i="4"/>
  <c r="J374" i="4"/>
  <c r="K374" i="4"/>
  <c r="J375" i="4"/>
  <c r="K375" i="4"/>
  <c r="L375" i="4"/>
  <c r="J376" i="4"/>
  <c r="K376" i="4"/>
  <c r="J377" i="4"/>
  <c r="K377" i="4"/>
  <c r="Q377" i="4"/>
  <c r="J378" i="4"/>
  <c r="K378" i="4"/>
  <c r="J379" i="4"/>
  <c r="K379" i="4"/>
  <c r="J380" i="4"/>
  <c r="K380" i="4"/>
  <c r="J381" i="4"/>
  <c r="K381" i="4"/>
  <c r="L381" i="4"/>
  <c r="J382" i="4"/>
  <c r="K382" i="4"/>
  <c r="J383" i="4"/>
  <c r="K383" i="4"/>
  <c r="L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Q390" i="4"/>
  <c r="J391" i="4"/>
  <c r="K391" i="4"/>
  <c r="J392" i="4"/>
  <c r="K392" i="4"/>
  <c r="J393" i="4"/>
  <c r="K393" i="4"/>
  <c r="Q393" i="4"/>
  <c r="J394" i="4"/>
  <c r="K394" i="4"/>
  <c r="J395" i="4"/>
  <c r="K395" i="4"/>
  <c r="J396" i="4"/>
  <c r="K396" i="4"/>
  <c r="L396" i="4"/>
  <c r="J397" i="4"/>
  <c r="K397" i="4"/>
  <c r="J398" i="4"/>
  <c r="K398" i="4"/>
  <c r="J399" i="4"/>
  <c r="K399" i="4"/>
  <c r="J400" i="4"/>
  <c r="K400" i="4"/>
  <c r="L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Q406" i="4"/>
  <c r="J407" i="4"/>
  <c r="K407" i="4"/>
  <c r="J408" i="4"/>
  <c r="K408" i="4"/>
  <c r="L408" i="4"/>
  <c r="J409" i="4"/>
  <c r="K409" i="4"/>
  <c r="J410" i="4"/>
  <c r="K410" i="4"/>
  <c r="J411" i="4"/>
  <c r="K411" i="4"/>
  <c r="Q411" i="4"/>
  <c r="J412" i="4"/>
  <c r="K412" i="4"/>
  <c r="Q412" i="4"/>
  <c r="J413" i="4"/>
  <c r="K413" i="4"/>
  <c r="J414" i="4"/>
  <c r="K414" i="4"/>
  <c r="Q414" i="4"/>
  <c r="J415" i="4"/>
  <c r="K415" i="4"/>
  <c r="J416" i="4"/>
  <c r="K416" i="4"/>
  <c r="Q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Q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Q429" i="4"/>
  <c r="J430" i="4"/>
  <c r="K430" i="4"/>
  <c r="J431" i="4"/>
  <c r="K431" i="4"/>
  <c r="Q431" i="4"/>
  <c r="J432" i="4"/>
  <c r="K432" i="4"/>
  <c r="J433" i="4"/>
  <c r="K433" i="4"/>
  <c r="J434" i="4"/>
  <c r="K434" i="4"/>
  <c r="Q434" i="4"/>
  <c r="J435" i="4"/>
  <c r="K435" i="4"/>
  <c r="Q435" i="4"/>
  <c r="J436" i="4"/>
  <c r="K436" i="4"/>
  <c r="J437" i="4"/>
  <c r="K437" i="4"/>
  <c r="L437" i="4"/>
  <c r="J438" i="4"/>
  <c r="K438" i="4"/>
  <c r="J439" i="4"/>
  <c r="K439" i="4"/>
  <c r="J440" i="4"/>
  <c r="K440" i="4"/>
  <c r="Q440" i="4"/>
  <c r="J441" i="4"/>
  <c r="K441" i="4"/>
  <c r="J442" i="4"/>
  <c r="K442" i="4"/>
  <c r="J443" i="4"/>
  <c r="K443" i="4"/>
  <c r="Q443" i="4"/>
  <c r="L443" i="4"/>
  <c r="J444" i="4"/>
  <c r="K444" i="4"/>
  <c r="J445" i="4"/>
  <c r="K445" i="4"/>
  <c r="J446" i="4"/>
  <c r="K446" i="4"/>
  <c r="L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L465" i="4"/>
  <c r="Q465" i="4"/>
  <c r="J466" i="4"/>
  <c r="K466" i="4"/>
  <c r="J467" i="4"/>
  <c r="K467" i="4"/>
  <c r="J468" i="4"/>
  <c r="K468" i="4"/>
  <c r="J469" i="4"/>
  <c r="K469" i="4"/>
  <c r="L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Q477" i="4"/>
  <c r="J478" i="4"/>
  <c r="K478" i="4"/>
  <c r="Q478" i="4"/>
  <c r="J479" i="4"/>
  <c r="K479" i="4"/>
  <c r="J480" i="4"/>
  <c r="K480" i="4"/>
  <c r="Q480" i="4"/>
  <c r="J481" i="4"/>
  <c r="K481" i="4"/>
  <c r="Q481" i="4"/>
  <c r="J482" i="4"/>
  <c r="K482" i="4"/>
  <c r="L482" i="4"/>
  <c r="J483" i="4"/>
  <c r="K483" i="4"/>
  <c r="L483" i="4"/>
  <c r="Q483" i="4"/>
  <c r="J484" i="4"/>
  <c r="K484" i="4"/>
  <c r="J485" i="4"/>
  <c r="K485" i="4"/>
  <c r="L485" i="4"/>
  <c r="J486" i="4"/>
  <c r="K486" i="4"/>
  <c r="J487" i="4"/>
  <c r="K487" i="4"/>
  <c r="Q487" i="4"/>
  <c r="J488" i="4"/>
  <c r="K488" i="4"/>
  <c r="J489" i="4"/>
  <c r="K489" i="4"/>
  <c r="Q489" i="4"/>
  <c r="L489" i="4"/>
  <c r="J490" i="4"/>
  <c r="K490" i="4"/>
  <c r="Q490" i="4"/>
  <c r="J491" i="4"/>
  <c r="K491" i="4"/>
  <c r="L491" i="4"/>
  <c r="J492" i="4"/>
  <c r="K492" i="4"/>
  <c r="J493" i="4"/>
  <c r="K493" i="4"/>
  <c r="Q493" i="4"/>
  <c r="J494" i="4"/>
  <c r="K494" i="4"/>
  <c r="J495" i="4"/>
  <c r="K495" i="4"/>
  <c r="Q495" i="4"/>
  <c r="L495" i="4"/>
  <c r="J496" i="4"/>
  <c r="K496" i="4"/>
  <c r="J497" i="4"/>
  <c r="K497" i="4"/>
  <c r="J498" i="4"/>
  <c r="K498" i="4"/>
  <c r="L498" i="4"/>
  <c r="J499" i="4"/>
  <c r="K499" i="4"/>
  <c r="J500" i="4"/>
  <c r="K500" i="4"/>
  <c r="L500" i="4"/>
  <c r="J501" i="4"/>
  <c r="K501" i="4"/>
  <c r="J502" i="4"/>
  <c r="K502" i="4"/>
  <c r="Q502" i="4"/>
  <c r="J503" i="4"/>
  <c r="K503" i="4"/>
  <c r="J504" i="4"/>
  <c r="K504" i="4"/>
  <c r="E187" i="1"/>
  <c r="E188" i="1"/>
  <c r="E194" i="1"/>
  <c r="E25" i="1"/>
  <c r="E195" i="1"/>
  <c r="D119" i="1"/>
  <c r="D118" i="1"/>
  <c r="D28" i="1"/>
  <c r="E197" i="1"/>
  <c r="E198" i="1"/>
  <c r="E199" i="1"/>
  <c r="D123" i="1"/>
  <c r="E200" i="1"/>
  <c r="D16" i="1"/>
  <c r="E21" i="1"/>
  <c r="D37" i="1"/>
  <c r="D43" i="1"/>
  <c r="E43" i="1"/>
  <c r="D44" i="1"/>
  <c r="E68" i="1"/>
  <c r="E74" i="1"/>
  <c r="D45" i="1"/>
  <c r="E47" i="1"/>
  <c r="D46" i="1"/>
  <c r="F69" i="1"/>
  <c r="D90" i="1"/>
  <c r="D105" i="1"/>
  <c r="D125" i="1"/>
  <c r="D145" i="1"/>
  <c r="E145" i="1"/>
  <c r="D146" i="1" s="1"/>
  <c r="D136" i="1"/>
  <c r="E136" i="1"/>
  <c r="D137" i="1" s="1"/>
  <c r="D48" i="1"/>
  <c r="E48" i="1"/>
  <c r="D49" i="1" s="1"/>
  <c r="D36" i="1" s="1"/>
  <c r="D141" i="1"/>
  <c r="E141" i="1"/>
  <c r="D142" i="1" s="1"/>
  <c r="D23" i="1" s="1"/>
  <c r="D158" i="1"/>
  <c r="D15" i="1"/>
  <c r="Q326" i="4"/>
  <c r="Q44" i="4"/>
  <c r="L40" i="4"/>
  <c r="L147" i="4"/>
  <c r="L343" i="4"/>
  <c r="L103" i="4"/>
  <c r="L37" i="4"/>
  <c r="L141" i="4"/>
  <c r="Q81" i="4"/>
  <c r="Q196" i="4"/>
  <c r="L216" i="4"/>
  <c r="L377" i="4"/>
  <c r="L112" i="4"/>
  <c r="L185" i="4"/>
  <c r="L20" i="4"/>
  <c r="Q287" i="4"/>
  <c r="Q45" i="4"/>
  <c r="L261" i="4"/>
  <c r="Q241" i="4"/>
  <c r="Q24" i="4"/>
  <c r="L301" i="4"/>
  <c r="Q290" i="4"/>
  <c r="L66" i="4"/>
  <c r="Q66" i="4"/>
  <c r="L390" i="4"/>
  <c r="L248" i="4"/>
  <c r="Q248" i="4"/>
  <c r="Q29" i="4"/>
  <c r="Q15" i="4"/>
  <c r="Q264" i="4"/>
  <c r="L39" i="4"/>
  <c r="Q39" i="4"/>
  <c r="Q381" i="4"/>
  <c r="L243" i="4"/>
  <c r="Q243" i="4"/>
  <c r="L179" i="4"/>
  <c r="Q179" i="4"/>
  <c r="Q72" i="4"/>
  <c r="L72" i="4"/>
  <c r="L302" i="4"/>
  <c r="Q187" i="4"/>
  <c r="Q57" i="4"/>
  <c r="L193" i="4"/>
  <c r="L111" i="4"/>
  <c r="Q375" i="4"/>
  <c r="L114" i="4"/>
  <c r="L406" i="4"/>
  <c r="L306" i="4"/>
  <c r="Q133" i="4"/>
  <c r="L133" i="4"/>
  <c r="Q408" i="4"/>
  <c r="Q299" i="4"/>
  <c r="L260" i="4"/>
  <c r="L163" i="4"/>
  <c r="Q107" i="4"/>
  <c r="Q90" i="4"/>
  <c r="Q92" i="4"/>
  <c r="Q304" i="4"/>
  <c r="L304" i="4"/>
  <c r="Q437" i="4"/>
  <c r="L481" i="4"/>
  <c r="Q367" i="4"/>
  <c r="Q324" i="4"/>
  <c r="Q143" i="4"/>
  <c r="L88" i="4"/>
  <c r="Q69" i="4"/>
  <c r="Q5" i="4"/>
  <c r="L167" i="4"/>
  <c r="L106" i="4"/>
  <c r="L120" i="4"/>
  <c r="Q383" i="4"/>
  <c r="L36" i="4"/>
  <c r="Q75" i="4"/>
  <c r="Q485" i="4"/>
  <c r="L365" i="4"/>
  <c r="Q365" i="4"/>
  <c r="L289" i="4"/>
  <c r="Q289" i="4"/>
  <c r="L411" i="4"/>
  <c r="L308" i="4"/>
  <c r="L203" i="4"/>
  <c r="Q203" i="4"/>
  <c r="L173" i="4"/>
  <c r="Q173" i="4"/>
  <c r="Q374" i="4"/>
  <c r="L374" i="4"/>
  <c r="Q204" i="4"/>
  <c r="L204" i="4"/>
  <c r="Q194" i="4"/>
  <c r="Q124" i="4"/>
  <c r="L124" i="4"/>
  <c r="Q101" i="4"/>
  <c r="L101" i="4"/>
  <c r="Q33" i="4"/>
  <c r="L33" i="4"/>
  <c r="Q137" i="4"/>
  <c r="Q330" i="4"/>
  <c r="L393" i="4"/>
  <c r="Q170" i="4"/>
  <c r="Q344" i="4"/>
  <c r="Q274" i="4"/>
  <c r="Q310" i="4"/>
  <c r="Q244" i="4"/>
  <c r="Q323" i="4"/>
  <c r="L292" i="4"/>
  <c r="L98" i="4"/>
  <c r="L422" i="4"/>
  <c r="L414" i="4"/>
  <c r="L412" i="4"/>
  <c r="L284" i="4"/>
  <c r="Q284" i="4"/>
  <c r="Q252" i="4"/>
  <c r="L252" i="4"/>
  <c r="Q250" i="4"/>
  <c r="Q142" i="4"/>
  <c r="L142" i="4"/>
  <c r="L48" i="4"/>
  <c r="Q41" i="4"/>
  <c r="Q18" i="4"/>
  <c r="L18" i="4"/>
  <c r="L10" i="4"/>
  <c r="Q10" i="4"/>
  <c r="F27" i="4"/>
  <c r="F28" i="4"/>
  <c r="Q21" i="4"/>
  <c r="L21" i="4"/>
  <c r="L11" i="4"/>
  <c r="Q58" i="4"/>
  <c r="L298" i="4"/>
  <c r="L296" i="4"/>
  <c r="Q296" i="4"/>
  <c r="L259" i="4"/>
  <c r="Q259" i="4"/>
  <c r="Q144" i="4"/>
  <c r="L132" i="4"/>
  <c r="Q91" i="4"/>
  <c r="Q85" i="4"/>
  <c r="L85" i="4"/>
  <c r="Q245" i="4"/>
  <c r="L245" i="4"/>
  <c r="L207" i="4"/>
  <c r="Q174" i="4"/>
  <c r="L166" i="4"/>
  <c r="L151" i="4"/>
  <c r="Q151" i="4"/>
  <c r="L140" i="4"/>
  <c r="Q140" i="4"/>
  <c r="L78" i="4"/>
  <c r="Q469" i="4"/>
  <c r="L434" i="4"/>
  <c r="L431" i="4"/>
  <c r="L211" i="4"/>
  <c r="Q211" i="4"/>
  <c r="L178" i="4"/>
  <c r="Q178" i="4"/>
  <c r="Q146" i="4"/>
  <c r="L146" i="4"/>
  <c r="L97" i="4"/>
  <c r="Q97" i="4"/>
  <c r="L93" i="4"/>
  <c r="Q89" i="4"/>
  <c r="L73" i="4"/>
  <c r="Q73" i="4"/>
  <c r="Q71" i="4"/>
  <c r="L71" i="4"/>
  <c r="Q65" i="4"/>
  <c r="L65" i="4"/>
  <c r="Q60" i="4"/>
  <c r="Q52" i="4"/>
  <c r="L52" i="4"/>
  <c r="Q31" i="4"/>
  <c r="Q207" i="4"/>
  <c r="Q491" i="4"/>
  <c r="Q455" i="4"/>
  <c r="L455" i="4"/>
  <c r="L435" i="4"/>
  <c r="Q353" i="4"/>
  <c r="L300" i="4"/>
  <c r="L291" i="4"/>
  <c r="Q267" i="4"/>
  <c r="L263" i="4"/>
  <c r="Q263" i="4"/>
  <c r="Q218" i="4"/>
  <c r="L214" i="4"/>
  <c r="Q126" i="4"/>
  <c r="L117" i="4"/>
  <c r="Q117" i="4"/>
  <c r="L109" i="4"/>
  <c r="Q109" i="4"/>
  <c r="L17" i="4"/>
  <c r="Q17" i="4"/>
  <c r="Q13" i="4"/>
  <c r="Q4" i="4"/>
  <c r="L490" i="4"/>
  <c r="Q446" i="4"/>
  <c r="L429" i="4"/>
  <c r="Q400" i="4"/>
  <c r="L325" i="4"/>
  <c r="Q325" i="4"/>
  <c r="Q271" i="4"/>
  <c r="L271" i="4"/>
  <c r="Q262" i="4"/>
  <c r="L262" i="4"/>
  <c r="L255" i="4"/>
  <c r="Q255" i="4"/>
  <c r="L247" i="4"/>
  <c r="L199" i="4"/>
  <c r="Q199" i="4"/>
  <c r="Q128" i="4"/>
  <c r="L128" i="4"/>
  <c r="L123" i="4"/>
  <c r="L119" i="4"/>
  <c r="L100" i="4"/>
  <c r="Q82" i="4"/>
  <c r="Q46" i="4"/>
  <c r="L46" i="4"/>
  <c r="Q19" i="4"/>
  <c r="L19" i="4"/>
  <c r="L16" i="4"/>
  <c r="L206" i="4"/>
  <c r="L70" i="4"/>
  <c r="Q70" i="4"/>
  <c r="L487" i="4"/>
  <c r="L502" i="4"/>
  <c r="Q266" i="4"/>
  <c r="L266" i="4"/>
  <c r="Q168" i="4"/>
  <c r="L168" i="4"/>
  <c r="L165" i="4"/>
  <c r="L145" i="4"/>
  <c r="Q145" i="4"/>
  <c r="Q131" i="4"/>
  <c r="L131" i="4"/>
  <c r="L104" i="4"/>
  <c r="Q104" i="4"/>
  <c r="Q51" i="4"/>
  <c r="L51" i="4"/>
  <c r="L94" i="4"/>
  <c r="D32" i="1"/>
  <c r="C19" i="4"/>
  <c r="F19" i="4" s="1"/>
  <c r="D159" i="1"/>
  <c r="D72" i="1"/>
  <c r="E32" i="1" s="1"/>
  <c r="E159" i="1"/>
  <c r="Q504" i="4"/>
  <c r="L504" i="4"/>
  <c r="Q500" i="4"/>
  <c r="Q498" i="4"/>
  <c r="L480" i="4"/>
  <c r="Q442" i="4"/>
  <c r="L442" i="4"/>
  <c r="L440" i="4"/>
  <c r="L372" i="4"/>
  <c r="Q360" i="4"/>
  <c r="L360" i="4"/>
  <c r="Q358" i="4"/>
  <c r="L358" i="4"/>
  <c r="L356" i="4"/>
  <c r="Q354" i="4"/>
  <c r="L354" i="4"/>
  <c r="L352" i="4"/>
  <c r="Q352" i="4"/>
  <c r="Q342" i="4"/>
  <c r="Q337" i="4"/>
  <c r="L337" i="4"/>
  <c r="Q321" i="4"/>
  <c r="L321" i="4"/>
  <c r="Q276" i="4"/>
  <c r="L276" i="4"/>
  <c r="L240" i="4"/>
  <c r="L238" i="4"/>
  <c r="Q238" i="4"/>
  <c r="Q236" i="4"/>
  <c r="L236" i="4"/>
  <c r="Q230" i="4"/>
  <c r="L230" i="4"/>
  <c r="Q228" i="4"/>
  <c r="L228" i="4"/>
  <c r="L190" i="4"/>
  <c r="Q190" i="4"/>
  <c r="Q183" i="4"/>
  <c r="L183" i="4"/>
  <c r="L181" i="4"/>
  <c r="Q181" i="4"/>
  <c r="Q176" i="4"/>
  <c r="L176" i="4"/>
  <c r="L171" i="4"/>
  <c r="Q171" i="4"/>
  <c r="Q164" i="4"/>
  <c r="L164" i="4"/>
  <c r="Q161" i="4"/>
  <c r="L161" i="4"/>
  <c r="Q158" i="4"/>
  <c r="L158" i="4"/>
  <c r="L155" i="4"/>
  <c r="Q155" i="4"/>
  <c r="Q152" i="4"/>
  <c r="L152" i="4"/>
  <c r="L149" i="4"/>
  <c r="Q149" i="4"/>
  <c r="L135" i="4"/>
  <c r="Q135" i="4"/>
  <c r="L127" i="4"/>
  <c r="Q127" i="4"/>
  <c r="Q122" i="4"/>
  <c r="L122" i="4"/>
  <c r="Q110" i="4"/>
  <c r="L110" i="4"/>
  <c r="Q102" i="4"/>
  <c r="L102" i="4"/>
  <c r="Q87" i="4"/>
  <c r="L87" i="4"/>
  <c r="L76" i="4"/>
  <c r="Q76" i="4"/>
  <c r="L62" i="4"/>
  <c r="Q62" i="4"/>
  <c r="Q59" i="4"/>
  <c r="L59" i="4"/>
  <c r="Q56" i="4"/>
  <c r="L56" i="4"/>
  <c r="Q54" i="4"/>
  <c r="L54" i="4"/>
  <c r="Q34" i="4"/>
  <c r="L34" i="4"/>
  <c r="Q28" i="4"/>
  <c r="L28" i="4"/>
  <c r="L25" i="4"/>
  <c r="Q25" i="4"/>
  <c r="L22" i="4"/>
  <c r="Q22" i="4"/>
  <c r="L12" i="4"/>
  <c r="Q12" i="4"/>
  <c r="Q9" i="4"/>
  <c r="L9" i="4"/>
  <c r="Q6" i="4"/>
  <c r="L6" i="4"/>
  <c r="Q503" i="4"/>
  <c r="L503" i="4"/>
  <c r="Q501" i="4"/>
  <c r="L501" i="4"/>
  <c r="Q482" i="4"/>
  <c r="L479" i="4"/>
  <c r="Q479" i="4"/>
  <c r="L477" i="4"/>
  <c r="Q463" i="4"/>
  <c r="L463" i="4"/>
  <c r="Q453" i="4"/>
  <c r="L453" i="4"/>
  <c r="L417" i="4"/>
  <c r="Q417" i="4"/>
  <c r="L373" i="4"/>
  <c r="Q373" i="4"/>
  <c r="L371" i="4"/>
  <c r="Q371" i="4"/>
  <c r="L369" i="4"/>
  <c r="Q369" i="4"/>
  <c r="Q366" i="4"/>
  <c r="L366" i="4"/>
  <c r="L362" i="4"/>
  <c r="Q362" i="4"/>
  <c r="Q359" i="4"/>
  <c r="L359" i="4"/>
  <c r="Q357" i="4"/>
  <c r="L357" i="4"/>
  <c r="L355" i="4"/>
  <c r="Q355" i="4"/>
  <c r="Q349" i="4"/>
  <c r="L349" i="4"/>
  <c r="Q347" i="4"/>
  <c r="L347" i="4"/>
  <c r="Q341" i="4"/>
  <c r="L341" i="4"/>
  <c r="L339" i="4"/>
  <c r="Q339" i="4"/>
  <c r="Q335" i="4"/>
  <c r="L335" i="4"/>
  <c r="Q327" i="4"/>
  <c r="L327" i="4"/>
  <c r="Q319" i="4"/>
  <c r="L319" i="4"/>
  <c r="L282" i="4"/>
  <c r="Q282" i="4"/>
  <c r="Q278" i="4"/>
  <c r="L278" i="4"/>
  <c r="Q234" i="4"/>
  <c r="L234" i="4"/>
  <c r="Q231" i="4"/>
  <c r="L231" i="4"/>
  <c r="L229" i="4"/>
  <c r="Q229" i="4"/>
  <c r="L201" i="4"/>
  <c r="Q201" i="4"/>
  <c r="L191" i="4"/>
  <c r="L184" i="4"/>
  <c r="Q184" i="4"/>
  <c r="Q180" i="4"/>
  <c r="L180" i="4"/>
  <c r="L177" i="4"/>
  <c r="Q177" i="4"/>
  <c r="Q175" i="4"/>
  <c r="L175" i="4"/>
  <c r="L172" i="4"/>
  <c r="Q172" i="4"/>
  <c r="Q160" i="4"/>
  <c r="L160" i="4"/>
  <c r="L156" i="4"/>
  <c r="Q156" i="4"/>
  <c r="Q154" i="4"/>
  <c r="L154" i="4"/>
  <c r="L150" i="4"/>
  <c r="Q150" i="4"/>
  <c r="L139" i="4"/>
  <c r="Q139" i="4"/>
  <c r="Q136" i="4"/>
  <c r="L136" i="4"/>
  <c r="Q118" i="4"/>
  <c r="L118" i="4"/>
  <c r="Q96" i="4"/>
  <c r="L96" i="4"/>
  <c r="L86" i="4"/>
  <c r="Q86" i="4"/>
  <c r="L83" i="4"/>
  <c r="Q83" i="4"/>
  <c r="L80" i="4"/>
  <c r="Q80" i="4"/>
  <c r="Q77" i="4"/>
  <c r="L77" i="4"/>
  <c r="Q64" i="4"/>
  <c r="L64" i="4"/>
  <c r="Q61" i="4"/>
  <c r="L61" i="4"/>
  <c r="L55" i="4"/>
  <c r="Q55" i="4"/>
  <c r="Q49" i="4"/>
  <c r="L49" i="4"/>
  <c r="L38" i="4"/>
  <c r="Q38" i="4"/>
  <c r="L35" i="4"/>
  <c r="Q35" i="4"/>
  <c r="L27" i="4"/>
  <c r="Q27" i="4"/>
  <c r="Q23" i="4"/>
  <c r="L23" i="4"/>
  <c r="F32" i="4"/>
  <c r="F34" i="4"/>
  <c r="Q7" i="4"/>
  <c r="L7" i="4"/>
  <c r="Q472" i="4"/>
  <c r="L472" i="4"/>
  <c r="Q427" i="4"/>
  <c r="L427" i="4"/>
  <c r="L415" i="4"/>
  <c r="Q415" i="4"/>
  <c r="L388" i="4"/>
  <c r="Q388" i="4"/>
  <c r="Q474" i="4"/>
  <c r="L474" i="4"/>
  <c r="Q396" i="4"/>
  <c r="D54" i="1"/>
  <c r="D56" i="1"/>
  <c r="D52" i="1"/>
  <c r="D97" i="1"/>
  <c r="D69" i="1"/>
  <c r="D73" i="1"/>
  <c r="Q419" i="4"/>
  <c r="L419" i="4"/>
  <c r="D47" i="1"/>
  <c r="D55" i="1"/>
  <c r="D57" i="1"/>
  <c r="Q497" i="4"/>
  <c r="L497" i="4"/>
  <c r="L488" i="4"/>
  <c r="Q488" i="4"/>
  <c r="L473" i="4"/>
  <c r="Q473" i="4"/>
  <c r="L470" i="4"/>
  <c r="Q470" i="4"/>
  <c r="L468" i="4"/>
  <c r="Q468" i="4"/>
  <c r="L462" i="4"/>
  <c r="Q462" i="4"/>
  <c r="L460" i="4"/>
  <c r="Q460" i="4"/>
  <c r="Q458" i="4"/>
  <c r="L458" i="4"/>
  <c r="L456" i="4"/>
  <c r="Q456" i="4"/>
  <c r="L452" i="4"/>
  <c r="Q452" i="4"/>
  <c r="Q450" i="4"/>
  <c r="L450" i="4"/>
  <c r="L444" i="4"/>
  <c r="Q444" i="4"/>
  <c r="Q430" i="4"/>
  <c r="L430" i="4"/>
  <c r="Q407" i="4"/>
  <c r="L407" i="4"/>
  <c r="L405" i="4"/>
  <c r="Q405" i="4"/>
  <c r="L403" i="4"/>
  <c r="Q403" i="4"/>
  <c r="Q401" i="4"/>
  <c r="L401" i="4"/>
  <c r="L399" i="4"/>
  <c r="Q399" i="4"/>
  <c r="Q397" i="4"/>
  <c r="L397" i="4"/>
  <c r="Q394" i="4"/>
  <c r="L394" i="4"/>
  <c r="L392" i="4"/>
  <c r="Q392" i="4"/>
  <c r="L387" i="4"/>
  <c r="Q387" i="4"/>
  <c r="L385" i="4"/>
  <c r="Q385" i="4"/>
  <c r="L380" i="4"/>
  <c r="Q380" i="4"/>
  <c r="L378" i="4"/>
  <c r="Q378" i="4"/>
  <c r="L376" i="4"/>
  <c r="Q376" i="4"/>
  <c r="Q350" i="4"/>
  <c r="L350" i="4"/>
  <c r="L346" i="4"/>
  <c r="Q346" i="4"/>
  <c r="Q338" i="4"/>
  <c r="L338" i="4"/>
  <c r="Q334" i="4"/>
  <c r="L334" i="4"/>
  <c r="L332" i="4"/>
  <c r="Q332" i="4"/>
  <c r="Q322" i="4"/>
  <c r="L322" i="4"/>
  <c r="Q318" i="4"/>
  <c r="L318" i="4"/>
  <c r="L316" i="4"/>
  <c r="Q316" i="4"/>
  <c r="Q314" i="4"/>
  <c r="L314" i="4"/>
  <c r="L312" i="4"/>
  <c r="Q312" i="4"/>
  <c r="Q307" i="4"/>
  <c r="L307" i="4"/>
  <c r="L303" i="4"/>
  <c r="Q303" i="4"/>
  <c r="L295" i="4"/>
  <c r="Q295" i="4"/>
  <c r="Q285" i="4"/>
  <c r="L285" i="4"/>
  <c r="Q281" i="4"/>
  <c r="L281" i="4"/>
  <c r="L277" i="4"/>
  <c r="Q277" i="4"/>
  <c r="Q251" i="4"/>
  <c r="L251" i="4"/>
  <c r="Q246" i="4"/>
  <c r="L246" i="4"/>
  <c r="L235" i="4"/>
  <c r="Q235" i="4"/>
  <c r="L232" i="4"/>
  <c r="Q232" i="4"/>
  <c r="L226" i="4"/>
  <c r="Q226" i="4"/>
  <c r="L224" i="4"/>
  <c r="Q224" i="4"/>
  <c r="L222" i="4"/>
  <c r="Q222" i="4"/>
  <c r="L220" i="4"/>
  <c r="Q220" i="4"/>
  <c r="L215" i="4"/>
  <c r="Q215" i="4"/>
  <c r="L210" i="4"/>
  <c r="Q210" i="4"/>
  <c r="Q205" i="4"/>
  <c r="L205" i="4"/>
  <c r="Q202" i="4"/>
  <c r="L202" i="4"/>
  <c r="Q195" i="4"/>
  <c r="L195" i="4"/>
  <c r="L189" i="4"/>
  <c r="Q189" i="4"/>
  <c r="D116" i="1"/>
  <c r="D120" i="1"/>
  <c r="Q499" i="4"/>
  <c r="L499" i="4"/>
  <c r="L496" i="4"/>
  <c r="Q496" i="4"/>
  <c r="L494" i="4"/>
  <c r="Q494" i="4"/>
  <c r="Q475" i="4"/>
  <c r="L475" i="4"/>
  <c r="Q471" i="4"/>
  <c r="L471" i="4"/>
  <c r="L466" i="4"/>
  <c r="Q466" i="4"/>
  <c r="Q464" i="4"/>
  <c r="L464" i="4"/>
  <c r="L461" i="4"/>
  <c r="Q461" i="4"/>
  <c r="Q459" i="4"/>
  <c r="L459" i="4"/>
  <c r="L454" i="4"/>
  <c r="Q454" i="4"/>
  <c r="L451" i="4"/>
  <c r="Q451" i="4"/>
  <c r="L449" i="4"/>
  <c r="Q449" i="4"/>
  <c r="Q447" i="4"/>
  <c r="L447" i="4"/>
  <c r="Q445" i="4"/>
  <c r="L445" i="4"/>
  <c r="Q421" i="4"/>
  <c r="L421" i="4"/>
  <c r="Q409" i="4"/>
  <c r="L409" i="4"/>
  <c r="L404" i="4"/>
  <c r="Q404" i="4"/>
  <c r="L402" i="4"/>
  <c r="Q402" i="4"/>
  <c r="Q391" i="4"/>
  <c r="L391" i="4"/>
  <c r="L389" i="4"/>
  <c r="Q389" i="4"/>
  <c r="L386" i="4"/>
  <c r="Q386" i="4"/>
  <c r="L384" i="4"/>
  <c r="Q384" i="4"/>
  <c r="Q382" i="4"/>
  <c r="L382" i="4"/>
  <c r="Q348" i="4"/>
  <c r="L348" i="4"/>
  <c r="Q340" i="4"/>
  <c r="L340" i="4"/>
  <c r="Q333" i="4"/>
  <c r="L333" i="4"/>
  <c r="Q331" i="4"/>
  <c r="L331" i="4"/>
  <c r="Q329" i="4"/>
  <c r="L329" i="4"/>
  <c r="L320" i="4"/>
  <c r="Q320" i="4"/>
  <c r="Q317" i="4"/>
  <c r="L317" i="4"/>
  <c r="L315" i="4"/>
  <c r="Q315" i="4"/>
  <c r="L313" i="4"/>
  <c r="Q313" i="4"/>
  <c r="Q311" i="4"/>
  <c r="L311" i="4"/>
  <c r="Q309" i="4"/>
  <c r="L309" i="4"/>
  <c r="L305" i="4"/>
  <c r="Q305" i="4"/>
  <c r="Q297" i="4"/>
  <c r="L297" i="4"/>
  <c r="L293" i="4"/>
  <c r="Q293" i="4"/>
  <c r="L283" i="4"/>
  <c r="Q283" i="4"/>
  <c r="L279" i="4"/>
  <c r="Q279" i="4"/>
  <c r="L275" i="4"/>
  <c r="Q275" i="4"/>
  <c r="Q239" i="4"/>
  <c r="L239" i="4"/>
  <c r="L233" i="4"/>
  <c r="Q233" i="4"/>
  <c r="L227" i="4"/>
  <c r="Q227" i="4"/>
  <c r="Q223" i="4"/>
  <c r="L223" i="4"/>
  <c r="Q221" i="4"/>
  <c r="L221" i="4"/>
  <c r="L219" i="4"/>
  <c r="Q219" i="4"/>
  <c r="Q217" i="4"/>
  <c r="L217" i="4"/>
  <c r="L188" i="4"/>
  <c r="Q188" i="4"/>
  <c r="Q484" i="4"/>
  <c r="L484" i="4"/>
  <c r="Q438" i="4"/>
  <c r="L438" i="4"/>
  <c r="Q426" i="4"/>
  <c r="L426" i="4"/>
  <c r="L424" i="4"/>
  <c r="Q424" i="4"/>
  <c r="Q486" i="4"/>
  <c r="L486" i="4"/>
  <c r="Q441" i="4"/>
  <c r="L441" i="4"/>
  <c r="Q433" i="4"/>
  <c r="L433" i="4"/>
  <c r="Q428" i="4"/>
  <c r="L428" i="4"/>
  <c r="L416" i="4"/>
  <c r="L186" i="4"/>
  <c r="Q186" i="4"/>
  <c r="Q115" i="4"/>
  <c r="L115" i="4"/>
  <c r="L30" i="4"/>
  <c r="Q30" i="4"/>
  <c r="L476" i="4"/>
  <c r="Q476" i="4"/>
  <c r="L418" i="4"/>
  <c r="Q418" i="4"/>
  <c r="Q270" i="4"/>
  <c r="L270" i="4"/>
  <c r="Q182" i="4"/>
  <c r="L182" i="4"/>
  <c r="Q47" i="4"/>
  <c r="L47" i="4"/>
  <c r="Q32" i="4"/>
  <c r="L32" i="4"/>
  <c r="F73" i="1"/>
  <c r="D62" i="1"/>
  <c r="D99" i="1"/>
  <c r="D82" i="1"/>
  <c r="C18" i="4"/>
  <c r="E61" i="1"/>
  <c r="E69" i="1"/>
  <c r="E73" i="1"/>
  <c r="E76" i="1" s="1"/>
  <c r="L395" i="4"/>
  <c r="Q395" i="4"/>
  <c r="Q351" i="4"/>
  <c r="L351" i="4"/>
  <c r="L336" i="4"/>
  <c r="Q336" i="4"/>
  <c r="Q288" i="4"/>
  <c r="L288" i="4"/>
  <c r="L280" i="4"/>
  <c r="Q280" i="4"/>
  <c r="Q273" i="4"/>
  <c r="L273" i="4"/>
  <c r="L258" i="4"/>
  <c r="Q258" i="4"/>
  <c r="Q249" i="4"/>
  <c r="L249" i="4"/>
  <c r="L242" i="4"/>
  <c r="Q242" i="4"/>
  <c r="Q225" i="4"/>
  <c r="L225" i="4"/>
  <c r="L209" i="4"/>
  <c r="Q209" i="4"/>
  <c r="L200" i="4"/>
  <c r="Q200" i="4"/>
  <c r="L192" i="4"/>
  <c r="Q192" i="4"/>
  <c r="L169" i="4"/>
  <c r="Q169" i="4"/>
  <c r="Q162" i="4"/>
  <c r="L162" i="4"/>
  <c r="Q153" i="4"/>
  <c r="L153" i="4"/>
  <c r="Q138" i="4"/>
  <c r="L138" i="4"/>
  <c r="Q121" i="4"/>
  <c r="L121" i="4"/>
  <c r="L113" i="4"/>
  <c r="Q113" i="4"/>
  <c r="Q84" i="4"/>
  <c r="L84" i="4"/>
  <c r="Q68" i="4"/>
  <c r="L68" i="4"/>
  <c r="L53" i="4"/>
  <c r="Q53" i="4"/>
  <c r="Q26" i="4"/>
  <c r="L26" i="4"/>
  <c r="Q410" i="4"/>
  <c r="L410" i="4"/>
  <c r="L436" i="4"/>
  <c r="Q436" i="4"/>
  <c r="Q423" i="4"/>
  <c r="L423" i="4"/>
  <c r="Q457" i="4"/>
  <c r="L457" i="4"/>
  <c r="L448" i="4"/>
  <c r="Q448" i="4"/>
  <c r="F62" i="1"/>
  <c r="D60" i="1"/>
  <c r="D161" i="1"/>
  <c r="D165" i="1"/>
  <c r="D167" i="1"/>
  <c r="E60" i="1"/>
  <c r="F61" i="1"/>
  <c r="D61" i="1"/>
  <c r="E62" i="1"/>
  <c r="D29" i="1"/>
  <c r="F14" i="4"/>
  <c r="F60" i="1"/>
  <c r="C14" i="4"/>
  <c r="L439" i="4"/>
  <c r="Q439" i="4"/>
  <c r="L328" i="4"/>
  <c r="Q328" i="4"/>
  <c r="Q265" i="4"/>
  <c r="L265" i="4"/>
  <c r="L208" i="4"/>
  <c r="Q208" i="4"/>
  <c r="Q130" i="4"/>
  <c r="L130" i="4"/>
  <c r="Q105" i="4"/>
  <c r="L105" i="4"/>
  <c r="Q67" i="4"/>
  <c r="L67" i="4"/>
  <c r="Q379" i="4"/>
  <c r="L379" i="4"/>
  <c r="Q272" i="4"/>
  <c r="L272" i="4"/>
  <c r="Q129" i="4"/>
  <c r="L129" i="4"/>
  <c r="Q14" i="4"/>
  <c r="L14" i="4"/>
  <c r="L8" i="4"/>
  <c r="Q8" i="4"/>
  <c r="L294" i="4"/>
  <c r="Q294" i="4"/>
  <c r="Q286" i="4"/>
  <c r="L286" i="4"/>
  <c r="L198" i="4"/>
  <c r="Q198" i="4"/>
  <c r="L95" i="4"/>
  <c r="Q95" i="4"/>
  <c r="Q74" i="4"/>
  <c r="L74" i="4"/>
  <c r="D85" i="1"/>
  <c r="F27" i="1"/>
  <c r="D68" i="1"/>
  <c r="D74" i="1"/>
  <c r="D77" i="1" s="1"/>
  <c r="L493" i="4"/>
  <c r="L467" i="4"/>
  <c r="Q467" i="4"/>
  <c r="L256" i="4"/>
  <c r="Q256" i="4"/>
  <c r="L197" i="4"/>
  <c r="Q197" i="4"/>
  <c r="Q50" i="4"/>
  <c r="L50" i="4"/>
  <c r="Q420" i="4"/>
  <c r="L420" i="4"/>
  <c r="Q370" i="4"/>
  <c r="L370" i="4"/>
  <c r="L363" i="4"/>
  <c r="Q363" i="4"/>
  <c r="L43" i="4"/>
  <c r="Q43" i="4"/>
  <c r="L413" i="4"/>
  <c r="Q413" i="4"/>
  <c r="L269" i="4"/>
  <c r="Q269" i="4"/>
  <c r="Q254" i="4"/>
  <c r="L254" i="4"/>
  <c r="L237" i="4"/>
  <c r="Q237" i="4"/>
  <c r="Q213" i="4"/>
  <c r="L213" i="4"/>
  <c r="L134" i="4"/>
  <c r="Q134" i="4"/>
  <c r="E26" i="1"/>
  <c r="D124" i="1"/>
  <c r="L492" i="4"/>
  <c r="Q492" i="4"/>
  <c r="L398" i="4"/>
  <c r="Q398" i="4"/>
  <c r="L253" i="4"/>
  <c r="Q253" i="4"/>
  <c r="L212" i="4"/>
  <c r="Q212" i="4"/>
  <c r="L157" i="4"/>
  <c r="Q157" i="4"/>
  <c r="L125" i="4"/>
  <c r="Q125" i="4"/>
  <c r="L63" i="4"/>
  <c r="Q63" i="4"/>
  <c r="L432" i="4"/>
  <c r="Q432" i="4"/>
  <c r="Q425" i="4"/>
  <c r="L425" i="4"/>
  <c r="L368" i="4"/>
  <c r="Q368" i="4"/>
  <c r="L361" i="4"/>
  <c r="Q361" i="4"/>
  <c r="L268" i="4"/>
  <c r="Q268" i="4"/>
  <c r="L108" i="4"/>
  <c r="Q108" i="4"/>
  <c r="L79" i="4"/>
  <c r="Q79" i="4"/>
  <c r="D80" i="1"/>
  <c r="L345" i="4"/>
  <c r="Q345" i="4"/>
  <c r="Q99" i="4"/>
  <c r="L99" i="4"/>
  <c r="L478" i="4"/>
  <c r="L116" i="4"/>
  <c r="Q257" i="4"/>
  <c r="Q159" i="4"/>
  <c r="F68" i="1"/>
  <c r="F74" i="1"/>
  <c r="F77" i="1" s="1"/>
  <c r="Q42" i="4"/>
  <c r="L148" i="4"/>
  <c r="F18" i="4"/>
  <c r="F63" i="1"/>
  <c r="F65" i="1"/>
  <c r="F76" i="1"/>
  <c r="R319" i="4"/>
  <c r="R398" i="4"/>
  <c r="R57" i="4"/>
  <c r="R135" i="4"/>
  <c r="R502" i="4"/>
  <c r="R279" i="4"/>
  <c r="R146" i="4"/>
  <c r="R284" i="4"/>
  <c r="R123" i="4"/>
  <c r="R190" i="4"/>
  <c r="R222" i="4"/>
  <c r="R462" i="4"/>
  <c r="R103" i="4"/>
  <c r="R257" i="4"/>
  <c r="R469" i="4"/>
  <c r="R433" i="4"/>
  <c r="R9" i="4"/>
  <c r="R296" i="4"/>
  <c r="R416" i="4"/>
  <c r="R67" i="4"/>
  <c r="R20" i="4"/>
  <c r="R467" i="4"/>
  <c r="R214" i="4"/>
  <c r="R99" i="4"/>
  <c r="R31" i="4"/>
  <c r="R276" i="4"/>
  <c r="R406" i="4"/>
  <c r="R14" i="4"/>
  <c r="R186" i="4"/>
  <c r="R79" i="4"/>
  <c r="R312" i="4"/>
  <c r="R484" i="4"/>
  <c r="R442" i="4"/>
  <c r="R465" i="4"/>
  <c r="R130" i="4"/>
  <c r="R178" i="4"/>
  <c r="E63" i="1"/>
  <c r="E65" i="1"/>
  <c r="E77" i="1"/>
  <c r="M257" i="4"/>
  <c r="M452" i="4"/>
  <c r="M384" i="4"/>
  <c r="M367" i="4"/>
  <c r="M410" i="4"/>
  <c r="M94" i="4"/>
  <c r="M292" i="4"/>
  <c r="M481" i="4"/>
  <c r="M461" i="4"/>
  <c r="M333" i="4"/>
  <c r="M436" i="4"/>
  <c r="M38" i="4"/>
  <c r="M265" i="4"/>
  <c r="M504" i="4"/>
  <c r="M242" i="4"/>
  <c r="M422" i="4"/>
  <c r="M259" i="4"/>
  <c r="M191" i="4"/>
  <c r="M430" i="4"/>
  <c r="M189" i="4"/>
  <c r="M192" i="4"/>
  <c r="M5" i="4"/>
  <c r="M313" i="4"/>
  <c r="M488" i="4"/>
  <c r="M335" i="4"/>
  <c r="M185" i="4"/>
  <c r="M360" i="4"/>
  <c r="M144" i="4"/>
  <c r="M70" i="4"/>
  <c r="M433" i="4"/>
  <c r="M261" i="4"/>
  <c r="M314" i="4"/>
  <c r="M331" i="4"/>
  <c r="M448" i="4"/>
  <c r="M37" i="4"/>
  <c r="M460" i="4"/>
  <c r="M213" i="4"/>
  <c r="M85" i="4"/>
  <c r="M10" i="4"/>
  <c r="M297" i="4"/>
  <c r="M4" i="4"/>
  <c r="M19" i="4"/>
  <c r="M321" i="4"/>
  <c r="M145" i="4"/>
  <c r="M250" i="4"/>
  <c r="M84" i="4"/>
  <c r="M363" i="4"/>
  <c r="M411" i="4"/>
  <c r="M372" i="4"/>
  <c r="M426" i="4"/>
  <c r="M391" i="4"/>
  <c r="M286" i="4"/>
  <c r="M256" i="4"/>
  <c r="M102" i="4"/>
  <c r="M412" i="4"/>
  <c r="M110" i="4"/>
  <c r="M397" i="4"/>
  <c r="M345" i="4"/>
  <c r="M165" i="4"/>
  <c r="M357" i="4"/>
  <c r="M365" i="4"/>
  <c r="M494" i="4"/>
  <c r="M163" i="4"/>
  <c r="M352" i="4"/>
  <c r="M382" i="4"/>
  <c r="M105" i="4"/>
  <c r="M439" i="4"/>
  <c r="M278" i="4"/>
  <c r="M489" i="4"/>
  <c r="M493" i="4"/>
  <c r="M115" i="4"/>
  <c r="M101" i="4"/>
  <c r="M296" i="4"/>
  <c r="M59" i="4"/>
  <c r="M387" i="4"/>
  <c r="M217" i="4"/>
  <c r="M52" i="4"/>
  <c r="M476" i="4"/>
  <c r="M255" i="4"/>
  <c r="M322" i="4"/>
  <c r="M462" i="4"/>
  <c r="M164" i="4"/>
  <c r="M24" i="4"/>
  <c r="M60" i="4"/>
  <c r="M39" i="4"/>
  <c r="M66" i="4"/>
  <c r="M353" i="4"/>
  <c r="M200" i="4"/>
  <c r="M320" i="4"/>
  <c r="M485" i="4"/>
  <c r="M198" i="4"/>
  <c r="M450" i="4"/>
  <c r="M224" i="4"/>
  <c r="M31" i="4"/>
  <c r="M127" i="4"/>
  <c r="M171" i="4"/>
  <c r="M252" i="4"/>
  <c r="M470" i="4"/>
  <c r="M175" i="4"/>
  <c r="M106" i="4"/>
  <c r="M474" i="4"/>
  <c r="M89" i="4"/>
  <c r="M178" i="4"/>
  <c r="M406" i="4"/>
  <c r="M477" i="4"/>
  <c r="M371" i="4"/>
  <c r="M458" i="4"/>
  <c r="M301" i="4"/>
  <c r="M195" i="4"/>
  <c r="M498" i="4"/>
  <c r="M432" i="4"/>
  <c r="M138" i="4"/>
  <c r="M162" i="4"/>
  <c r="M103" i="4"/>
  <c r="M340" i="4"/>
  <c r="M298" i="4"/>
  <c r="M263" i="4"/>
  <c r="M316" i="4"/>
  <c r="M76" i="4"/>
  <c r="M486" i="4"/>
  <c r="M424" i="4"/>
  <c r="M186" i="4"/>
  <c r="M343" i="4"/>
  <c r="M495" i="4"/>
  <c r="M383" i="4"/>
  <c r="M378" i="4"/>
  <c r="M219" i="4"/>
  <c r="M159" i="4"/>
  <c r="M97" i="4"/>
  <c r="M445" i="4"/>
  <c r="M218" i="4"/>
  <c r="M28" i="4"/>
  <c r="M293" i="4"/>
  <c r="M379" i="4"/>
  <c r="M376" i="4"/>
  <c r="M271" i="4"/>
  <c r="M130" i="4"/>
  <c r="M160" i="4"/>
  <c r="M126" i="4"/>
  <c r="M30" i="4"/>
  <c r="M258" i="4"/>
  <c r="M403" i="4"/>
  <c r="M478" i="4"/>
  <c r="M69" i="4"/>
  <c r="M463" i="4"/>
  <c r="M268" i="4"/>
  <c r="M205" i="4"/>
  <c r="M188" i="4"/>
  <c r="M151" i="4"/>
  <c r="M209" i="4"/>
  <c r="M51" i="4"/>
  <c r="M323" i="4"/>
  <c r="M82" i="4"/>
  <c r="M80" i="4"/>
  <c r="M32" i="4"/>
  <c r="M358" i="4"/>
  <c r="M183" i="4"/>
  <c r="M73" i="4"/>
  <c r="M54" i="4"/>
  <c r="M122" i="4"/>
  <c r="M55" i="4"/>
  <c r="M123" i="4"/>
  <c r="M184" i="4"/>
  <c r="M78" i="4"/>
  <c r="M158" i="4"/>
  <c r="M269" i="4"/>
  <c r="M108" i="4"/>
  <c r="M277" i="4"/>
  <c r="M179" i="4"/>
  <c r="M17" i="4"/>
  <c r="M48" i="4"/>
  <c r="M394" i="4"/>
  <c r="M388" i="4"/>
  <c r="M451" i="4"/>
  <c r="M34" i="4"/>
  <c r="M317" i="4"/>
  <c r="M466" i="4"/>
  <c r="M139" i="4"/>
  <c r="M315" i="4"/>
  <c r="M441" i="4"/>
  <c r="M454" i="4"/>
  <c r="M427" i="4"/>
  <c r="M491" i="4"/>
  <c r="M299" i="4"/>
  <c r="M125" i="4"/>
  <c r="M246" i="4"/>
  <c r="M449" i="4"/>
  <c r="M155" i="4"/>
  <c r="M472" i="4"/>
  <c r="M284" i="4"/>
  <c r="M484" i="4"/>
  <c r="M25" i="4"/>
  <c r="M368" i="4"/>
  <c r="M350" i="4"/>
  <c r="M304" i="4"/>
  <c r="M241" i="4"/>
  <c r="M274" i="4"/>
  <c r="M133" i="4"/>
  <c r="M83" i="4"/>
  <c r="M420" i="4"/>
  <c r="M13" i="4"/>
  <c r="M180" i="4"/>
  <c r="M307" i="4"/>
  <c r="M22" i="4"/>
  <c r="M90" i="4"/>
  <c r="M503" i="4"/>
  <c r="M147" i="4"/>
  <c r="M396" i="4"/>
  <c r="M251" i="4"/>
  <c r="M6" i="4"/>
  <c r="M167" i="4"/>
  <c r="M11" i="4"/>
  <c r="M339" i="4"/>
  <c r="M210" i="4"/>
  <c r="M236" i="4"/>
  <c r="M414" i="4"/>
  <c r="M137" i="4"/>
  <c r="M291" i="4"/>
  <c r="M370" i="4"/>
  <c r="M319" i="4"/>
  <c r="M279" i="4"/>
  <c r="M203" i="4"/>
  <c r="M272" i="4"/>
  <c r="M417" i="4"/>
  <c r="M385" i="4"/>
  <c r="M146" i="4"/>
  <c r="M442" i="4"/>
  <c r="M140" i="4"/>
  <c r="M134" i="4"/>
  <c r="M132" i="4"/>
  <c r="M153" i="4"/>
  <c r="M49" i="4"/>
  <c r="M214" i="4"/>
  <c r="M457" i="4"/>
  <c r="M235" i="4"/>
  <c r="M154" i="4"/>
  <c r="M18" i="4"/>
  <c r="M166" i="4"/>
  <c r="M421" i="4"/>
  <c r="M119" i="4"/>
  <c r="M176" i="4"/>
  <c r="M262" i="4"/>
  <c r="M490" i="4"/>
  <c r="M288" i="4"/>
  <c r="M341" i="4"/>
  <c r="M471" i="4"/>
  <c r="M475" i="4"/>
  <c r="M483" i="4"/>
  <c r="M260" i="4"/>
  <c r="M248" i="4"/>
  <c r="M366" i="4"/>
  <c r="M459" i="4"/>
  <c r="M435" i="4"/>
  <c r="M104" i="4"/>
  <c r="M312" i="4"/>
  <c r="M440" i="4"/>
  <c r="M328" i="4"/>
  <c r="M207" i="4"/>
  <c r="M275" i="4"/>
  <c r="M346" i="4"/>
  <c r="M141" i="4"/>
  <c r="M413" i="4"/>
  <c r="M348" i="4"/>
  <c r="M227" i="4"/>
  <c r="M310" i="4"/>
  <c r="M64" i="4"/>
  <c r="M131" i="4"/>
  <c r="M468" i="4"/>
  <c r="M181" i="4"/>
  <c r="M423" i="4"/>
  <c r="M290" i="4"/>
  <c r="M45" i="4"/>
  <c r="M120" i="4"/>
  <c r="M172" i="4"/>
  <c r="M202" i="4"/>
  <c r="M332" i="4"/>
  <c r="M443" i="4"/>
  <c r="M390" i="4"/>
  <c r="M327" i="4"/>
  <c r="M216" i="4"/>
  <c r="M407" i="4"/>
  <c r="M42" i="4"/>
  <c r="M465" i="4"/>
  <c r="M121" i="4"/>
  <c r="M50" i="4"/>
  <c r="M238" i="4"/>
  <c r="M63" i="4"/>
  <c r="M114" i="4"/>
  <c r="M338" i="4"/>
  <c r="M456" i="4"/>
  <c r="M369" i="4"/>
  <c r="M71" i="4"/>
  <c r="M43" i="4"/>
  <c r="M68" i="4"/>
  <c r="M211" i="4"/>
  <c r="M196" i="4"/>
  <c r="M46" i="4"/>
  <c r="M237" i="4"/>
  <c r="M425" i="4"/>
  <c r="M308" i="4"/>
  <c r="M239" i="4"/>
  <c r="M395" i="4"/>
  <c r="M473" i="4"/>
  <c r="M75" i="4"/>
  <c r="M225" i="4"/>
  <c r="M344" i="4"/>
  <c r="M325" i="4"/>
  <c r="M455" i="4"/>
  <c r="M35" i="4"/>
  <c r="M294" i="4"/>
  <c r="M419" i="4"/>
  <c r="M149" i="4"/>
  <c r="M112" i="4"/>
  <c r="M81" i="4"/>
  <c r="M118" i="4"/>
  <c r="M289" i="4"/>
  <c r="M283" i="4"/>
  <c r="M208" i="4"/>
  <c r="M373" i="4"/>
  <c r="M21" i="4"/>
  <c r="M364" i="4"/>
  <c r="M285" i="4"/>
  <c r="M356" i="4"/>
  <c r="M231" i="4"/>
  <c r="M492" i="4"/>
  <c r="M33" i="4"/>
  <c r="M62" i="4"/>
  <c r="M86" i="4"/>
  <c r="M496" i="4"/>
  <c r="M182" i="4"/>
  <c r="M215" i="4"/>
  <c r="M44" i="4"/>
  <c r="M228" i="4"/>
  <c r="M245" i="4"/>
  <c r="M247" i="4"/>
  <c r="M482" i="4"/>
  <c r="M173" i="4"/>
  <c r="M58" i="4"/>
  <c r="M174" i="4"/>
  <c r="M142" i="4"/>
  <c r="M129" i="4"/>
  <c r="M124" i="4"/>
  <c r="M27" i="4"/>
  <c r="D81" i="1"/>
  <c r="D83" i="1"/>
  <c r="M221" i="4"/>
  <c r="M136" i="4"/>
  <c r="M497" i="4"/>
  <c r="M193" i="4"/>
  <c r="M47" i="4"/>
  <c r="M354" i="4"/>
  <c r="M20" i="4"/>
  <c r="M329" i="4"/>
  <c r="M401" i="4"/>
  <c r="M381" i="4"/>
  <c r="M467" i="4"/>
  <c r="M303" i="4"/>
  <c r="M302" i="4"/>
  <c r="M500" i="4"/>
  <c r="M170" i="4"/>
  <c r="M100" i="4"/>
  <c r="M229" i="4"/>
  <c r="M99" i="4"/>
  <c r="M453" i="4"/>
  <c r="M161" i="4"/>
  <c r="M201" i="4"/>
  <c r="M117" i="4"/>
  <c r="M273" i="4"/>
  <c r="M199" i="4"/>
  <c r="M150" i="4"/>
  <c r="M266" i="4"/>
  <c r="M324" i="4"/>
  <c r="M249" i="4"/>
  <c r="M74" i="4"/>
  <c r="M177" i="4"/>
  <c r="M88" i="4"/>
  <c r="M374" i="4"/>
  <c r="M418" i="4"/>
  <c r="M135" i="4"/>
  <c r="M67" i="4"/>
  <c r="M438" i="4"/>
  <c r="M361" i="4"/>
  <c r="M392" i="4"/>
  <c r="M408" i="4"/>
  <c r="M206" i="4"/>
  <c r="M29" i="4"/>
  <c r="M281" i="4"/>
  <c r="M347" i="4"/>
  <c r="M377" i="4"/>
  <c r="M232" i="4"/>
  <c r="M428" i="4"/>
  <c r="M480" i="4"/>
  <c r="M501" i="4"/>
  <c r="M157" i="4"/>
  <c r="M336" i="4"/>
  <c r="M393" i="4"/>
  <c r="M400" i="4"/>
  <c r="M276" i="4"/>
  <c r="M234" i="4"/>
  <c r="M65" i="4"/>
  <c r="M311" i="4"/>
  <c r="M342" i="4"/>
  <c r="M128" i="4"/>
  <c r="M359" i="4"/>
  <c r="M305" i="4"/>
  <c r="M26" i="4"/>
  <c r="M499" i="4"/>
  <c r="M402" i="4"/>
  <c r="M287" i="4"/>
  <c r="M194" i="4"/>
  <c r="M464" i="4"/>
  <c r="M56" i="4"/>
  <c r="M15" i="4"/>
  <c r="M318" i="4"/>
  <c r="M230" i="4"/>
  <c r="M204" i="4"/>
  <c r="M240" i="4"/>
  <c r="M254" i="4"/>
  <c r="M334" i="4"/>
  <c r="M415" i="4"/>
  <c r="M96" i="4"/>
  <c r="M148" i="4"/>
  <c r="M444" i="4"/>
  <c r="M282" i="4"/>
  <c r="M169" i="4"/>
  <c r="M16" i="4"/>
  <c r="M264" i="4"/>
  <c r="M87" i="4"/>
  <c r="M197" i="4"/>
  <c r="M168" i="4"/>
  <c r="M267" i="4"/>
  <c r="M61" i="4"/>
  <c r="M330" i="4"/>
  <c r="M41" i="4"/>
  <c r="M111" i="4"/>
  <c r="M223" i="4"/>
  <c r="M306" i="4"/>
  <c r="M270" i="4"/>
  <c r="M98" i="4"/>
  <c r="M386" i="4"/>
  <c r="M295" i="4"/>
  <c r="M220" i="4"/>
  <c r="M9" i="4"/>
  <c r="M351" i="4"/>
  <c r="M337" i="4"/>
  <c r="M409" i="4"/>
  <c r="M40" i="4"/>
  <c r="M404" i="4"/>
  <c r="M380" i="4"/>
  <c r="M91" i="4"/>
  <c r="M233" i="4"/>
  <c r="M226" i="4"/>
  <c r="M116" i="4"/>
  <c r="M300" i="4"/>
  <c r="M93" i="4"/>
  <c r="M253" i="4"/>
  <c r="M398" i="4"/>
  <c r="M143" i="4"/>
  <c r="M405" i="4"/>
  <c r="M156" i="4"/>
  <c r="M437" i="4"/>
  <c r="M326" i="4"/>
  <c r="M244" i="4"/>
  <c r="M53" i="4"/>
  <c r="M446" i="4"/>
  <c r="M243" i="4"/>
  <c r="M92" i="4"/>
  <c r="M109" i="4"/>
  <c r="M479" i="4"/>
  <c r="M280" i="4"/>
  <c r="M375" i="4"/>
  <c r="M212" i="4"/>
  <c r="M431" i="4"/>
  <c r="M434" i="4"/>
  <c r="M416" i="4"/>
  <c r="M187" i="4"/>
  <c r="M469" i="4"/>
  <c r="M113" i="4"/>
  <c r="M57" i="4"/>
  <c r="M8" i="4"/>
  <c r="M447" i="4"/>
  <c r="M355" i="4"/>
  <c r="M152" i="4"/>
  <c r="M389" i="4"/>
  <c r="M362" i="4"/>
  <c r="M190" i="4"/>
  <c r="M14" i="4"/>
  <c r="M36" i="4"/>
  <c r="M95" i="4"/>
  <c r="M72" i="4"/>
  <c r="M79" i="4"/>
  <c r="M429" i="4"/>
  <c r="M7" i="4"/>
  <c r="M502" i="4"/>
  <c r="M77" i="4"/>
  <c r="M309" i="4"/>
  <c r="M349" i="4"/>
  <c r="M23" i="4"/>
  <c r="M222" i="4"/>
  <c r="M487" i="4"/>
  <c r="M399" i="4"/>
  <c r="M12" i="4"/>
  <c r="M107" i="4"/>
  <c r="D128" i="1"/>
  <c r="D21" i="1"/>
  <c r="D64" i="1"/>
  <c r="D63" i="1"/>
  <c r="D76" i="1"/>
  <c r="D130" i="1"/>
  <c r="F21" i="1"/>
  <c r="E64" i="1"/>
  <c r="E29" i="1"/>
  <c r="D70" i="1"/>
  <c r="D109" i="1"/>
  <c r="D112" i="1"/>
  <c r="F29" i="1"/>
  <c r="D65" i="1"/>
  <c r="D92" i="1"/>
  <c r="D100" i="1"/>
  <c r="F17" i="4"/>
  <c r="D160" i="1"/>
  <c r="D27" i="1"/>
  <c r="C17" i="4"/>
  <c r="D162" i="1"/>
  <c r="D113" i="1"/>
  <c r="S287" i="4"/>
  <c r="S159" i="4"/>
  <c r="S323" i="4"/>
  <c r="S414" i="4"/>
  <c r="S381" i="4"/>
  <c r="S455" i="4"/>
  <c r="S48" i="4"/>
  <c r="S343" i="4"/>
  <c r="S422" i="4"/>
  <c r="S207" i="4"/>
  <c r="S59" i="4"/>
  <c r="S110" i="4"/>
  <c r="S302" i="4"/>
  <c r="S6" i="4"/>
  <c r="S236" i="4"/>
  <c r="S122" i="4"/>
  <c r="S142" i="4"/>
  <c r="S482" i="4"/>
  <c r="S150" i="4"/>
  <c r="S20" i="4"/>
  <c r="S102" i="4"/>
  <c r="S143" i="4"/>
  <c r="S24" i="4"/>
  <c r="S477" i="4"/>
  <c r="S56" i="4"/>
  <c r="S144" i="4"/>
  <c r="S310" i="4"/>
  <c r="S446" i="4"/>
  <c r="S226" i="4"/>
  <c r="S402" i="4"/>
  <c r="S279" i="4"/>
  <c r="S452" i="4"/>
  <c r="S476" i="4"/>
  <c r="S223" i="4"/>
  <c r="S115" i="4"/>
  <c r="S456" i="4"/>
  <c r="S394" i="4"/>
  <c r="S496" i="4"/>
  <c r="S471" i="4"/>
  <c r="S166" i="4"/>
  <c r="S98" i="4"/>
  <c r="S367" i="4"/>
  <c r="S124" i="4"/>
  <c r="S167" i="4"/>
  <c r="S431" i="4"/>
  <c r="S434" i="4"/>
  <c r="S412" i="4"/>
  <c r="S177" i="4"/>
  <c r="S427" i="4"/>
  <c r="S100" i="4"/>
  <c r="S365" i="4"/>
  <c r="S372" i="4"/>
  <c r="S160" i="4"/>
  <c r="S136" i="4"/>
  <c r="S366" i="4"/>
  <c r="S65" i="4"/>
  <c r="S75" i="4"/>
  <c r="S415" i="4"/>
  <c r="S82" i="4"/>
  <c r="S58" i="4"/>
  <c r="S118" i="4"/>
  <c r="S290" i="4"/>
  <c r="AI4" i="4"/>
  <c r="S247" i="4"/>
  <c r="S230" i="4"/>
  <c r="S277" i="4"/>
  <c r="S454" i="4"/>
  <c r="S305" i="4"/>
  <c r="S470" i="4"/>
  <c r="S441" i="4"/>
  <c r="S275" i="4"/>
  <c r="S428" i="4"/>
  <c r="S227" i="4"/>
  <c r="S458" i="4"/>
  <c r="S251" i="4"/>
  <c r="S188" i="4"/>
  <c r="S57" i="4"/>
  <c r="S66" i="4"/>
  <c r="S11" i="4"/>
  <c r="S111" i="4"/>
  <c r="S103" i="4"/>
  <c r="S262" i="4"/>
  <c r="S147" i="4"/>
  <c r="S179" i="4"/>
  <c r="S187" i="4"/>
  <c r="S324" i="4"/>
  <c r="S131" i="4"/>
  <c r="S137" i="4"/>
  <c r="S22" i="4"/>
  <c r="S55" i="4"/>
  <c r="S173" i="4"/>
  <c r="S36" i="4"/>
  <c r="S417" i="4"/>
  <c r="S35" i="4"/>
  <c r="S120" i="4"/>
  <c r="S479" i="4"/>
  <c r="S296" i="4"/>
  <c r="S369" i="4"/>
  <c r="S453" i="4"/>
  <c r="S463" i="4"/>
  <c r="S443" i="4"/>
  <c r="S360" i="4"/>
  <c r="S501" i="4"/>
  <c r="S322" i="4"/>
  <c r="S466" i="4"/>
  <c r="S320" i="4"/>
  <c r="S486" i="4"/>
  <c r="S418" i="4"/>
  <c r="S313" i="4"/>
  <c r="S438" i="4"/>
  <c r="S311" i="4"/>
  <c r="S32" i="4"/>
  <c r="S39" i="4"/>
  <c r="S45" i="4"/>
  <c r="S51" i="4"/>
  <c r="S248" i="4"/>
  <c r="S19" i="4"/>
  <c r="S206" i="4"/>
  <c r="S337" i="4"/>
  <c r="S231" i="4"/>
  <c r="S483" i="4"/>
  <c r="S358" i="4"/>
  <c r="S13" i="4"/>
  <c r="S377" i="4"/>
  <c r="S89" i="4"/>
  <c r="S151" i="4"/>
  <c r="S92" i="4"/>
  <c r="S170" i="4"/>
  <c r="S204" i="4"/>
  <c r="S289" i="4"/>
  <c r="S234" i="4"/>
  <c r="S321" i="4"/>
  <c r="S4" i="4"/>
  <c r="S96" i="4"/>
  <c r="S347" i="4"/>
  <c r="S21" i="4"/>
  <c r="S158" i="4"/>
  <c r="S244" i="4"/>
  <c r="S77" i="4"/>
  <c r="S139" i="4"/>
  <c r="S489" i="4"/>
  <c r="S76" i="4"/>
  <c r="S175" i="4"/>
  <c r="S308" i="4"/>
  <c r="S72" i="4"/>
  <c r="S85" i="4"/>
  <c r="S37" i="4"/>
  <c r="S10" i="4"/>
  <c r="S375" i="4"/>
  <c r="S15" i="4"/>
  <c r="S132" i="4"/>
  <c r="S17" i="4"/>
  <c r="S183" i="4"/>
  <c r="S349" i="4"/>
  <c r="S266" i="4"/>
  <c r="S344" i="4"/>
  <c r="S135" i="4"/>
  <c r="S354" i="4"/>
  <c r="S52" i="4"/>
  <c r="S40" i="4"/>
  <c r="S201" i="4"/>
  <c r="S502" i="4"/>
  <c r="S238" i="4"/>
  <c r="S156" i="4"/>
  <c r="S481" i="4"/>
  <c r="S9" i="4"/>
  <c r="S500" i="4"/>
  <c r="S330" i="4"/>
  <c r="S218" i="4"/>
  <c r="S450" i="4"/>
  <c r="S232" i="4"/>
  <c r="S447" i="4"/>
  <c r="S404" i="4"/>
  <c r="S233" i="4"/>
  <c r="S210" i="4"/>
  <c r="S235" i="4"/>
  <c r="S461" i="4"/>
  <c r="S405" i="4"/>
  <c r="S301" i="4"/>
  <c r="S260" i="4"/>
  <c r="S73" i="4"/>
  <c r="S46" i="4"/>
  <c r="S243" i="4"/>
  <c r="S267" i="4"/>
  <c r="S362" i="4"/>
  <c r="S342" i="4"/>
  <c r="S498" i="4"/>
  <c r="S259" i="4"/>
  <c r="S196" i="4"/>
  <c r="S278" i="4"/>
  <c r="S180" i="4"/>
  <c r="S487" i="4"/>
  <c r="S104" i="4"/>
  <c r="S437" i="4"/>
  <c r="S109" i="4"/>
  <c r="S411" i="4"/>
  <c r="S106" i="4"/>
  <c r="S250" i="4"/>
  <c r="S91" i="4"/>
  <c r="S327" i="4"/>
  <c r="S176" i="4"/>
  <c r="S41" i="4"/>
  <c r="S71" i="4"/>
  <c r="S216" i="4"/>
  <c r="S80" i="4"/>
  <c r="S171" i="4"/>
  <c r="S299" i="4"/>
  <c r="S97" i="4"/>
  <c r="S7" i="4"/>
  <c r="S44" i="4"/>
  <c r="S373" i="4"/>
  <c r="S86" i="4"/>
  <c r="S359" i="4"/>
  <c r="S245" i="4"/>
  <c r="S165" i="4"/>
  <c r="S69" i="4"/>
  <c r="S271" i="4"/>
  <c r="S406" i="4"/>
  <c r="S419" i="4"/>
  <c r="S186" i="4"/>
  <c r="S380" i="4"/>
  <c r="S215" i="4"/>
  <c r="S386" i="4"/>
  <c r="S329" i="4"/>
  <c r="S312" i="4"/>
  <c r="S332" i="4"/>
  <c r="S205" i="4"/>
  <c r="S315" i="4"/>
  <c r="S488" i="4"/>
  <c r="S416" i="4"/>
  <c r="S140" i="4"/>
  <c r="S465" i="4"/>
  <c r="S194" i="4"/>
  <c r="S211" i="4"/>
  <c r="S78" i="4"/>
  <c r="S264" i="4"/>
  <c r="S429" i="4"/>
  <c r="S284" i="4"/>
  <c r="S181" i="4"/>
  <c r="S49" i="4"/>
  <c r="S18" i="4"/>
  <c r="S193" i="4"/>
  <c r="S83" i="4"/>
  <c r="S229" i="4"/>
  <c r="S27" i="4"/>
  <c r="S408" i="4"/>
  <c r="S87" i="4"/>
  <c r="S356" i="4"/>
  <c r="S64" i="4"/>
  <c r="S191" i="4"/>
  <c r="S34" i="4"/>
  <c r="S94" i="4"/>
  <c r="S217" i="4"/>
  <c r="S399" i="4"/>
  <c r="S385" i="4"/>
  <c r="S451" i="4"/>
  <c r="S468" i="4"/>
  <c r="S47" i="4"/>
  <c r="S318" i="4"/>
  <c r="S261" i="4"/>
  <c r="S326" i="4"/>
  <c r="S485" i="4"/>
  <c r="S240" i="4"/>
  <c r="S241" i="4"/>
  <c r="S364" i="4"/>
  <c r="S319" i="4"/>
  <c r="S355" i="4"/>
  <c r="S274" i="4"/>
  <c r="S270" i="4"/>
  <c r="S464" i="4"/>
  <c r="S309" i="4"/>
  <c r="S303" i="4"/>
  <c r="S293" i="4"/>
  <c r="S382" i="4"/>
  <c r="S168" i="4"/>
  <c r="S114" i="4"/>
  <c r="S12" i="4"/>
  <c r="S155" i="4"/>
  <c r="S490" i="4"/>
  <c r="S184" i="4"/>
  <c r="S199" i="4"/>
  <c r="S480" i="4"/>
  <c r="S316" i="4"/>
  <c r="S285" i="4"/>
  <c r="S340" i="4"/>
  <c r="S397" i="4"/>
  <c r="S283" i="4"/>
  <c r="S33" i="4"/>
  <c r="S304" i="4"/>
  <c r="S145" i="4"/>
  <c r="S396" i="4"/>
  <c r="S164" i="4"/>
  <c r="S341" i="4"/>
  <c r="S117" i="4"/>
  <c r="S474" i="4"/>
  <c r="S119" i="4"/>
  <c r="S219" i="4"/>
  <c r="S350" i="4"/>
  <c r="S391" i="4"/>
  <c r="S430" i="4"/>
  <c r="S389" i="4"/>
  <c r="S445" i="4"/>
  <c r="S300" i="4"/>
  <c r="S306" i="4"/>
  <c r="S178" i="4"/>
  <c r="S81" i="4"/>
  <c r="S172" i="4"/>
  <c r="S352" i="4"/>
  <c r="S61" i="4"/>
  <c r="S214" i="4"/>
  <c r="S331" i="4"/>
  <c r="S444" i="4"/>
  <c r="S499" i="4"/>
  <c r="S30" i="4"/>
  <c r="S421" i="4"/>
  <c r="S246" i="4"/>
  <c r="S29" i="4"/>
  <c r="S126" i="4"/>
  <c r="S276" i="4"/>
  <c r="S190" i="4"/>
  <c r="S38" i="4"/>
  <c r="S146" i="4"/>
  <c r="S42" i="4"/>
  <c r="S195" i="4"/>
  <c r="S297" i="4"/>
  <c r="S409" i="4"/>
  <c r="S348" i="4"/>
  <c r="S459" i="4"/>
  <c r="S473" i="4"/>
  <c r="S252" i="4"/>
  <c r="S174" i="4"/>
  <c r="S163" i="4"/>
  <c r="S101" i="4"/>
  <c r="S203" i="4"/>
  <c r="S62" i="4"/>
  <c r="S335" i="4"/>
  <c r="S16" i="4"/>
  <c r="S149" i="4"/>
  <c r="S495" i="4"/>
  <c r="S220" i="4"/>
  <c r="S333" i="4"/>
  <c r="S494" i="4"/>
  <c r="S449" i="4"/>
  <c r="S338" i="4"/>
  <c r="S88" i="4"/>
  <c r="S23" i="4"/>
  <c r="S107" i="4"/>
  <c r="S228" i="4"/>
  <c r="S472" i="4"/>
  <c r="S393" i="4"/>
  <c r="S388" i="4"/>
  <c r="S123" i="4"/>
  <c r="S314" i="4"/>
  <c r="S239" i="4"/>
  <c r="S281" i="4"/>
  <c r="S475" i="4"/>
  <c r="S387" i="4"/>
  <c r="S298" i="4"/>
  <c r="S371" i="4"/>
  <c r="S440" i="4"/>
  <c r="S504" i="4"/>
  <c r="S127" i="4"/>
  <c r="S407" i="4"/>
  <c r="S189" i="4"/>
  <c r="S334" i="4"/>
  <c r="S224" i="4"/>
  <c r="S403" i="4"/>
  <c r="S435" i="4"/>
  <c r="S133" i="4"/>
  <c r="S25" i="4"/>
  <c r="S154" i="4"/>
  <c r="S112" i="4"/>
  <c r="S491" i="4"/>
  <c r="S503" i="4"/>
  <c r="S353" i="4"/>
  <c r="S400" i="4"/>
  <c r="S182" i="4"/>
  <c r="S307" i="4"/>
  <c r="S392" i="4"/>
  <c r="S295" i="4"/>
  <c r="S462" i="4"/>
  <c r="S70" i="4"/>
  <c r="S357" i="4"/>
  <c r="S152" i="4"/>
  <c r="S31" i="4"/>
  <c r="S291" i="4"/>
  <c r="S442" i="4"/>
  <c r="S28" i="4"/>
  <c r="S469" i="4"/>
  <c r="S401" i="4"/>
  <c r="S426" i="4"/>
  <c r="S222" i="4"/>
  <c r="S221" i="4"/>
  <c r="S317" i="4"/>
  <c r="S93" i="4"/>
  <c r="S128" i="4"/>
  <c r="S460" i="4"/>
  <c r="S390" i="4"/>
  <c r="S433" i="4"/>
  <c r="S325" i="4"/>
  <c r="S497" i="4"/>
  <c r="S90" i="4"/>
  <c r="S346" i="4"/>
  <c r="S141" i="4"/>
  <c r="S376" i="4"/>
  <c r="S374" i="4"/>
  <c r="S424" i="4"/>
  <c r="S339" i="4"/>
  <c r="S5" i="4"/>
  <c r="S54" i="4"/>
  <c r="S383" i="4"/>
  <c r="S484" i="4"/>
  <c r="S161" i="4"/>
  <c r="S202" i="4"/>
  <c r="S282" i="4"/>
  <c r="S378" i="4"/>
  <c r="S292" i="4"/>
  <c r="S384" i="4"/>
  <c r="S257" i="4"/>
  <c r="S185" i="4"/>
  <c r="S263" i="4"/>
  <c r="S255" i="4"/>
  <c r="S60" i="4"/>
  <c r="S8" i="4"/>
  <c r="S272" i="4"/>
  <c r="S116" i="4"/>
  <c r="S84" i="4"/>
  <c r="S50" i="4"/>
  <c r="S43" i="4"/>
  <c r="S328" i="4"/>
  <c r="S467" i="4"/>
  <c r="S370" i="4"/>
  <c r="S63" i="4"/>
  <c r="S336" i="4"/>
  <c r="S130" i="4"/>
  <c r="S268" i="4"/>
  <c r="S448" i="4"/>
  <c r="S265" i="4"/>
  <c r="S125" i="4"/>
  <c r="S198" i="4"/>
  <c r="S368" i="4"/>
  <c r="S253" i="4"/>
  <c r="S432" i="4"/>
  <c r="S492" i="4"/>
  <c r="S99" i="4"/>
  <c r="S493" i="4"/>
  <c r="S273" i="4"/>
  <c r="S208" i="4"/>
  <c r="S79" i="4"/>
  <c r="S410" i="4"/>
  <c r="S249" i="4"/>
  <c r="S256" i="4"/>
  <c r="S67" i="4"/>
  <c r="S395" i="4"/>
  <c r="S209" i="4"/>
  <c r="S14" i="4"/>
  <c r="S478" i="4"/>
  <c r="S148" i="4"/>
  <c r="S457" i="4"/>
  <c r="S153" i="4"/>
  <c r="S269" i="4"/>
  <c r="S280" i="4"/>
  <c r="S413" i="4"/>
  <c r="S68" i="4"/>
  <c r="S134" i="4"/>
  <c r="S351" i="4"/>
  <c r="T351" i="4" s="1"/>
  <c r="S169" i="4"/>
  <c r="S138" i="4"/>
  <c r="S361" i="4"/>
  <c r="S379" i="4"/>
  <c r="S212" i="4"/>
  <c r="S345" i="4"/>
  <c r="S294" i="4"/>
  <c r="S436" i="4"/>
  <c r="S420" i="4"/>
  <c r="S254" i="4"/>
  <c r="S108" i="4"/>
  <c r="S157" i="4"/>
  <c r="T157" i="4" s="1"/>
  <c r="S363" i="4"/>
  <c r="S425" i="4"/>
  <c r="S439" i="4"/>
  <c r="S237" i="4"/>
  <c r="S197" i="4"/>
  <c r="S74" i="4"/>
  <c r="S286" i="4"/>
  <c r="S213" i="4"/>
  <c r="S26" i="4"/>
  <c r="S129" i="4"/>
  <c r="S192" i="4"/>
  <c r="S162" i="4"/>
  <c r="T162" i="4" s="1"/>
  <c r="S242" i="4"/>
  <c r="S113" i="4"/>
  <c r="S423" i="4"/>
  <c r="S225" i="4"/>
  <c r="S398" i="4"/>
  <c r="S200" i="4"/>
  <c r="S121" i="4"/>
  <c r="S53" i="4"/>
  <c r="S95" i="4"/>
  <c r="S288" i="4"/>
  <c r="S105" i="4"/>
  <c r="S258" i="4"/>
  <c r="T258" i="4" s="1"/>
  <c r="T14" i="4"/>
  <c r="T195" i="4"/>
  <c r="T69" i="4"/>
  <c r="T487" i="4"/>
  <c r="T330" i="4"/>
  <c r="T308" i="4"/>
  <c r="T456" i="4"/>
  <c r="T242" i="4"/>
  <c r="T363" i="4"/>
  <c r="T169" i="4"/>
  <c r="T209" i="4"/>
  <c r="T432" i="4"/>
  <c r="T467" i="4"/>
  <c r="U467" i="4"/>
  <c r="T257" i="4"/>
  <c r="U257" i="4"/>
  <c r="T424" i="4"/>
  <c r="T93" i="4"/>
  <c r="T357" i="4"/>
  <c r="T154" i="4"/>
  <c r="T371" i="4"/>
  <c r="T107" i="4"/>
  <c r="T62" i="4"/>
  <c r="T42" i="4"/>
  <c r="T331" i="4"/>
  <c r="T391" i="4"/>
  <c r="T283" i="4"/>
  <c r="T168" i="4"/>
  <c r="T240" i="4"/>
  <c r="T34" i="4"/>
  <c r="T181" i="4"/>
  <c r="T205" i="4"/>
  <c r="T165" i="4"/>
  <c r="T71" i="4"/>
  <c r="T180" i="4"/>
  <c r="T301" i="4"/>
  <c r="T500" i="4"/>
  <c r="T266" i="4"/>
  <c r="T175" i="4"/>
  <c r="T234" i="4"/>
  <c r="T337" i="4"/>
  <c r="T486" i="4"/>
  <c r="T120" i="4"/>
  <c r="T147" i="4"/>
  <c r="T275" i="4"/>
  <c r="T82" i="4"/>
  <c r="T412" i="4"/>
  <c r="T115" i="4"/>
  <c r="T24" i="4"/>
  <c r="T59" i="4"/>
  <c r="T112" i="4"/>
  <c r="T49" i="4"/>
  <c r="T177" i="4"/>
  <c r="T395" i="4"/>
  <c r="T253" i="4"/>
  <c r="T328" i="4"/>
  <c r="T384" i="4"/>
  <c r="T374" i="4"/>
  <c r="T317" i="4"/>
  <c r="T70" i="4"/>
  <c r="T25" i="4"/>
  <c r="T298" i="4"/>
  <c r="T23" i="4"/>
  <c r="T203" i="4"/>
  <c r="T146" i="4"/>
  <c r="U146" i="4"/>
  <c r="T214" i="4"/>
  <c r="U214" i="4"/>
  <c r="T350" i="4"/>
  <c r="T397" i="4"/>
  <c r="T382" i="4"/>
  <c r="T485" i="4"/>
  <c r="T191" i="4"/>
  <c r="T284" i="4"/>
  <c r="T332" i="4"/>
  <c r="T245" i="4"/>
  <c r="T41" i="4"/>
  <c r="T278" i="4"/>
  <c r="T405" i="4"/>
  <c r="T9" i="4"/>
  <c r="T349" i="4"/>
  <c r="T76" i="4"/>
  <c r="T289" i="4"/>
  <c r="T206" i="4"/>
  <c r="T320" i="4"/>
  <c r="T35" i="4"/>
  <c r="T262" i="4"/>
  <c r="T441" i="4"/>
  <c r="T415" i="4"/>
  <c r="T434" i="4"/>
  <c r="T223" i="4"/>
  <c r="T143" i="4"/>
  <c r="T207" i="4"/>
  <c r="T370" i="4"/>
  <c r="T33" i="4"/>
  <c r="T110" i="4"/>
  <c r="T105" i="4"/>
  <c r="T192" i="4"/>
  <c r="T108" i="4"/>
  <c r="T134" i="4"/>
  <c r="T67" i="4"/>
  <c r="T368" i="4"/>
  <c r="T43" i="4"/>
  <c r="T292" i="4"/>
  <c r="T376" i="4"/>
  <c r="T221" i="4"/>
  <c r="T462" i="4"/>
  <c r="U462" i="4"/>
  <c r="T133" i="4"/>
  <c r="T387" i="4"/>
  <c r="T88" i="4"/>
  <c r="T101" i="4"/>
  <c r="T38" i="4"/>
  <c r="T61" i="4"/>
  <c r="T219" i="4"/>
  <c r="T340" i="4"/>
  <c r="T293" i="4"/>
  <c r="T326" i="4"/>
  <c r="T64" i="4"/>
  <c r="T429" i="4"/>
  <c r="T312" i="4"/>
  <c r="U312" i="4" s="1"/>
  <c r="W312" i="4" s="1"/>
  <c r="T359" i="4"/>
  <c r="T176" i="4"/>
  <c r="T196" i="4"/>
  <c r="T461" i="4"/>
  <c r="T481" i="4"/>
  <c r="T183" i="4"/>
  <c r="T489" i="4"/>
  <c r="T204" i="4"/>
  <c r="T19" i="4"/>
  <c r="T466" i="4"/>
  <c r="T417" i="4"/>
  <c r="T103" i="4"/>
  <c r="U103" i="4" s="1"/>
  <c r="V103" i="4" s="1"/>
  <c r="T470" i="4"/>
  <c r="T75" i="4"/>
  <c r="T431" i="4"/>
  <c r="T476" i="4"/>
  <c r="T102" i="4"/>
  <c r="T422" i="4"/>
  <c r="T425" i="4"/>
  <c r="T335" i="4"/>
  <c r="T315" i="4"/>
  <c r="T260" i="4"/>
  <c r="T477" i="4"/>
  <c r="T288" i="4"/>
  <c r="T129" i="4"/>
  <c r="T254" i="4"/>
  <c r="T68" i="4"/>
  <c r="T256" i="4"/>
  <c r="T198" i="4"/>
  <c r="T50" i="4"/>
  <c r="T378" i="4"/>
  <c r="T141" i="4"/>
  <c r="T222" i="4"/>
  <c r="U222" i="4" s="1"/>
  <c r="T295" i="4"/>
  <c r="T435" i="4"/>
  <c r="T475" i="4"/>
  <c r="T338" i="4"/>
  <c r="T163" i="4"/>
  <c r="T190" i="4"/>
  <c r="U190" i="4" s="1"/>
  <c r="T352" i="4"/>
  <c r="T119" i="4"/>
  <c r="T285" i="4"/>
  <c r="T303" i="4"/>
  <c r="T261" i="4"/>
  <c r="T356" i="4"/>
  <c r="T264" i="4"/>
  <c r="T329" i="4"/>
  <c r="T86" i="4"/>
  <c r="T327" i="4"/>
  <c r="T259" i="4"/>
  <c r="T235" i="4"/>
  <c r="T156" i="4"/>
  <c r="T17" i="4"/>
  <c r="T139" i="4"/>
  <c r="T170" i="4"/>
  <c r="T248" i="4"/>
  <c r="T322" i="4"/>
  <c r="T36" i="4"/>
  <c r="T111" i="4"/>
  <c r="T305" i="4"/>
  <c r="T65" i="4"/>
  <c r="T167" i="4"/>
  <c r="T452" i="4"/>
  <c r="T20" i="4"/>
  <c r="T343" i="4"/>
  <c r="T339" i="4"/>
  <c r="T114" i="4"/>
  <c r="T321" i="4"/>
  <c r="T95" i="4"/>
  <c r="T26" i="4"/>
  <c r="T420" i="4"/>
  <c r="T413" i="4"/>
  <c r="T249" i="4"/>
  <c r="T125" i="4"/>
  <c r="T84" i="4"/>
  <c r="T282" i="4"/>
  <c r="T346" i="4"/>
  <c r="T426" i="4"/>
  <c r="T392" i="4"/>
  <c r="T403" i="4"/>
  <c r="T281" i="4"/>
  <c r="T449" i="4"/>
  <c r="T174" i="4"/>
  <c r="T276" i="4"/>
  <c r="U276" i="4" s="1"/>
  <c r="T172" i="4"/>
  <c r="T474" i="4"/>
  <c r="T316" i="4"/>
  <c r="T309" i="4"/>
  <c r="T318" i="4"/>
  <c r="T87" i="4"/>
  <c r="T78" i="4"/>
  <c r="T386" i="4"/>
  <c r="T373" i="4"/>
  <c r="T91" i="4"/>
  <c r="T498" i="4"/>
  <c r="T210" i="4"/>
  <c r="T238" i="4"/>
  <c r="T132" i="4"/>
  <c r="T77" i="4"/>
  <c r="T92" i="4"/>
  <c r="T51" i="4"/>
  <c r="T501" i="4"/>
  <c r="T173" i="4"/>
  <c r="T11" i="4"/>
  <c r="T454" i="4"/>
  <c r="T366" i="4"/>
  <c r="T124" i="4"/>
  <c r="T279" i="4"/>
  <c r="T150" i="4"/>
  <c r="T48" i="4"/>
  <c r="T152" i="4"/>
  <c r="T479" i="4"/>
  <c r="T53" i="4"/>
  <c r="T213" i="4"/>
  <c r="T436" i="4"/>
  <c r="T280" i="4"/>
  <c r="T410" i="4"/>
  <c r="T265" i="4"/>
  <c r="T116" i="4"/>
  <c r="T202" i="4"/>
  <c r="T90" i="4"/>
  <c r="T401" i="4"/>
  <c r="T307" i="4"/>
  <c r="T224" i="4"/>
  <c r="T239" i="4"/>
  <c r="T494" i="4"/>
  <c r="T252" i="4"/>
  <c r="T126" i="4"/>
  <c r="T81" i="4"/>
  <c r="T117" i="4"/>
  <c r="T480" i="4"/>
  <c r="T464" i="4"/>
  <c r="T47" i="4"/>
  <c r="T408" i="4"/>
  <c r="T211" i="4"/>
  <c r="T215" i="4"/>
  <c r="T44" i="4"/>
  <c r="T250" i="4"/>
  <c r="T342" i="4"/>
  <c r="T233" i="4"/>
  <c r="T502" i="4"/>
  <c r="U502" i="4" s="1"/>
  <c r="V502" i="4" s="1"/>
  <c r="T15" i="4"/>
  <c r="T244" i="4"/>
  <c r="T151" i="4"/>
  <c r="T45" i="4"/>
  <c r="T360" i="4"/>
  <c r="T55" i="4"/>
  <c r="T66" i="4"/>
  <c r="T277" i="4"/>
  <c r="T136" i="4"/>
  <c r="T367" i="4"/>
  <c r="T402" i="4"/>
  <c r="T482" i="4"/>
  <c r="T455" i="4"/>
  <c r="T138" i="4"/>
  <c r="T228" i="4"/>
  <c r="T241" i="4"/>
  <c r="T216" i="4"/>
  <c r="T344" i="4"/>
  <c r="T231" i="4"/>
  <c r="T121" i="4"/>
  <c r="T286" i="4"/>
  <c r="T294" i="4"/>
  <c r="T269" i="4"/>
  <c r="T79" i="4"/>
  <c r="U79" i="4"/>
  <c r="T448" i="4"/>
  <c r="T272" i="4"/>
  <c r="T161" i="4"/>
  <c r="T497" i="4"/>
  <c r="T469" i="4"/>
  <c r="U469" i="4"/>
  <c r="T182" i="4"/>
  <c r="T334" i="4"/>
  <c r="T314" i="4"/>
  <c r="T333" i="4"/>
  <c r="T473" i="4"/>
  <c r="T29" i="4"/>
  <c r="T178" i="4"/>
  <c r="U178" i="4"/>
  <c r="T341" i="4"/>
  <c r="T199" i="4"/>
  <c r="T270" i="4"/>
  <c r="T468" i="4"/>
  <c r="T27" i="4"/>
  <c r="T194" i="4"/>
  <c r="T380" i="4"/>
  <c r="T7" i="4"/>
  <c r="T106" i="4"/>
  <c r="T362" i="4"/>
  <c r="T404" i="4"/>
  <c r="T201" i="4"/>
  <c r="T375" i="4"/>
  <c r="T158" i="4"/>
  <c r="T89" i="4"/>
  <c r="T39" i="4"/>
  <c r="T443" i="4"/>
  <c r="T22" i="4"/>
  <c r="T57" i="4"/>
  <c r="U57" i="4" s="1"/>
  <c r="T230" i="4"/>
  <c r="T160" i="4"/>
  <c r="T98" i="4"/>
  <c r="T226" i="4"/>
  <c r="T142" i="4"/>
  <c r="T381" i="4"/>
  <c r="T128" i="4"/>
  <c r="T179" i="4"/>
  <c r="T200" i="4"/>
  <c r="T74" i="4"/>
  <c r="T345" i="4"/>
  <c r="T153" i="4"/>
  <c r="T208" i="4"/>
  <c r="T268" i="4"/>
  <c r="T8" i="4"/>
  <c r="T484" i="4"/>
  <c r="T325" i="4"/>
  <c r="T28" i="4"/>
  <c r="T400" i="4"/>
  <c r="T189" i="4"/>
  <c r="T123" i="4"/>
  <c r="T220" i="4"/>
  <c r="T459" i="4"/>
  <c r="T246" i="4"/>
  <c r="T306" i="4"/>
  <c r="T164" i="4"/>
  <c r="T184" i="4"/>
  <c r="T274" i="4"/>
  <c r="T451" i="4"/>
  <c r="T229" i="4"/>
  <c r="T465" i="4"/>
  <c r="U465" i="4"/>
  <c r="V465" i="4" s="1"/>
  <c r="T186" i="4"/>
  <c r="U186" i="4" s="1"/>
  <c r="T97" i="4"/>
  <c r="T411" i="4"/>
  <c r="T267" i="4"/>
  <c r="T447" i="4"/>
  <c r="T40" i="4"/>
  <c r="T10" i="4"/>
  <c r="T21" i="4"/>
  <c r="T377" i="4"/>
  <c r="T32" i="4"/>
  <c r="T463" i="4"/>
  <c r="T137" i="4"/>
  <c r="T188" i="4"/>
  <c r="T247" i="4"/>
  <c r="T372" i="4"/>
  <c r="T166" i="4"/>
  <c r="T446" i="4"/>
  <c r="T122" i="4"/>
  <c r="T414" i="4"/>
  <c r="T185" i="4"/>
  <c r="T430" i="4"/>
  <c r="T418" i="4"/>
  <c r="T398" i="4"/>
  <c r="U398" i="4" s="1"/>
  <c r="T197" i="4"/>
  <c r="T212" i="4"/>
  <c r="T457" i="4"/>
  <c r="T273" i="4"/>
  <c r="T130" i="4"/>
  <c r="U130" i="4" s="1"/>
  <c r="T60" i="4"/>
  <c r="T383" i="4"/>
  <c r="T433" i="4"/>
  <c r="T442" i="4"/>
  <c r="U442" i="4"/>
  <c r="W442" i="4" s="1"/>
  <c r="T353" i="4"/>
  <c r="T407" i="4"/>
  <c r="T388" i="4"/>
  <c r="T495" i="4"/>
  <c r="T348" i="4"/>
  <c r="T421" i="4"/>
  <c r="T300" i="4"/>
  <c r="T396" i="4"/>
  <c r="T490" i="4"/>
  <c r="T355" i="4"/>
  <c r="T385" i="4"/>
  <c r="T83" i="4"/>
  <c r="T140" i="4"/>
  <c r="T419" i="4"/>
  <c r="T299" i="4"/>
  <c r="T109" i="4"/>
  <c r="T243" i="4"/>
  <c r="T232" i="4"/>
  <c r="T52" i="4"/>
  <c r="T37" i="4"/>
  <c r="T347" i="4"/>
  <c r="T13" i="4"/>
  <c r="T311" i="4"/>
  <c r="T453" i="4"/>
  <c r="T131" i="4"/>
  <c r="T251" i="4"/>
  <c r="T365" i="4"/>
  <c r="T471" i="4"/>
  <c r="T310" i="4"/>
  <c r="T236" i="4"/>
  <c r="T323" i="4"/>
  <c r="T492" i="4"/>
  <c r="T444" i="4"/>
  <c r="T428" i="4"/>
  <c r="T225" i="4"/>
  <c r="T237" i="4"/>
  <c r="T379" i="4"/>
  <c r="T148" i="4"/>
  <c r="T493" i="4"/>
  <c r="T336" i="4"/>
  <c r="T255" i="4"/>
  <c r="T54" i="4"/>
  <c r="T390" i="4"/>
  <c r="T291" i="4"/>
  <c r="T503" i="4"/>
  <c r="T127" i="4"/>
  <c r="T393" i="4"/>
  <c r="T149" i="4"/>
  <c r="T409" i="4"/>
  <c r="T30" i="4"/>
  <c r="T445" i="4"/>
  <c r="T145" i="4"/>
  <c r="T155" i="4"/>
  <c r="T319" i="4"/>
  <c r="U319" i="4" s="1"/>
  <c r="W319" i="4" s="1"/>
  <c r="T399" i="4"/>
  <c r="T193" i="4"/>
  <c r="T416" i="4"/>
  <c r="U416" i="4" s="1"/>
  <c r="W416" i="4" s="1"/>
  <c r="T406" i="4"/>
  <c r="Y406" i="4" s="1"/>
  <c r="T171" i="4"/>
  <c r="T437" i="4"/>
  <c r="T46" i="4"/>
  <c r="T450" i="4"/>
  <c r="T354" i="4"/>
  <c r="T85" i="4"/>
  <c r="T96" i="4"/>
  <c r="T358" i="4"/>
  <c r="T438" i="4"/>
  <c r="T369" i="4"/>
  <c r="T324" i="4"/>
  <c r="T458" i="4"/>
  <c r="T290" i="4"/>
  <c r="T100" i="4"/>
  <c r="T496" i="4"/>
  <c r="T144" i="4"/>
  <c r="T6" i="4"/>
  <c r="T159" i="4"/>
  <c r="T113" i="4"/>
  <c r="T440" i="4"/>
  <c r="T94" i="4"/>
  <c r="T58" i="4"/>
  <c r="T423" i="4"/>
  <c r="T439" i="4"/>
  <c r="T361" i="4"/>
  <c r="T478" i="4"/>
  <c r="T99" i="4"/>
  <c r="U99" i="4"/>
  <c r="T63" i="4"/>
  <c r="T263" i="4"/>
  <c r="T5" i="4"/>
  <c r="T460" i="4"/>
  <c r="T31" i="4"/>
  <c r="U31" i="4" s="1"/>
  <c r="W31" i="4" s="1"/>
  <c r="T491" i="4"/>
  <c r="T504" i="4"/>
  <c r="T472" i="4"/>
  <c r="T16" i="4"/>
  <c r="T297" i="4"/>
  <c r="T499" i="4"/>
  <c r="T389" i="4"/>
  <c r="T304" i="4"/>
  <c r="T12" i="4"/>
  <c r="T364" i="4"/>
  <c r="T217" i="4"/>
  <c r="T18" i="4"/>
  <c r="T488" i="4"/>
  <c r="T271" i="4"/>
  <c r="T80" i="4"/>
  <c r="T104" i="4"/>
  <c r="T73" i="4"/>
  <c r="T218" i="4"/>
  <c r="T135" i="4"/>
  <c r="Y135" i="4" s="1"/>
  <c r="T72" i="4"/>
  <c r="T4" i="4"/>
  <c r="T483" i="4"/>
  <c r="T313" i="4"/>
  <c r="T296" i="4"/>
  <c r="U296" i="4" s="1"/>
  <c r="W296" i="4" s="1"/>
  <c r="T187" i="4"/>
  <c r="T227" i="4"/>
  <c r="T118" i="4"/>
  <c r="T427" i="4"/>
  <c r="T394" i="4"/>
  <c r="T56" i="4"/>
  <c r="T302" i="4"/>
  <c r="T287" i="4"/>
  <c r="Y276" i="4"/>
  <c r="Y433" i="4"/>
  <c r="Y465" i="4"/>
  <c r="Y257" i="4"/>
  <c r="Y467" i="4"/>
  <c r="Y462" i="4"/>
  <c r="Y186" i="4"/>
  <c r="Y103" i="4"/>
  <c r="W462" i="4"/>
  <c r="V462" i="4"/>
  <c r="Y416" i="4"/>
  <c r="Y398" i="4"/>
  <c r="Y57" i="4"/>
  <c r="Y130" i="4"/>
  <c r="Y178" i="4"/>
  <c r="Y79" i="4"/>
  <c r="Y502" i="4"/>
  <c r="Y190" i="4"/>
  <c r="Y222" i="4"/>
  <c r="V178" i="4"/>
  <c r="W178" i="4"/>
  <c r="V79" i="4"/>
  <c r="W79" i="4"/>
  <c r="Y99" i="4"/>
  <c r="Y469" i="4"/>
  <c r="Y9" i="4"/>
  <c r="Y214" i="4"/>
  <c r="W257" i="4"/>
  <c r="V257" i="4"/>
  <c r="V214" i="4"/>
  <c r="W214" i="4"/>
  <c r="V99" i="4"/>
  <c r="W99" i="4"/>
  <c r="W469" i="4"/>
  <c r="V469" i="4"/>
  <c r="Y296" i="4"/>
  <c r="Y31" i="4"/>
  <c r="Y319" i="4"/>
  <c r="Y146" i="4"/>
  <c r="W146" i="4"/>
  <c r="V146" i="4"/>
  <c r="V467" i="4"/>
  <c r="W467" i="4"/>
  <c r="W276" i="4" l="1"/>
  <c r="V276" i="4"/>
  <c r="W222" i="4"/>
  <c r="V222" i="4"/>
  <c r="V57" i="4"/>
  <c r="W57" i="4"/>
  <c r="W186" i="4"/>
  <c r="V186" i="4"/>
  <c r="V130" i="4"/>
  <c r="W130" i="4"/>
  <c r="W190" i="4"/>
  <c r="V190" i="4"/>
  <c r="W398" i="4"/>
  <c r="V398" i="4"/>
  <c r="U135" i="4"/>
  <c r="Y442" i="4"/>
  <c r="Y20" i="4"/>
  <c r="U123" i="4"/>
  <c r="U484" i="4"/>
  <c r="W484" i="4" s="1"/>
  <c r="U67" i="4"/>
  <c r="U284" i="4"/>
  <c r="W284" i="4" s="1"/>
  <c r="Y312" i="4"/>
  <c r="U9" i="4"/>
  <c r="U433" i="4"/>
  <c r="U406" i="4"/>
  <c r="W67" i="4"/>
  <c r="V67" i="4"/>
  <c r="V284" i="4"/>
  <c r="V123" i="4"/>
  <c r="W123" i="4"/>
  <c r="Y123" i="4"/>
  <c r="V442" i="4"/>
  <c r="Y284" i="4"/>
  <c r="V312" i="4"/>
  <c r="Y67" i="4"/>
  <c r="V319" i="4"/>
  <c r="Y484" i="4"/>
  <c r="W502" i="4"/>
  <c r="W103" i="4"/>
  <c r="U20" i="4"/>
  <c r="V416" i="4"/>
  <c r="V296" i="4"/>
  <c r="V31" i="4"/>
  <c r="W465" i="4"/>
  <c r="U279" i="4"/>
  <c r="Y279" i="4"/>
  <c r="Y14" i="4"/>
  <c r="U14" i="4"/>
  <c r="R172" i="4"/>
  <c r="R236" i="4"/>
  <c r="R15" i="4"/>
  <c r="R94" i="4"/>
  <c r="R138" i="4"/>
  <c r="R50" i="4"/>
  <c r="R227" i="4"/>
  <c r="R176" i="4"/>
  <c r="R306" i="4"/>
  <c r="R307" i="4"/>
  <c r="R479" i="4"/>
  <c r="R239" i="4"/>
  <c r="R368" i="4"/>
  <c r="R86" i="4"/>
  <c r="R151" i="4"/>
  <c r="R393" i="4"/>
  <c r="R238" i="4"/>
  <c r="R235" i="4"/>
  <c r="R125" i="4"/>
  <c r="R411" i="4"/>
  <c r="R231" i="4"/>
  <c r="R256" i="4"/>
  <c r="R221" i="4"/>
  <c r="R386" i="4"/>
  <c r="R60" i="4"/>
  <c r="R80" i="4"/>
  <c r="R494" i="4"/>
  <c r="R277" i="4"/>
  <c r="R258" i="4"/>
  <c r="R51" i="4"/>
  <c r="R89" i="4"/>
  <c r="R233" i="4"/>
  <c r="R347" i="4"/>
  <c r="R253" i="4"/>
  <c r="R309" i="4"/>
  <c r="R311" i="4"/>
  <c r="R223" i="4"/>
  <c r="R145" i="4"/>
  <c r="R420" i="4"/>
  <c r="R108" i="4"/>
  <c r="R384" i="4"/>
  <c r="R446" i="4"/>
  <c r="R129" i="4"/>
  <c r="R127" i="4"/>
  <c r="R308" i="4"/>
  <c r="R177" i="4"/>
  <c r="R182" i="4"/>
  <c r="R260" i="4"/>
  <c r="R489" i="4"/>
  <c r="R346" i="4"/>
  <c r="R19" i="4"/>
  <c r="R207" i="4"/>
  <c r="R113" i="4"/>
  <c r="R301" i="4"/>
  <c r="R441" i="4"/>
  <c r="R30" i="4"/>
  <c r="R141" i="4"/>
  <c r="R337" i="4"/>
  <c r="R272" i="4"/>
  <c r="R374" i="4"/>
  <c r="R289" i="4"/>
  <c r="R310" i="4"/>
  <c r="R237" i="4"/>
  <c r="R456" i="4"/>
  <c r="R84" i="4"/>
  <c r="R112" i="4"/>
  <c r="R77" i="4"/>
  <c r="R328" i="4"/>
  <c r="R181" i="4"/>
  <c r="R189" i="4"/>
  <c r="R367" i="4"/>
  <c r="R444" i="4"/>
  <c r="R300" i="4"/>
  <c r="R37" i="4"/>
  <c r="R332" i="4"/>
  <c r="R211" i="4"/>
  <c r="R199" i="4"/>
  <c r="R259" i="4"/>
  <c r="R387" i="4"/>
  <c r="R448" i="4"/>
  <c r="R64" i="4"/>
  <c r="R385" i="4"/>
  <c r="R143" i="4"/>
  <c r="R109" i="4"/>
  <c r="R490" i="4"/>
  <c r="R115" i="4"/>
  <c r="R476" i="4"/>
  <c r="R76" i="4"/>
  <c r="R355" i="4"/>
  <c r="R134" i="4"/>
  <c r="R395" i="4"/>
  <c r="R271" i="4"/>
  <c r="R74" i="4"/>
  <c r="R34" i="4"/>
  <c r="R91" i="4"/>
  <c r="R443" i="4"/>
  <c r="R477" i="4"/>
  <c r="R499" i="4"/>
  <c r="R21" i="4"/>
  <c r="R97" i="4"/>
  <c r="R350" i="4"/>
  <c r="R503" i="4"/>
  <c r="R366" i="4"/>
  <c r="R370" i="4"/>
  <c r="F31" i="4"/>
  <c r="R156" i="4"/>
  <c r="R154" i="4"/>
  <c r="R52" i="4"/>
  <c r="R144" i="4"/>
  <c r="R93" i="4"/>
  <c r="R478" i="4"/>
  <c r="R379" i="4"/>
  <c r="R359" i="4"/>
  <c r="R458" i="4"/>
  <c r="R438" i="4"/>
  <c r="R269" i="4"/>
  <c r="R460" i="4"/>
  <c r="R240" i="4"/>
  <c r="R48" i="4"/>
  <c r="R191" i="4"/>
  <c r="R251" i="4"/>
  <c r="R266" i="4"/>
  <c r="R304" i="4"/>
  <c r="R409" i="4"/>
  <c r="R407" i="4"/>
  <c r="R81" i="4"/>
  <c r="R62" i="4"/>
  <c r="R282" i="4"/>
  <c r="R475" i="4"/>
  <c r="R397" i="4"/>
  <c r="R55" i="4"/>
  <c r="R352" i="4"/>
  <c r="R247" i="4"/>
  <c r="R450" i="4"/>
  <c r="R17" i="4"/>
  <c r="R302" i="4"/>
  <c r="R116" i="4"/>
  <c r="R316" i="4"/>
  <c r="R201" i="4"/>
  <c r="R330" i="4"/>
  <c r="R392" i="4"/>
  <c r="R356" i="4"/>
  <c r="R139" i="4"/>
  <c r="R363" i="4"/>
  <c r="R200" i="4"/>
  <c r="R318" i="4"/>
  <c r="R375" i="4"/>
  <c r="R380" i="4"/>
  <c r="R262" i="4"/>
  <c r="R313" i="4"/>
  <c r="R452" i="4"/>
  <c r="R294" i="4"/>
  <c r="R252" i="4"/>
  <c r="R168" i="4"/>
  <c r="R13" i="4"/>
  <c r="R209" i="4"/>
  <c r="R429" i="4"/>
  <c r="R447" i="4"/>
  <c r="R504" i="4"/>
  <c r="R381" i="4"/>
  <c r="R261" i="4"/>
  <c r="R273" i="4"/>
  <c r="R229" i="4"/>
  <c r="R396" i="4"/>
  <c r="R405" i="4"/>
  <c r="R339" i="4"/>
  <c r="R210" i="4"/>
  <c r="R12" i="4"/>
  <c r="R428" i="4"/>
  <c r="R474" i="4"/>
  <c r="R43" i="4"/>
  <c r="R344" i="4"/>
  <c r="R104" i="4"/>
  <c r="R404" i="4"/>
  <c r="R29" i="4"/>
  <c r="R82" i="4"/>
  <c r="R180" i="4"/>
  <c r="R487" i="4"/>
  <c r="R179" i="4"/>
  <c r="R383" i="4"/>
  <c r="R25" i="4"/>
  <c r="R183" i="4"/>
  <c r="R354" i="4"/>
  <c r="R120" i="4"/>
  <c r="R249" i="4"/>
  <c r="R388" i="4"/>
  <c r="R353" i="4"/>
  <c r="R333" i="4"/>
  <c r="R345" i="4"/>
  <c r="R132" i="4"/>
  <c r="R198" i="4"/>
  <c r="R391" i="4"/>
  <c r="R49" i="4"/>
  <c r="R27" i="4"/>
  <c r="R216" i="4"/>
  <c r="R297" i="4"/>
  <c r="R334" i="4"/>
  <c r="R268" i="4"/>
  <c r="R7" i="4"/>
  <c r="R137" i="4"/>
  <c r="R215" i="4"/>
  <c r="R83" i="4"/>
  <c r="R263" i="4"/>
  <c r="R372" i="4"/>
  <c r="R35" i="4"/>
  <c r="R248" i="4"/>
  <c r="R98" i="4"/>
  <c r="R483" i="4"/>
  <c r="R343" i="4"/>
  <c r="R206" i="4"/>
  <c r="R5" i="4"/>
  <c r="R149" i="4"/>
  <c r="R205" i="4"/>
  <c r="R340" i="4"/>
  <c r="R219" i="4"/>
  <c r="R196" i="4"/>
  <c r="R166" i="4"/>
  <c r="R220" i="4"/>
  <c r="R66" i="4"/>
  <c r="R185" i="4"/>
  <c r="R338" i="4"/>
  <c r="R142" i="4"/>
  <c r="R361" i="4"/>
  <c r="R26" i="4"/>
  <c r="R324" i="4"/>
  <c r="R449" i="4"/>
  <c r="R472" i="4"/>
  <c r="R382" i="4"/>
  <c r="R298" i="4"/>
  <c r="R286" i="4"/>
  <c r="R430" i="4"/>
  <c r="R422" i="4"/>
  <c r="R427" i="4"/>
  <c r="R133" i="4"/>
  <c r="R87" i="4"/>
  <c r="R39" i="4"/>
  <c r="R401" i="4"/>
  <c r="R72" i="4"/>
  <c r="R371" i="4"/>
  <c r="R290" i="4"/>
  <c r="R217" i="4"/>
  <c r="R292" i="4"/>
  <c r="R212" i="4"/>
  <c r="R202" i="4"/>
  <c r="R38" i="4"/>
  <c r="R163" i="4"/>
  <c r="R8" i="4"/>
  <c r="R33" i="4"/>
  <c r="R488" i="4"/>
  <c r="R329" i="4"/>
  <c r="R305" i="4"/>
  <c r="R4" i="4"/>
  <c r="R63" i="4"/>
  <c r="R161" i="4"/>
  <c r="R197" i="4"/>
  <c r="R22" i="4"/>
  <c r="R250" i="4"/>
  <c r="R455" i="4"/>
  <c r="R36" i="4"/>
  <c r="R170" i="4"/>
  <c r="R417" i="4"/>
  <c r="R140" i="4"/>
  <c r="R110" i="4"/>
  <c r="R495" i="4"/>
  <c r="R451" i="4"/>
  <c r="R357" i="4"/>
  <c r="R44" i="4"/>
  <c r="R377" i="4"/>
  <c r="R410" i="4"/>
  <c r="R121" i="4"/>
  <c r="R188" i="4"/>
  <c r="R117" i="4"/>
  <c r="R241" i="4"/>
  <c r="R470" i="4"/>
  <c r="R293" i="4"/>
  <c r="R390" i="4"/>
  <c r="R501" i="4"/>
  <c r="R323" i="4"/>
  <c r="R128" i="4"/>
  <c r="R418" i="4"/>
  <c r="R480" i="4"/>
  <c r="R184" i="4"/>
  <c r="R394" i="4"/>
  <c r="R153" i="4"/>
  <c r="R402" i="4"/>
  <c r="R10" i="4"/>
  <c r="R468" i="4"/>
  <c r="R400" i="4"/>
  <c r="R152" i="4"/>
  <c r="R439" i="4"/>
  <c r="R157" i="4"/>
  <c r="R459" i="4"/>
  <c r="R351" i="4"/>
  <c r="R369" i="4"/>
  <c r="R47" i="4"/>
  <c r="R192" i="4"/>
  <c r="R245" i="4"/>
  <c r="R226" i="4"/>
  <c r="R436" i="4"/>
  <c r="R28" i="4"/>
  <c r="R270" i="4"/>
  <c r="R150" i="4"/>
  <c r="R147" i="4"/>
  <c r="R303" i="4"/>
  <c r="R164" i="4"/>
  <c r="R102" i="4"/>
  <c r="R16" i="4"/>
  <c r="R69" i="4"/>
  <c r="R336" i="4"/>
  <c r="R264" i="4"/>
  <c r="R208" i="4"/>
  <c r="R325" i="4"/>
  <c r="R59" i="4"/>
  <c r="R85" i="4"/>
  <c r="R244" i="4"/>
  <c r="R42" i="4"/>
  <c r="R78" i="4"/>
  <c r="R486" i="4"/>
  <c r="R349" i="4"/>
  <c r="R314" i="4"/>
  <c r="R278" i="4"/>
  <c r="R287" i="4"/>
  <c r="R246" i="4"/>
  <c r="R412" i="4"/>
  <c r="R360" i="4"/>
  <c r="R493" i="4"/>
  <c r="R11" i="4"/>
  <c r="R162" i="4"/>
  <c r="R159" i="4"/>
  <c r="R187" i="4"/>
  <c r="R106" i="4"/>
  <c r="R453" i="4"/>
  <c r="R111" i="4"/>
  <c r="R267" i="4"/>
  <c r="R92" i="4"/>
  <c r="R482" i="4"/>
  <c r="R148" i="4"/>
  <c r="R90" i="4"/>
  <c r="R195" i="4"/>
  <c r="R243" i="4"/>
  <c r="R45" i="4"/>
  <c r="R175" i="4"/>
  <c r="R321" i="4"/>
  <c r="R230" i="4"/>
  <c r="R299" i="4"/>
  <c r="R169" i="4"/>
  <c r="R365" i="4"/>
  <c r="R61" i="4"/>
  <c r="R194" i="4"/>
  <c r="R118" i="4"/>
  <c r="R320" i="4"/>
  <c r="R389" i="4"/>
  <c r="R124" i="4"/>
  <c r="R75" i="4"/>
  <c r="R171" i="4"/>
  <c r="R46" i="4"/>
  <c r="R426" i="4"/>
  <c r="R327" i="4"/>
  <c r="R70" i="4"/>
  <c r="R95" i="4"/>
  <c r="R73" i="4"/>
  <c r="R228" i="4"/>
  <c r="R331" i="4"/>
  <c r="R285" i="4"/>
  <c r="R358" i="4"/>
  <c r="R68" i="4"/>
  <c r="R423" i="4"/>
  <c r="R454" i="4"/>
  <c r="R473" i="4"/>
  <c r="R461" i="4"/>
  <c r="R348" i="4"/>
  <c r="R421" i="4"/>
  <c r="R275" i="4"/>
  <c r="R280" i="4"/>
  <c r="R234" i="4"/>
  <c r="R174" i="4"/>
  <c r="R414" i="4"/>
  <c r="R463" i="4"/>
  <c r="R432" i="4"/>
  <c r="R203" i="4"/>
  <c r="R274" i="4"/>
  <c r="R326" i="4"/>
  <c r="R213" i="4"/>
  <c r="R24" i="4"/>
  <c r="R342" i="4"/>
  <c r="R126" i="4"/>
  <c r="R155" i="4"/>
  <c r="R173" i="4"/>
  <c r="R315" i="4"/>
  <c r="R399" i="4"/>
  <c r="R291" i="4"/>
  <c r="R492" i="4"/>
  <c r="R96" i="4"/>
  <c r="R335" i="4"/>
  <c r="R424" i="4"/>
  <c r="R408" i="4"/>
  <c r="R445" i="4"/>
  <c r="R317" i="4"/>
  <c r="R464" i="4"/>
  <c r="R498" i="4"/>
  <c r="R413" i="4"/>
  <c r="R434" i="4"/>
  <c r="R122" i="4"/>
  <c r="R131" i="4"/>
  <c r="R364" i="4"/>
  <c r="R165" i="4"/>
  <c r="R224" i="4"/>
  <c r="R265" i="4"/>
  <c r="R40" i="4"/>
  <c r="R281" i="4"/>
  <c r="R288" i="4"/>
  <c r="R204" i="4"/>
  <c r="R88" i="4"/>
  <c r="R373" i="4"/>
  <c r="R419" i="4"/>
  <c r="R58" i="4"/>
  <c r="R53" i="4"/>
  <c r="R378" i="4"/>
  <c r="R114" i="4"/>
  <c r="R160" i="4"/>
  <c r="R255" i="4"/>
  <c r="R362" i="4"/>
  <c r="R437" i="4"/>
  <c r="R481" i="4"/>
  <c r="R107" i="4"/>
  <c r="R71" i="4"/>
  <c r="R403" i="4"/>
  <c r="R497" i="4"/>
  <c r="R119" i="4"/>
  <c r="R100" i="4"/>
  <c r="R225" i="4"/>
  <c r="R376" i="4"/>
  <c r="R232" i="4"/>
  <c r="R485" i="4"/>
  <c r="R500" i="4"/>
  <c r="R23" i="4"/>
  <c r="R41" i="4"/>
  <c r="R136" i="4"/>
  <c r="R101" i="4"/>
  <c r="R283" i="4"/>
  <c r="R218" i="4"/>
  <c r="R54" i="4"/>
  <c r="R471" i="4"/>
  <c r="R56" i="4"/>
  <c r="R341" i="4"/>
  <c r="R431" i="4"/>
  <c r="R254" i="4"/>
  <c r="R65" i="4"/>
  <c r="R32" i="4"/>
  <c r="R295" i="4"/>
  <c r="R457" i="4"/>
  <c r="R435" i="4"/>
  <c r="R425" i="4"/>
  <c r="R415" i="4"/>
  <c r="R193" i="4"/>
  <c r="R466" i="4"/>
  <c r="R6" i="4"/>
  <c r="R105" i="4"/>
  <c r="R440" i="4"/>
  <c r="R242" i="4"/>
  <c r="R167" i="4"/>
  <c r="R491" i="4"/>
  <c r="R18" i="4"/>
  <c r="R496" i="4"/>
  <c r="R158" i="4"/>
  <c r="R322" i="4"/>
  <c r="D38" i="1"/>
  <c r="C8" i="4"/>
  <c r="D170" i="1"/>
  <c r="E170" i="1" s="1"/>
  <c r="F8" i="4"/>
  <c r="D147" i="1"/>
  <c r="E147" i="1" s="1"/>
  <c r="D148" i="1" s="1"/>
  <c r="D34" i="1" s="1"/>
  <c r="D33" i="1"/>
  <c r="W9" i="4" l="1"/>
  <c r="V9" i="4"/>
  <c r="V433" i="4"/>
  <c r="W433" i="4"/>
  <c r="V484" i="4"/>
  <c r="W135" i="4"/>
  <c r="V135" i="4"/>
  <c r="W406" i="4"/>
  <c r="V406" i="4"/>
  <c r="W20" i="4"/>
  <c r="V20" i="4"/>
  <c r="U18" i="4"/>
  <c r="Y18" i="4"/>
  <c r="U423" i="4"/>
  <c r="Y423" i="4"/>
  <c r="U8" i="4"/>
  <c r="Y8" i="4"/>
  <c r="U89" i="4"/>
  <c r="Y89" i="4"/>
  <c r="U373" i="4"/>
  <c r="Y373" i="4"/>
  <c r="U369" i="4"/>
  <c r="Y369" i="4"/>
  <c r="Y471" i="4"/>
  <c r="U471" i="4"/>
  <c r="U424" i="4"/>
  <c r="Y424" i="4"/>
  <c r="U322" i="4"/>
  <c r="Y322" i="4"/>
  <c r="U100" i="4"/>
  <c r="Y100" i="4"/>
  <c r="U335" i="4"/>
  <c r="Y335" i="4"/>
  <c r="U327" i="4"/>
  <c r="Y327" i="4"/>
  <c r="U425" i="4"/>
  <c r="Y425" i="4"/>
  <c r="U496" i="4"/>
  <c r="Y496" i="4"/>
  <c r="Y435" i="4"/>
  <c r="U435" i="4"/>
  <c r="U283" i="4"/>
  <c r="Y283" i="4"/>
  <c r="U497" i="4"/>
  <c r="Y497" i="4"/>
  <c r="U58" i="4"/>
  <c r="Y58" i="4"/>
  <c r="U131" i="4"/>
  <c r="Y131" i="4"/>
  <c r="U492" i="4"/>
  <c r="Y492" i="4"/>
  <c r="Y203" i="4"/>
  <c r="U203" i="4"/>
  <c r="U454" i="4"/>
  <c r="Y454" i="4"/>
  <c r="U46" i="4"/>
  <c r="Y46" i="4"/>
  <c r="U230" i="4"/>
  <c r="Y230" i="4"/>
  <c r="U453" i="4"/>
  <c r="Y453" i="4"/>
  <c r="U314" i="4"/>
  <c r="Y314" i="4"/>
  <c r="U69" i="4"/>
  <c r="Y69" i="4"/>
  <c r="U192" i="4"/>
  <c r="Y192" i="4"/>
  <c r="Y153" i="4"/>
  <c r="U153" i="4"/>
  <c r="U117" i="4"/>
  <c r="Y117" i="4"/>
  <c r="U170" i="4"/>
  <c r="Y170" i="4"/>
  <c r="U33" i="4"/>
  <c r="Y33" i="4"/>
  <c r="U39" i="4"/>
  <c r="Y39" i="4"/>
  <c r="U26" i="4"/>
  <c r="Y26" i="4"/>
  <c r="U149" i="4"/>
  <c r="Y149" i="4"/>
  <c r="Y137" i="4"/>
  <c r="U137" i="4"/>
  <c r="U333" i="4"/>
  <c r="Y333" i="4"/>
  <c r="U82" i="4"/>
  <c r="Y82" i="4"/>
  <c r="U396" i="4"/>
  <c r="Y396" i="4"/>
  <c r="U294" i="4"/>
  <c r="Y294" i="4"/>
  <c r="Y330" i="4"/>
  <c r="U330" i="4"/>
  <c r="U282" i="4"/>
  <c r="Y282" i="4"/>
  <c r="U269" i="4"/>
  <c r="Y269" i="4"/>
  <c r="U370" i="4"/>
  <c r="Y370" i="4"/>
  <c r="U271" i="4"/>
  <c r="Y271" i="4"/>
  <c r="U448" i="4"/>
  <c r="Y448" i="4"/>
  <c r="U328" i="4"/>
  <c r="Y328" i="4"/>
  <c r="U30" i="4"/>
  <c r="Y30" i="4"/>
  <c r="U127" i="4"/>
  <c r="Y127" i="4"/>
  <c r="U233" i="4"/>
  <c r="Y233" i="4"/>
  <c r="U411" i="4"/>
  <c r="Y411" i="4"/>
  <c r="U176" i="4"/>
  <c r="Y176" i="4"/>
  <c r="Y122" i="4"/>
  <c r="U122" i="4"/>
  <c r="Y394" i="4"/>
  <c r="U394" i="4"/>
  <c r="U452" i="4"/>
  <c r="Y452" i="4"/>
  <c r="U387" i="4"/>
  <c r="Y387" i="4"/>
  <c r="U136" i="4"/>
  <c r="Y136" i="4"/>
  <c r="Y102" i="4"/>
  <c r="U102" i="4"/>
  <c r="U163" i="4"/>
  <c r="Y163" i="4"/>
  <c r="U206" i="4"/>
  <c r="Y206" i="4"/>
  <c r="U268" i="4"/>
  <c r="Y268" i="4"/>
  <c r="U388" i="4"/>
  <c r="Y388" i="4"/>
  <c r="U404" i="4"/>
  <c r="Y404" i="4"/>
  <c r="U273" i="4"/>
  <c r="Y273" i="4"/>
  <c r="Y313" i="4"/>
  <c r="U313" i="4"/>
  <c r="U316" i="4"/>
  <c r="Y316" i="4"/>
  <c r="U81" i="4"/>
  <c r="Y81" i="4"/>
  <c r="Y458" i="4"/>
  <c r="U458" i="4"/>
  <c r="Y503" i="4"/>
  <c r="U503" i="4"/>
  <c r="U134" i="4"/>
  <c r="Y134" i="4"/>
  <c r="U259" i="4"/>
  <c r="Y259" i="4"/>
  <c r="Y112" i="4"/>
  <c r="U112" i="4"/>
  <c r="U301" i="4"/>
  <c r="Y301" i="4"/>
  <c r="U446" i="4"/>
  <c r="Y446" i="4"/>
  <c r="U51" i="4"/>
  <c r="Y51" i="4"/>
  <c r="U235" i="4"/>
  <c r="Y235" i="4"/>
  <c r="U50" i="4"/>
  <c r="Y50" i="4"/>
  <c r="U106" i="4"/>
  <c r="Y106" i="4"/>
  <c r="U353" i="4"/>
  <c r="Y353" i="4"/>
  <c r="U366" i="4"/>
  <c r="Y366" i="4"/>
  <c r="U71" i="4"/>
  <c r="Y71" i="4"/>
  <c r="U184" i="4"/>
  <c r="Y184" i="4"/>
  <c r="U41" i="4"/>
  <c r="Y41" i="4"/>
  <c r="U413" i="4"/>
  <c r="Y413" i="4"/>
  <c r="U315" i="4"/>
  <c r="Y315" i="4"/>
  <c r="U414" i="4"/>
  <c r="Y414" i="4"/>
  <c r="U358" i="4"/>
  <c r="Y358" i="4"/>
  <c r="Y124" i="4"/>
  <c r="U124" i="4"/>
  <c r="Y45" i="4"/>
  <c r="U45" i="4"/>
  <c r="U159" i="4"/>
  <c r="Y159" i="4"/>
  <c r="U78" i="4"/>
  <c r="Y78" i="4"/>
  <c r="U164" i="4"/>
  <c r="Y164" i="4"/>
  <c r="U351" i="4"/>
  <c r="Y351" i="4"/>
  <c r="Y480" i="4"/>
  <c r="U480" i="4"/>
  <c r="U410" i="4"/>
  <c r="Y410" i="4"/>
  <c r="U250" i="4"/>
  <c r="Y250" i="4"/>
  <c r="U38" i="4"/>
  <c r="Y38" i="4"/>
  <c r="Y427" i="4"/>
  <c r="U427" i="4"/>
  <c r="U338" i="4"/>
  <c r="Y338" i="4"/>
  <c r="Y343" i="4"/>
  <c r="U343" i="4"/>
  <c r="U334" i="4"/>
  <c r="Y334" i="4"/>
  <c r="U249" i="4"/>
  <c r="Y249" i="4"/>
  <c r="Y104" i="4"/>
  <c r="U104" i="4"/>
  <c r="U261" i="4"/>
  <c r="Y261" i="4"/>
  <c r="U262" i="4"/>
  <c r="Y262" i="4"/>
  <c r="U116" i="4"/>
  <c r="Y116" i="4"/>
  <c r="U407" i="4"/>
  <c r="Y407" i="4"/>
  <c r="U359" i="4"/>
  <c r="Y359" i="4"/>
  <c r="Y350" i="4"/>
  <c r="U350" i="4"/>
  <c r="U355" i="4"/>
  <c r="Y355" i="4"/>
  <c r="U199" i="4"/>
  <c r="Y199" i="4"/>
  <c r="U84" i="4"/>
  <c r="Y84" i="4"/>
  <c r="U113" i="4"/>
  <c r="Y113" i="4"/>
  <c r="U384" i="4"/>
  <c r="Y384" i="4"/>
  <c r="U258" i="4"/>
  <c r="Y258" i="4"/>
  <c r="U238" i="4"/>
  <c r="Y238" i="4"/>
  <c r="Y138" i="4"/>
  <c r="U138" i="4"/>
  <c r="Y171" i="4"/>
  <c r="U171" i="4"/>
  <c r="U5" i="4"/>
  <c r="Y5" i="4"/>
  <c r="U62" i="4"/>
  <c r="Y62" i="4"/>
  <c r="Y434" i="4"/>
  <c r="U434" i="4"/>
  <c r="U455" i="4"/>
  <c r="Y455" i="4"/>
  <c r="U32" i="4"/>
  <c r="Y32" i="4"/>
  <c r="U242" i="4"/>
  <c r="Y242" i="4"/>
  <c r="Y498" i="4"/>
  <c r="U498" i="4"/>
  <c r="U285" i="4"/>
  <c r="Y285" i="4"/>
  <c r="U389" i="4"/>
  <c r="Y389" i="4"/>
  <c r="U243" i="4"/>
  <c r="Y243" i="4"/>
  <c r="U162" i="4"/>
  <c r="Y162" i="4"/>
  <c r="U42" i="4"/>
  <c r="Y42" i="4"/>
  <c r="U303" i="4"/>
  <c r="Y303" i="4"/>
  <c r="U459" i="4"/>
  <c r="Y459" i="4"/>
  <c r="U418" i="4"/>
  <c r="Y418" i="4"/>
  <c r="U377" i="4"/>
  <c r="Y377" i="4"/>
  <c r="U22" i="4"/>
  <c r="Y22" i="4"/>
  <c r="U202" i="4"/>
  <c r="Y202" i="4"/>
  <c r="U422" i="4"/>
  <c r="Y422" i="4"/>
  <c r="U185" i="4"/>
  <c r="Y185" i="4"/>
  <c r="Y483" i="4"/>
  <c r="U483" i="4"/>
  <c r="Y297" i="4"/>
  <c r="U297" i="4"/>
  <c r="Y120" i="4"/>
  <c r="U120" i="4"/>
  <c r="U344" i="4"/>
  <c r="Y344" i="4"/>
  <c r="U381" i="4"/>
  <c r="Y381" i="4"/>
  <c r="U380" i="4"/>
  <c r="Y380" i="4"/>
  <c r="U302" i="4"/>
  <c r="Y302" i="4"/>
  <c r="U409" i="4"/>
  <c r="Y409" i="4"/>
  <c r="U379" i="4"/>
  <c r="Y379" i="4"/>
  <c r="U97" i="4"/>
  <c r="Y97" i="4"/>
  <c r="U76" i="4"/>
  <c r="Y76" i="4"/>
  <c r="U211" i="4"/>
  <c r="Y211" i="4"/>
  <c r="U456" i="4"/>
  <c r="Y456" i="4"/>
  <c r="U207" i="4"/>
  <c r="Y207" i="4"/>
  <c r="U108" i="4"/>
  <c r="Y108" i="4"/>
  <c r="U277" i="4"/>
  <c r="Y277" i="4"/>
  <c r="Y393" i="4"/>
  <c r="U393" i="4"/>
  <c r="U94" i="4"/>
  <c r="Y94" i="4"/>
  <c r="Y419" i="4"/>
  <c r="U419" i="4"/>
  <c r="U188" i="4"/>
  <c r="Y188" i="4"/>
  <c r="U201" i="4"/>
  <c r="Y201" i="4"/>
  <c r="U129" i="4"/>
  <c r="Y129" i="4"/>
  <c r="U399" i="4"/>
  <c r="Y399" i="4"/>
  <c r="U121" i="4"/>
  <c r="Y121" i="4"/>
  <c r="U167" i="4"/>
  <c r="Y167" i="4"/>
  <c r="U88" i="4"/>
  <c r="Y88" i="4"/>
  <c r="U23" i="4"/>
  <c r="Y23" i="4"/>
  <c r="U204" i="4"/>
  <c r="Y204" i="4"/>
  <c r="Y174" i="4"/>
  <c r="U174" i="4"/>
  <c r="U440" i="4"/>
  <c r="Y440" i="4"/>
  <c r="U254" i="4"/>
  <c r="Y254" i="4"/>
  <c r="Y500" i="4"/>
  <c r="U500" i="4"/>
  <c r="Y437" i="4"/>
  <c r="U437" i="4"/>
  <c r="U288" i="4"/>
  <c r="Y288" i="4"/>
  <c r="U464" i="4"/>
  <c r="Y464" i="4"/>
  <c r="U155" i="4"/>
  <c r="Y155" i="4"/>
  <c r="U234" i="4"/>
  <c r="Y234" i="4"/>
  <c r="U331" i="4"/>
  <c r="Y331" i="4"/>
  <c r="U320" i="4"/>
  <c r="Y320" i="4"/>
  <c r="U195" i="4"/>
  <c r="Y195" i="4"/>
  <c r="U11" i="4"/>
  <c r="Y11" i="4"/>
  <c r="Y244" i="4"/>
  <c r="U244" i="4"/>
  <c r="U147" i="4"/>
  <c r="Y147" i="4"/>
  <c r="U157" i="4"/>
  <c r="Y157" i="4"/>
  <c r="Y128" i="4"/>
  <c r="U128" i="4"/>
  <c r="U44" i="4"/>
  <c r="Y44" i="4"/>
  <c r="U197" i="4"/>
  <c r="Y197" i="4"/>
  <c r="U212" i="4"/>
  <c r="Y212" i="4"/>
  <c r="U430" i="4"/>
  <c r="Y430" i="4"/>
  <c r="U66" i="4"/>
  <c r="Y66" i="4"/>
  <c r="U98" i="4"/>
  <c r="Y98" i="4"/>
  <c r="U216" i="4"/>
  <c r="Y216" i="4"/>
  <c r="U354" i="4"/>
  <c r="Y354" i="4"/>
  <c r="U43" i="4"/>
  <c r="Y43" i="4"/>
  <c r="U504" i="4"/>
  <c r="Y504" i="4"/>
  <c r="U375" i="4"/>
  <c r="Y375" i="4"/>
  <c r="Y17" i="4"/>
  <c r="U17" i="4"/>
  <c r="Y304" i="4"/>
  <c r="U304" i="4"/>
  <c r="Y478" i="4"/>
  <c r="U478" i="4"/>
  <c r="U21" i="4"/>
  <c r="Y21" i="4"/>
  <c r="U476" i="4"/>
  <c r="Y476" i="4"/>
  <c r="U332" i="4"/>
  <c r="Y332" i="4"/>
  <c r="U237" i="4"/>
  <c r="Y237" i="4"/>
  <c r="U19" i="4"/>
  <c r="Y19" i="4"/>
  <c r="Y420" i="4"/>
  <c r="U420" i="4"/>
  <c r="U494" i="4"/>
  <c r="Y494" i="4"/>
  <c r="U151" i="4"/>
  <c r="Y151" i="4"/>
  <c r="U15" i="4"/>
  <c r="Y15" i="4"/>
  <c r="U457" i="4"/>
  <c r="Y457" i="4"/>
  <c r="U321" i="4"/>
  <c r="Y321" i="4"/>
  <c r="U87" i="4"/>
  <c r="Y87" i="4"/>
  <c r="U395" i="4"/>
  <c r="Y395" i="4"/>
  <c r="Y295" i="4"/>
  <c r="U295" i="4"/>
  <c r="U187" i="4"/>
  <c r="Y187" i="4"/>
  <c r="U142" i="4"/>
  <c r="Y142" i="4"/>
  <c r="U107" i="4"/>
  <c r="Y107" i="4"/>
  <c r="U65" i="4"/>
  <c r="Y65" i="4"/>
  <c r="Y481" i="4"/>
  <c r="U481" i="4"/>
  <c r="U173" i="4"/>
  <c r="Y173" i="4"/>
  <c r="U105" i="4"/>
  <c r="Y105" i="4"/>
  <c r="U431" i="4"/>
  <c r="Y431" i="4"/>
  <c r="U485" i="4"/>
  <c r="Y485" i="4"/>
  <c r="U362" i="4"/>
  <c r="Y362" i="4"/>
  <c r="U281" i="4"/>
  <c r="Y281" i="4"/>
  <c r="Y317" i="4"/>
  <c r="U317" i="4"/>
  <c r="U126" i="4"/>
  <c r="Y126" i="4"/>
  <c r="U280" i="4"/>
  <c r="Y280" i="4"/>
  <c r="U228" i="4"/>
  <c r="Y228" i="4"/>
  <c r="Y118" i="4"/>
  <c r="U118" i="4"/>
  <c r="U90" i="4"/>
  <c r="Y90" i="4"/>
  <c r="Y493" i="4"/>
  <c r="U493" i="4"/>
  <c r="Y85" i="4"/>
  <c r="U85" i="4"/>
  <c r="U150" i="4"/>
  <c r="Y150" i="4"/>
  <c r="Y439" i="4"/>
  <c r="U439" i="4"/>
  <c r="U323" i="4"/>
  <c r="Y323" i="4"/>
  <c r="U357" i="4"/>
  <c r="Y357" i="4"/>
  <c r="U161" i="4"/>
  <c r="Y161" i="4"/>
  <c r="U292" i="4"/>
  <c r="Y292" i="4"/>
  <c r="U286" i="4"/>
  <c r="Y286" i="4"/>
  <c r="U220" i="4"/>
  <c r="Y220" i="4"/>
  <c r="U248" i="4"/>
  <c r="Y248" i="4"/>
  <c r="U27" i="4"/>
  <c r="Y27" i="4"/>
  <c r="U183" i="4"/>
  <c r="Y183" i="4"/>
  <c r="U474" i="4"/>
  <c r="Y474" i="4"/>
  <c r="U447" i="4"/>
  <c r="Y447" i="4"/>
  <c r="U318" i="4"/>
  <c r="Y318" i="4"/>
  <c r="U450" i="4"/>
  <c r="Y450" i="4"/>
  <c r="U266" i="4"/>
  <c r="Y266" i="4"/>
  <c r="U93" i="4"/>
  <c r="Y93" i="4"/>
  <c r="U499" i="4"/>
  <c r="Y499" i="4"/>
  <c r="U115" i="4"/>
  <c r="Y115" i="4"/>
  <c r="U37" i="4"/>
  <c r="Y37" i="4"/>
  <c r="U310" i="4"/>
  <c r="Y310" i="4"/>
  <c r="U346" i="4"/>
  <c r="Y346" i="4"/>
  <c r="Y145" i="4"/>
  <c r="U145" i="4"/>
  <c r="Y80" i="4"/>
  <c r="U80" i="4"/>
  <c r="U86" i="4"/>
  <c r="Y86" i="4"/>
  <c r="U236" i="4"/>
  <c r="Y236" i="4"/>
  <c r="U291" i="4"/>
  <c r="Y291" i="4"/>
  <c r="Y36" i="4"/>
  <c r="U36" i="4"/>
  <c r="U125" i="4"/>
  <c r="Y125" i="4"/>
  <c r="U68" i="4"/>
  <c r="Y68" i="4"/>
  <c r="Y133" i="4"/>
  <c r="U133" i="4"/>
  <c r="Y6" i="4"/>
  <c r="U6" i="4"/>
  <c r="U341" i="4"/>
  <c r="Y341" i="4"/>
  <c r="U232" i="4"/>
  <c r="Y232" i="4"/>
  <c r="Y255" i="4"/>
  <c r="U255" i="4"/>
  <c r="Y40" i="4"/>
  <c r="U40" i="4"/>
  <c r="Y445" i="4"/>
  <c r="U445" i="4"/>
  <c r="U342" i="4"/>
  <c r="Y342" i="4"/>
  <c r="U275" i="4"/>
  <c r="Y275" i="4"/>
  <c r="Y73" i="4"/>
  <c r="U73" i="4"/>
  <c r="U194" i="4"/>
  <c r="Y194" i="4"/>
  <c r="U148" i="4"/>
  <c r="Y148" i="4"/>
  <c r="U360" i="4"/>
  <c r="Y360" i="4"/>
  <c r="U59" i="4"/>
  <c r="Y59" i="4"/>
  <c r="U270" i="4"/>
  <c r="Y270" i="4"/>
  <c r="U152" i="4"/>
  <c r="Y152" i="4"/>
  <c r="U501" i="4"/>
  <c r="Y501" i="4"/>
  <c r="U451" i="4"/>
  <c r="Y451" i="4"/>
  <c r="U63" i="4"/>
  <c r="Y63" i="4"/>
  <c r="Y217" i="4"/>
  <c r="U217" i="4"/>
  <c r="U298" i="4"/>
  <c r="Y298" i="4"/>
  <c r="Y166" i="4"/>
  <c r="U166" i="4"/>
  <c r="U35" i="4"/>
  <c r="Y35" i="4"/>
  <c r="U49" i="4"/>
  <c r="Y49" i="4"/>
  <c r="U25" i="4"/>
  <c r="Y25" i="4"/>
  <c r="U428" i="4"/>
  <c r="Y428" i="4"/>
  <c r="U429" i="4"/>
  <c r="Y429" i="4"/>
  <c r="U200" i="4"/>
  <c r="Y200" i="4"/>
  <c r="U247" i="4"/>
  <c r="Y247" i="4"/>
  <c r="U251" i="4"/>
  <c r="Y251" i="4"/>
  <c r="U144" i="4"/>
  <c r="Y144" i="4"/>
  <c r="U477" i="4"/>
  <c r="Y477" i="4"/>
  <c r="U490" i="4"/>
  <c r="Y490" i="4"/>
  <c r="U300" i="4"/>
  <c r="Y300" i="4"/>
  <c r="Y289" i="4"/>
  <c r="U289" i="4"/>
  <c r="U489" i="4"/>
  <c r="Y489" i="4"/>
  <c r="U223" i="4"/>
  <c r="Y223" i="4"/>
  <c r="U60" i="4"/>
  <c r="Y60" i="4"/>
  <c r="U368" i="4"/>
  <c r="Y368" i="4"/>
  <c r="U172" i="4"/>
  <c r="Y172" i="4"/>
  <c r="U101" i="4"/>
  <c r="Y101" i="4"/>
  <c r="Y16" i="4"/>
  <c r="U16" i="4"/>
  <c r="Y7" i="4"/>
  <c r="U7" i="4"/>
  <c r="U77" i="4"/>
  <c r="Y77" i="4"/>
  <c r="U463" i="4"/>
  <c r="Y463" i="4"/>
  <c r="U466" i="4"/>
  <c r="Y466" i="4"/>
  <c r="U376" i="4"/>
  <c r="Y376" i="4"/>
  <c r="U160" i="4"/>
  <c r="Y160" i="4"/>
  <c r="U265" i="4"/>
  <c r="Y265" i="4"/>
  <c r="U408" i="4"/>
  <c r="Y408" i="4"/>
  <c r="U24" i="4"/>
  <c r="Y24" i="4"/>
  <c r="U421" i="4"/>
  <c r="Y421" i="4"/>
  <c r="U95" i="4"/>
  <c r="Y95" i="4"/>
  <c r="Y61" i="4"/>
  <c r="U61" i="4"/>
  <c r="U482" i="4"/>
  <c r="Y482" i="4"/>
  <c r="U412" i="4"/>
  <c r="Y412" i="4"/>
  <c r="U325" i="4"/>
  <c r="Y325" i="4"/>
  <c r="U28" i="4"/>
  <c r="Y28" i="4"/>
  <c r="Y400" i="4"/>
  <c r="U400" i="4"/>
  <c r="U390" i="4"/>
  <c r="Y390" i="4"/>
  <c r="U495" i="4"/>
  <c r="Y495" i="4"/>
  <c r="U4" i="4"/>
  <c r="Y4" i="4"/>
  <c r="Y290" i="4"/>
  <c r="U290" i="4"/>
  <c r="Y382" i="4"/>
  <c r="U382" i="4"/>
  <c r="U196" i="4"/>
  <c r="Y196" i="4"/>
  <c r="U372" i="4"/>
  <c r="Y372" i="4"/>
  <c r="U391" i="4"/>
  <c r="Y391" i="4"/>
  <c r="Y383" i="4"/>
  <c r="U383" i="4"/>
  <c r="Y12" i="4"/>
  <c r="U12" i="4"/>
  <c r="U209" i="4"/>
  <c r="Y209" i="4"/>
  <c r="U363" i="4"/>
  <c r="Y363" i="4"/>
  <c r="U352" i="4"/>
  <c r="Y352" i="4"/>
  <c r="U191" i="4"/>
  <c r="Y191" i="4"/>
  <c r="U52" i="4"/>
  <c r="Y52" i="4"/>
  <c r="U443" i="4"/>
  <c r="Y443" i="4"/>
  <c r="U109" i="4"/>
  <c r="Y109" i="4"/>
  <c r="U444" i="4"/>
  <c r="Y444" i="4"/>
  <c r="U374" i="4"/>
  <c r="Y374" i="4"/>
  <c r="U260" i="4"/>
  <c r="Y260" i="4"/>
  <c r="U311" i="4"/>
  <c r="Y311" i="4"/>
  <c r="U386" i="4"/>
  <c r="Y386" i="4"/>
  <c r="U239" i="4"/>
  <c r="Y239" i="4"/>
  <c r="V14" i="4"/>
  <c r="W14" i="4"/>
  <c r="U349" i="4"/>
  <c r="Y349" i="4"/>
  <c r="U229" i="4"/>
  <c r="Y229" i="4"/>
  <c r="U227" i="4"/>
  <c r="Y227" i="4"/>
  <c r="U175" i="4"/>
  <c r="Y175" i="4"/>
  <c r="U193" i="4"/>
  <c r="Y193" i="4"/>
  <c r="U224" i="4"/>
  <c r="Y224" i="4"/>
  <c r="U348" i="4"/>
  <c r="Y348" i="4"/>
  <c r="U70" i="4"/>
  <c r="Y70" i="4"/>
  <c r="U365" i="4"/>
  <c r="Y365" i="4"/>
  <c r="U92" i="4"/>
  <c r="Y92" i="4"/>
  <c r="Y246" i="4"/>
  <c r="U246" i="4"/>
  <c r="Y208" i="4"/>
  <c r="U208" i="4"/>
  <c r="U436" i="4"/>
  <c r="Y436" i="4"/>
  <c r="U468" i="4"/>
  <c r="Y468" i="4"/>
  <c r="U293" i="4"/>
  <c r="Y293" i="4"/>
  <c r="Y110" i="4"/>
  <c r="U110" i="4"/>
  <c r="U305" i="4"/>
  <c r="Y305" i="4"/>
  <c r="U371" i="4"/>
  <c r="Y371" i="4"/>
  <c r="U472" i="4"/>
  <c r="Y472" i="4"/>
  <c r="Y219" i="4"/>
  <c r="U219" i="4"/>
  <c r="Y263" i="4"/>
  <c r="U263" i="4"/>
  <c r="Y198" i="4"/>
  <c r="U198" i="4"/>
  <c r="U179" i="4"/>
  <c r="Y179" i="4"/>
  <c r="U210" i="4"/>
  <c r="Y210" i="4"/>
  <c r="Y13" i="4"/>
  <c r="U13" i="4"/>
  <c r="U139" i="4"/>
  <c r="Y139" i="4"/>
  <c r="U55" i="4"/>
  <c r="Y55" i="4"/>
  <c r="U48" i="4"/>
  <c r="Y48" i="4"/>
  <c r="U154" i="4"/>
  <c r="Y154" i="4"/>
  <c r="U91" i="4"/>
  <c r="Y91" i="4"/>
  <c r="U143" i="4"/>
  <c r="Y143" i="4"/>
  <c r="U367" i="4"/>
  <c r="Y367" i="4"/>
  <c r="Y272" i="4"/>
  <c r="U272" i="4"/>
  <c r="U182" i="4"/>
  <c r="Y182" i="4"/>
  <c r="U309" i="4"/>
  <c r="Y309" i="4"/>
  <c r="U221" i="4"/>
  <c r="Y221" i="4"/>
  <c r="U479" i="4"/>
  <c r="Y479" i="4"/>
  <c r="U432" i="4"/>
  <c r="Y432" i="4"/>
  <c r="Y361" i="4"/>
  <c r="U361" i="4"/>
  <c r="U441" i="4"/>
  <c r="Y441" i="4"/>
  <c r="U75" i="4"/>
  <c r="Y75" i="4"/>
  <c r="U56" i="4"/>
  <c r="Y56" i="4"/>
  <c r="U114" i="4"/>
  <c r="Y114" i="4"/>
  <c r="U415" i="4"/>
  <c r="Y415" i="4"/>
  <c r="U165" i="4"/>
  <c r="Y165" i="4"/>
  <c r="U461" i="4"/>
  <c r="Y461" i="4"/>
  <c r="U169" i="4"/>
  <c r="Y169" i="4"/>
  <c r="U267" i="4"/>
  <c r="Y267" i="4"/>
  <c r="U287" i="4"/>
  <c r="Y287" i="4"/>
  <c r="U264" i="4"/>
  <c r="Y264" i="4"/>
  <c r="U226" i="4"/>
  <c r="Y226" i="4"/>
  <c r="U10" i="4"/>
  <c r="Y10" i="4"/>
  <c r="U470" i="4"/>
  <c r="Y470" i="4"/>
  <c r="Y140" i="4"/>
  <c r="U140" i="4"/>
  <c r="Y329" i="4"/>
  <c r="U329" i="4"/>
  <c r="U72" i="4"/>
  <c r="Y72" i="4"/>
  <c r="U449" i="4"/>
  <c r="Y449" i="4"/>
  <c r="U340" i="4"/>
  <c r="Y340" i="4"/>
  <c r="U83" i="4"/>
  <c r="Y83" i="4"/>
  <c r="U132" i="4"/>
  <c r="Y132" i="4"/>
  <c r="U487" i="4"/>
  <c r="Y487" i="4"/>
  <c r="U339" i="4"/>
  <c r="Y339" i="4"/>
  <c r="U168" i="4"/>
  <c r="Y168" i="4"/>
  <c r="U356" i="4"/>
  <c r="Y356" i="4"/>
  <c r="U397" i="4"/>
  <c r="Y397" i="4"/>
  <c r="U240" i="4"/>
  <c r="Y240" i="4"/>
  <c r="U156" i="4"/>
  <c r="Y156" i="4"/>
  <c r="U34" i="4"/>
  <c r="Y34" i="4"/>
  <c r="U385" i="4"/>
  <c r="Y385" i="4"/>
  <c r="U189" i="4"/>
  <c r="Y189" i="4"/>
  <c r="U337" i="4"/>
  <c r="Y337" i="4"/>
  <c r="U177" i="4"/>
  <c r="Y177" i="4"/>
  <c r="U253" i="4"/>
  <c r="Y253" i="4"/>
  <c r="U256" i="4"/>
  <c r="Y256" i="4"/>
  <c r="U307" i="4"/>
  <c r="Y307" i="4"/>
  <c r="U403" i="4"/>
  <c r="Y403" i="4"/>
  <c r="U47" i="4"/>
  <c r="Y47" i="4"/>
  <c r="U29" i="4"/>
  <c r="Y29" i="4"/>
  <c r="Y438" i="4"/>
  <c r="U438" i="4"/>
  <c r="U491" i="4"/>
  <c r="Y491" i="4"/>
  <c r="U486" i="4"/>
  <c r="Y486" i="4"/>
  <c r="Y225" i="4"/>
  <c r="U225" i="4"/>
  <c r="U213" i="4"/>
  <c r="Y213" i="4"/>
  <c r="U54" i="4"/>
  <c r="Y54" i="4"/>
  <c r="U378" i="4"/>
  <c r="Y378" i="4"/>
  <c r="U326" i="4"/>
  <c r="Y326" i="4"/>
  <c r="U158" i="4"/>
  <c r="Y158" i="4"/>
  <c r="U218" i="4"/>
  <c r="Y218" i="4"/>
  <c r="Y119" i="4"/>
  <c r="U119" i="4"/>
  <c r="Y53" i="4"/>
  <c r="U53" i="4"/>
  <c r="Y364" i="4"/>
  <c r="U364" i="4"/>
  <c r="Y96" i="4"/>
  <c r="U96" i="4"/>
  <c r="U274" i="4"/>
  <c r="Y274" i="4"/>
  <c r="U473" i="4"/>
  <c r="Y473" i="4"/>
  <c r="U426" i="4"/>
  <c r="Y426" i="4"/>
  <c r="Y299" i="4"/>
  <c r="U299" i="4"/>
  <c r="Y111" i="4"/>
  <c r="U111" i="4"/>
  <c r="U278" i="4"/>
  <c r="Y278" i="4"/>
  <c r="Y336" i="4"/>
  <c r="U336" i="4"/>
  <c r="U245" i="4"/>
  <c r="Y245" i="4"/>
  <c r="U402" i="4"/>
  <c r="Y402" i="4"/>
  <c r="U241" i="4"/>
  <c r="Y241" i="4"/>
  <c r="U417" i="4"/>
  <c r="Y417" i="4"/>
  <c r="U488" i="4"/>
  <c r="Y488" i="4"/>
  <c r="U401" i="4"/>
  <c r="Y401" i="4"/>
  <c r="U324" i="4"/>
  <c r="Y324" i="4"/>
  <c r="U205" i="4"/>
  <c r="Y205" i="4"/>
  <c r="U215" i="4"/>
  <c r="Y215" i="4"/>
  <c r="U345" i="4"/>
  <c r="Y345" i="4"/>
  <c r="U180" i="4"/>
  <c r="Y180" i="4"/>
  <c r="U405" i="4"/>
  <c r="Y405" i="4"/>
  <c r="U252" i="4"/>
  <c r="Y252" i="4"/>
  <c r="U392" i="4"/>
  <c r="Y392" i="4"/>
  <c r="U475" i="4"/>
  <c r="Y475" i="4"/>
  <c r="Y460" i="4"/>
  <c r="U460" i="4"/>
  <c r="F30" i="4"/>
  <c r="F35" i="4"/>
  <c r="F33" i="4"/>
  <c r="U74" i="4"/>
  <c r="Y74" i="4"/>
  <c r="U64" i="4"/>
  <c r="Y64" i="4"/>
  <c r="U181" i="4"/>
  <c r="Y181" i="4"/>
  <c r="U141" i="4"/>
  <c r="Y141" i="4"/>
  <c r="U308" i="4"/>
  <c r="Y308" i="4"/>
  <c r="Y347" i="4"/>
  <c r="U347" i="4"/>
  <c r="U231" i="4"/>
  <c r="Y231" i="4"/>
  <c r="U306" i="4"/>
  <c r="Y306" i="4"/>
  <c r="V279" i="4"/>
  <c r="W279" i="4"/>
  <c r="D149" i="1"/>
  <c r="D150" i="1"/>
  <c r="V357" i="4" l="1"/>
  <c r="W357" i="4"/>
  <c r="V384" i="4"/>
  <c r="W384" i="4"/>
  <c r="W30" i="4"/>
  <c r="V30" i="4"/>
  <c r="V141" i="4"/>
  <c r="W141" i="4"/>
  <c r="V119" i="4"/>
  <c r="W119" i="4"/>
  <c r="V392" i="4"/>
  <c r="W392" i="4"/>
  <c r="V205" i="4"/>
  <c r="W205" i="4"/>
  <c r="V402" i="4"/>
  <c r="W402" i="4"/>
  <c r="V426" i="4"/>
  <c r="W426" i="4"/>
  <c r="V213" i="4"/>
  <c r="W213" i="4"/>
  <c r="V47" i="4"/>
  <c r="W47" i="4"/>
  <c r="W337" i="4"/>
  <c r="V337" i="4"/>
  <c r="W397" i="4"/>
  <c r="V397" i="4"/>
  <c r="W83" i="4"/>
  <c r="V83" i="4"/>
  <c r="V470" i="4"/>
  <c r="W470" i="4"/>
  <c r="V169" i="4"/>
  <c r="W169" i="4"/>
  <c r="V75" i="4"/>
  <c r="W75" i="4"/>
  <c r="W309" i="4"/>
  <c r="V309" i="4"/>
  <c r="W154" i="4"/>
  <c r="V154" i="4"/>
  <c r="W179" i="4"/>
  <c r="V179" i="4"/>
  <c r="V305" i="4"/>
  <c r="W305" i="4"/>
  <c r="W193" i="4"/>
  <c r="V193" i="4"/>
  <c r="W239" i="4"/>
  <c r="V239" i="4"/>
  <c r="V109" i="4"/>
  <c r="W109" i="4"/>
  <c r="W209" i="4"/>
  <c r="V209" i="4"/>
  <c r="W28" i="4"/>
  <c r="V28" i="4"/>
  <c r="V421" i="4"/>
  <c r="W421" i="4"/>
  <c r="W466" i="4"/>
  <c r="V466" i="4"/>
  <c r="W172" i="4"/>
  <c r="V172" i="4"/>
  <c r="W300" i="4"/>
  <c r="V300" i="4"/>
  <c r="W200" i="4"/>
  <c r="V200" i="4"/>
  <c r="W152" i="4"/>
  <c r="V152" i="4"/>
  <c r="W232" i="4"/>
  <c r="V232" i="4"/>
  <c r="V36" i="4"/>
  <c r="W36" i="4"/>
  <c r="W481" i="4"/>
  <c r="V481" i="4"/>
  <c r="W244" i="4"/>
  <c r="V244" i="4"/>
  <c r="W112" i="4"/>
  <c r="V112" i="4"/>
  <c r="V394" i="4"/>
  <c r="W394" i="4"/>
  <c r="V137" i="4"/>
  <c r="W137" i="4"/>
  <c r="V12" i="4"/>
  <c r="W12" i="4"/>
  <c r="V21" i="4"/>
  <c r="W21" i="4"/>
  <c r="V459" i="4"/>
  <c r="W459" i="4"/>
  <c r="W369" i="4"/>
  <c r="V369" i="4"/>
  <c r="W324" i="4"/>
  <c r="V324" i="4"/>
  <c r="W473" i="4"/>
  <c r="V473" i="4"/>
  <c r="V218" i="4"/>
  <c r="W218" i="4"/>
  <c r="V403" i="4"/>
  <c r="W403" i="4"/>
  <c r="W189" i="4"/>
  <c r="V189" i="4"/>
  <c r="V356" i="4"/>
  <c r="W356" i="4"/>
  <c r="W340" i="4"/>
  <c r="V340" i="4"/>
  <c r="V10" i="4"/>
  <c r="W10" i="4"/>
  <c r="W461" i="4"/>
  <c r="V461" i="4"/>
  <c r="W441" i="4"/>
  <c r="V441" i="4"/>
  <c r="V182" i="4"/>
  <c r="W182" i="4"/>
  <c r="V48" i="4"/>
  <c r="W48" i="4"/>
  <c r="V92" i="4"/>
  <c r="W92" i="4"/>
  <c r="W175" i="4"/>
  <c r="V175" i="4"/>
  <c r="V386" i="4"/>
  <c r="W386" i="4"/>
  <c r="V443" i="4"/>
  <c r="W443" i="4"/>
  <c r="W325" i="4"/>
  <c r="V325" i="4"/>
  <c r="V24" i="4"/>
  <c r="W24" i="4"/>
  <c r="V463" i="4"/>
  <c r="W463" i="4"/>
  <c r="W368" i="4"/>
  <c r="V368" i="4"/>
  <c r="W490" i="4"/>
  <c r="V490" i="4"/>
  <c r="W429" i="4"/>
  <c r="V429" i="4"/>
  <c r="W298" i="4"/>
  <c r="V298" i="4"/>
  <c r="W270" i="4"/>
  <c r="V270" i="4"/>
  <c r="W275" i="4"/>
  <c r="V275" i="4"/>
  <c r="W341" i="4"/>
  <c r="V341" i="4"/>
  <c r="W118" i="4"/>
  <c r="V118" i="4"/>
  <c r="W420" i="4"/>
  <c r="V420" i="4"/>
  <c r="V478" i="4"/>
  <c r="W478" i="4"/>
  <c r="V174" i="4"/>
  <c r="W174" i="4"/>
  <c r="V393" i="4"/>
  <c r="W393" i="4"/>
  <c r="W498" i="4"/>
  <c r="V498" i="4"/>
  <c r="V45" i="4"/>
  <c r="W45" i="4"/>
  <c r="W313" i="4"/>
  <c r="V313" i="4"/>
  <c r="V122" i="4"/>
  <c r="W122" i="4"/>
  <c r="W330" i="4"/>
  <c r="V330" i="4"/>
  <c r="W153" i="4"/>
  <c r="V153" i="4"/>
  <c r="W266" i="4"/>
  <c r="V266" i="4"/>
  <c r="V155" i="4"/>
  <c r="W155" i="4"/>
  <c r="V159" i="4"/>
  <c r="W159" i="4"/>
  <c r="W231" i="4"/>
  <c r="V231" i="4"/>
  <c r="W336" i="4"/>
  <c r="V336" i="4"/>
  <c r="V361" i="4"/>
  <c r="W361" i="4"/>
  <c r="W272" i="4"/>
  <c r="V272" i="4"/>
  <c r="W263" i="4"/>
  <c r="V263" i="4"/>
  <c r="V383" i="4"/>
  <c r="W383" i="4"/>
  <c r="V217" i="4"/>
  <c r="W217" i="4"/>
  <c r="W6" i="4"/>
  <c r="V6" i="4"/>
  <c r="W291" i="4"/>
  <c r="V291" i="4"/>
  <c r="W310" i="4"/>
  <c r="V310" i="4"/>
  <c r="W450" i="4"/>
  <c r="V450" i="4"/>
  <c r="V248" i="4"/>
  <c r="W248" i="4"/>
  <c r="V323" i="4"/>
  <c r="W323" i="4"/>
  <c r="W362" i="4"/>
  <c r="V362" i="4"/>
  <c r="W65" i="4"/>
  <c r="V65" i="4"/>
  <c r="V87" i="4"/>
  <c r="W87" i="4"/>
  <c r="V354" i="4"/>
  <c r="W354" i="4"/>
  <c r="W197" i="4"/>
  <c r="V197" i="4"/>
  <c r="V11" i="4"/>
  <c r="W11" i="4"/>
  <c r="W464" i="4"/>
  <c r="V464" i="4"/>
  <c r="W399" i="4"/>
  <c r="V399" i="4"/>
  <c r="W76" i="4"/>
  <c r="V76" i="4"/>
  <c r="V381" i="4"/>
  <c r="W381" i="4"/>
  <c r="V422" i="4"/>
  <c r="W422" i="4"/>
  <c r="V303" i="4"/>
  <c r="W303" i="4"/>
  <c r="W5" i="4"/>
  <c r="V5" i="4"/>
  <c r="W113" i="4"/>
  <c r="V113" i="4"/>
  <c r="W407" i="4"/>
  <c r="V407" i="4"/>
  <c r="W334" i="4"/>
  <c r="V334" i="4"/>
  <c r="W410" i="4"/>
  <c r="V410" i="4"/>
  <c r="V41" i="4"/>
  <c r="W41" i="4"/>
  <c r="W50" i="4"/>
  <c r="V50" i="4"/>
  <c r="V259" i="4"/>
  <c r="W259" i="4"/>
  <c r="V163" i="4"/>
  <c r="W163" i="4"/>
  <c r="W328" i="4"/>
  <c r="V328" i="4"/>
  <c r="V149" i="4"/>
  <c r="W149" i="4"/>
  <c r="W46" i="4"/>
  <c r="V46" i="4"/>
  <c r="W497" i="4"/>
  <c r="V497" i="4"/>
  <c r="W335" i="4"/>
  <c r="V335" i="4"/>
  <c r="V373" i="4"/>
  <c r="W373" i="4"/>
  <c r="V281" i="4"/>
  <c r="W281" i="4"/>
  <c r="V211" i="4"/>
  <c r="W211" i="4"/>
  <c r="V413" i="4"/>
  <c r="W413" i="4"/>
  <c r="W327" i="4"/>
  <c r="V327" i="4"/>
  <c r="V245" i="4"/>
  <c r="W245" i="4"/>
  <c r="V405" i="4"/>
  <c r="W405" i="4"/>
  <c r="W401" i="4"/>
  <c r="V401" i="4"/>
  <c r="V274" i="4"/>
  <c r="W274" i="4"/>
  <c r="W158" i="4"/>
  <c r="V158" i="4"/>
  <c r="W486" i="4"/>
  <c r="V486" i="4"/>
  <c r="W307" i="4"/>
  <c r="V307" i="4"/>
  <c r="V385" i="4"/>
  <c r="W385" i="4"/>
  <c r="V168" i="4"/>
  <c r="W168" i="4"/>
  <c r="V449" i="4"/>
  <c r="W449" i="4"/>
  <c r="V226" i="4"/>
  <c r="W226" i="4"/>
  <c r="V165" i="4"/>
  <c r="W165" i="4"/>
  <c r="W55" i="4"/>
  <c r="V55" i="4"/>
  <c r="V293" i="4"/>
  <c r="W293" i="4"/>
  <c r="V365" i="4"/>
  <c r="W365" i="4"/>
  <c r="W227" i="4"/>
  <c r="V227" i="4"/>
  <c r="V311" i="4"/>
  <c r="W311" i="4"/>
  <c r="V52" i="4"/>
  <c r="W52" i="4"/>
  <c r="W4" i="4"/>
  <c r="V4" i="4"/>
  <c r="V412" i="4"/>
  <c r="W412" i="4"/>
  <c r="W408" i="4"/>
  <c r="V408" i="4"/>
  <c r="W77" i="4"/>
  <c r="V77" i="4"/>
  <c r="W60" i="4"/>
  <c r="V60" i="4"/>
  <c r="W477" i="4"/>
  <c r="V477" i="4"/>
  <c r="W428" i="4"/>
  <c r="V428" i="4"/>
  <c r="W59" i="4"/>
  <c r="V59" i="4"/>
  <c r="W342" i="4"/>
  <c r="V342" i="4"/>
  <c r="V439" i="4"/>
  <c r="W439" i="4"/>
  <c r="V304" i="4"/>
  <c r="W304" i="4"/>
  <c r="W171" i="4"/>
  <c r="V171" i="4"/>
  <c r="V343" i="4"/>
  <c r="W343" i="4"/>
  <c r="V480" i="4"/>
  <c r="W480" i="4"/>
  <c r="V124" i="4"/>
  <c r="W124" i="4"/>
  <c r="V102" i="4"/>
  <c r="W102" i="4"/>
  <c r="W27" i="4"/>
  <c r="V27" i="4"/>
  <c r="W440" i="4"/>
  <c r="V440" i="4"/>
  <c r="V249" i="4"/>
  <c r="W249" i="4"/>
  <c r="W230" i="4"/>
  <c r="V230" i="4"/>
  <c r="V252" i="4"/>
  <c r="W252" i="4"/>
  <c r="V347" i="4"/>
  <c r="W347" i="4"/>
  <c r="X352" i="4"/>
  <c r="Z352" i="4" s="1"/>
  <c r="AA352" i="4" s="1"/>
  <c r="X487" i="4"/>
  <c r="X414" i="4"/>
  <c r="X316" i="4"/>
  <c r="X159" i="4"/>
  <c r="X310" i="4"/>
  <c r="X163" i="4"/>
  <c r="X72" i="4"/>
  <c r="X471" i="4"/>
  <c r="Z471" i="4" s="1"/>
  <c r="AA471" i="4" s="1"/>
  <c r="X341" i="4"/>
  <c r="X442" i="4"/>
  <c r="Z442" i="4" s="1"/>
  <c r="AA442" i="4" s="1"/>
  <c r="X274" i="4"/>
  <c r="X306" i="4"/>
  <c r="X142" i="4"/>
  <c r="X381" i="4"/>
  <c r="X302" i="4"/>
  <c r="X267" i="4"/>
  <c r="X322" i="4"/>
  <c r="X158" i="4"/>
  <c r="X324" i="4"/>
  <c r="X433" i="4"/>
  <c r="Z433" i="4" s="1"/>
  <c r="AA433" i="4" s="1"/>
  <c r="X82" i="4"/>
  <c r="X21" i="4"/>
  <c r="Z21" i="4" s="1"/>
  <c r="AA21" i="4" s="1"/>
  <c r="X221" i="4"/>
  <c r="X23" i="4"/>
  <c r="Z23" i="4" s="1"/>
  <c r="AA23" i="4" s="1"/>
  <c r="X189" i="4"/>
  <c r="X501" i="4"/>
  <c r="X112" i="4"/>
  <c r="X348" i="4"/>
  <c r="X347" i="4"/>
  <c r="X140" i="4"/>
  <c r="X89" i="4"/>
  <c r="X314" i="4"/>
  <c r="Z314" i="4" s="1"/>
  <c r="AA314" i="4" s="1"/>
  <c r="X369" i="4"/>
  <c r="X477" i="4"/>
  <c r="Z477" i="4" s="1"/>
  <c r="AA477" i="4" s="1"/>
  <c r="X432" i="4"/>
  <c r="X130" i="4"/>
  <c r="X125" i="4"/>
  <c r="X457" i="4"/>
  <c r="X169" i="4"/>
  <c r="X74" i="4"/>
  <c r="X398" i="4"/>
  <c r="X504" i="4"/>
  <c r="X124" i="4"/>
  <c r="X143" i="4"/>
  <c r="Z143" i="4" s="1"/>
  <c r="AA143" i="4" s="1"/>
  <c r="X338" i="4"/>
  <c r="X301" i="4"/>
  <c r="Z301" i="4" s="1"/>
  <c r="AA301" i="4" s="1"/>
  <c r="X404" i="4"/>
  <c r="X373" i="4"/>
  <c r="Z373" i="4" s="1"/>
  <c r="AA373" i="4" s="1"/>
  <c r="X360" i="4"/>
  <c r="X473" i="4"/>
  <c r="X29" i="4"/>
  <c r="X11" i="4"/>
  <c r="X188" i="4"/>
  <c r="X131" i="4"/>
  <c r="X479" i="4"/>
  <c r="X330" i="4"/>
  <c r="Z330" i="4" s="1"/>
  <c r="AA330" i="4" s="1"/>
  <c r="X374" i="4"/>
  <c r="X356" i="4"/>
  <c r="Z356" i="4" s="1"/>
  <c r="AA356" i="4" s="1"/>
  <c r="X466" i="4"/>
  <c r="X55" i="4"/>
  <c r="Z55" i="4" s="1"/>
  <c r="AA55" i="4" s="1"/>
  <c r="X100" i="4"/>
  <c r="X409" i="4"/>
  <c r="X204" i="4"/>
  <c r="X58" i="4"/>
  <c r="X372" i="4"/>
  <c r="X69" i="4"/>
  <c r="X30" i="4"/>
  <c r="X93" i="4"/>
  <c r="Z93" i="4" s="1"/>
  <c r="AA93" i="4" s="1"/>
  <c r="X135" i="4"/>
  <c r="X387" i="4"/>
  <c r="Z387" i="4" s="1"/>
  <c r="AA387" i="4" s="1"/>
  <c r="X40" i="4"/>
  <c r="X339" i="4"/>
  <c r="Z339" i="4" s="1"/>
  <c r="AA339" i="4" s="1"/>
  <c r="X270" i="4"/>
  <c r="X264" i="4"/>
  <c r="X480" i="4"/>
  <c r="X485" i="4"/>
  <c r="X268" i="4"/>
  <c r="X395" i="4"/>
  <c r="X478" i="4"/>
  <c r="X153" i="4"/>
  <c r="Z153" i="4" s="1"/>
  <c r="AA153" i="4" s="1"/>
  <c r="X138" i="4"/>
  <c r="X26" i="4"/>
  <c r="Z26" i="4" s="1"/>
  <c r="AA26" i="4" s="1"/>
  <c r="X198" i="4"/>
  <c r="X490" i="4"/>
  <c r="Z490" i="4" s="1"/>
  <c r="AA490" i="4" s="1"/>
  <c r="X34" i="4"/>
  <c r="X54" i="4"/>
  <c r="X400" i="4"/>
  <c r="X375" i="4"/>
  <c r="X460" i="4"/>
  <c r="X45" i="4"/>
  <c r="X39" i="4"/>
  <c r="X295" i="4"/>
  <c r="Z295" i="4" s="1"/>
  <c r="AA295" i="4" s="1"/>
  <c r="X119" i="4"/>
  <c r="X20" i="4"/>
  <c r="Z20" i="4" s="1"/>
  <c r="AA20" i="4" s="1"/>
  <c r="X476" i="4"/>
  <c r="X245" i="4"/>
  <c r="Z245" i="4" s="1"/>
  <c r="AA245" i="4" s="1"/>
  <c r="X160" i="4"/>
  <c r="X239" i="4"/>
  <c r="X343" i="4"/>
  <c r="X154" i="4"/>
  <c r="X320" i="4"/>
  <c r="X65" i="4"/>
  <c r="X166" i="4"/>
  <c r="X222" i="4"/>
  <c r="Z222" i="4" s="1"/>
  <c r="AA222" i="4" s="1"/>
  <c r="X196" i="4"/>
  <c r="X145" i="4"/>
  <c r="Z145" i="4" s="1"/>
  <c r="AA145" i="4" s="1"/>
  <c r="X308" i="4"/>
  <c r="X144" i="4"/>
  <c r="Z144" i="4" s="1"/>
  <c r="AA144" i="4" s="1"/>
  <c r="X389" i="4"/>
  <c r="X349" i="4"/>
  <c r="X167" i="4"/>
  <c r="X456" i="4"/>
  <c r="X227" i="4"/>
  <c r="X489" i="4"/>
  <c r="X109" i="4"/>
  <c r="X364" i="4"/>
  <c r="Z364" i="4" s="1"/>
  <c r="AA364" i="4" s="1"/>
  <c r="X317" i="4"/>
  <c r="X118" i="4"/>
  <c r="Z118" i="4" s="1"/>
  <c r="AA118" i="4" s="1"/>
  <c r="X105" i="4"/>
  <c r="X448" i="4"/>
  <c r="Z448" i="4" s="1"/>
  <c r="AA448" i="4" s="1"/>
  <c r="X99" i="4"/>
  <c r="X436" i="4"/>
  <c r="X361" i="4"/>
  <c r="X129" i="4"/>
  <c r="X493" i="4"/>
  <c r="X298" i="4"/>
  <c r="X236" i="4"/>
  <c r="X48" i="4"/>
  <c r="Z48" i="4" s="1"/>
  <c r="AA48" i="4" s="1"/>
  <c r="X193" i="4"/>
  <c r="X92" i="4"/>
  <c r="Z92" i="4" s="1"/>
  <c r="AA92" i="4" s="1"/>
  <c r="X205" i="4"/>
  <c r="X260" i="4"/>
  <c r="Z260" i="4" s="1"/>
  <c r="AA260" i="4" s="1"/>
  <c r="X284" i="4"/>
  <c r="X202" i="4"/>
  <c r="X94" i="4"/>
  <c r="X206" i="4"/>
  <c r="X376" i="4"/>
  <c r="X13" i="4"/>
  <c r="X362" i="4"/>
  <c r="X416" i="4"/>
  <c r="Z416" i="4" s="1"/>
  <c r="AA416" i="4" s="1"/>
  <c r="X434" i="4"/>
  <c r="X218" i="4"/>
  <c r="Z218" i="4" s="1"/>
  <c r="AA218" i="4" s="1"/>
  <c r="X418" i="4"/>
  <c r="X371" i="4"/>
  <c r="Z371" i="4" s="1"/>
  <c r="AA371" i="4" s="1"/>
  <c r="X49" i="4"/>
  <c r="X32" i="4"/>
  <c r="X31" i="4"/>
  <c r="X486" i="4"/>
  <c r="X417" i="4"/>
  <c r="X304" i="4"/>
  <c r="X450" i="4"/>
  <c r="X359" i="4"/>
  <c r="Z359" i="4" s="1"/>
  <c r="AA359" i="4" s="1"/>
  <c r="X42" i="4"/>
  <c r="X407" i="4"/>
  <c r="Z407" i="4" s="1"/>
  <c r="AA407" i="4" s="1"/>
  <c r="X281" i="4"/>
  <c r="X459" i="4"/>
  <c r="Z459" i="4" s="1"/>
  <c r="AA459" i="4" s="1"/>
  <c r="X98" i="4"/>
  <c r="X106" i="4"/>
  <c r="X215" i="4"/>
  <c r="X327" i="4"/>
  <c r="X258" i="4"/>
  <c r="X410" i="4"/>
  <c r="X209" i="4"/>
  <c r="X113" i="4"/>
  <c r="Z113" i="4" s="1"/>
  <c r="AA113" i="4" s="1"/>
  <c r="X379" i="4"/>
  <c r="X108" i="4"/>
  <c r="Z108" i="4" s="1"/>
  <c r="AA108" i="4" s="1"/>
  <c r="X257" i="4"/>
  <c r="X139" i="4"/>
  <c r="Z139" i="4" s="1"/>
  <c r="AA139" i="4" s="1"/>
  <c r="X382" i="4"/>
  <c r="X437" i="4"/>
  <c r="X491" i="4"/>
  <c r="X488" i="4"/>
  <c r="X127" i="4"/>
  <c r="X7" i="4"/>
  <c r="X331" i="4"/>
  <c r="X255" i="4"/>
  <c r="Z255" i="4" s="1"/>
  <c r="AA255" i="4" s="1"/>
  <c r="X453" i="4"/>
  <c r="X226" i="4"/>
  <c r="Z226" i="4" s="1"/>
  <c r="AA226" i="4" s="1"/>
  <c r="X180" i="4"/>
  <c r="X261" i="4"/>
  <c r="Z261" i="4" s="1"/>
  <c r="AA261" i="4" s="1"/>
  <c r="X458" i="4"/>
  <c r="X73" i="4"/>
  <c r="X164" i="4"/>
  <c r="X313" i="4"/>
  <c r="X114" i="4"/>
  <c r="X122" i="4"/>
  <c r="X238" i="4"/>
  <c r="X97" i="4"/>
  <c r="Z97" i="4" s="1"/>
  <c r="AA97" i="4" s="1"/>
  <c r="X445" i="4"/>
  <c r="X51" i="4"/>
  <c r="X183" i="4"/>
  <c r="X232" i="4"/>
  <c r="Z232" i="4" s="1"/>
  <c r="AA232" i="4" s="1"/>
  <c r="X76" i="4"/>
  <c r="X406" i="4"/>
  <c r="X285" i="4"/>
  <c r="X321" i="4"/>
  <c r="X332" i="4"/>
  <c r="X455" i="4"/>
  <c r="X104" i="4"/>
  <c r="X248" i="4"/>
  <c r="Z248" i="4" s="1"/>
  <c r="AA248" i="4" s="1"/>
  <c r="X246" i="4"/>
  <c r="X272" i="4"/>
  <c r="Z272" i="4" s="1"/>
  <c r="AA272" i="4" s="1"/>
  <c r="X469" i="4"/>
  <c r="X259" i="4"/>
  <c r="Z259" i="4" s="1"/>
  <c r="AA259" i="4" s="1"/>
  <c r="X405" i="4"/>
  <c r="X61" i="4"/>
  <c r="X111" i="4"/>
  <c r="X217" i="4"/>
  <c r="X137" i="4"/>
  <c r="X22" i="4"/>
  <c r="X444" i="4"/>
  <c r="X24" i="4"/>
  <c r="Z24" i="4" s="1"/>
  <c r="AA24" i="4" s="1"/>
  <c r="X419" i="4"/>
  <c r="X402" i="4"/>
  <c r="Z402" i="4" s="1"/>
  <c r="AA402" i="4" s="1"/>
  <c r="X91" i="4"/>
  <c r="X271" i="4"/>
  <c r="Z271" i="4" s="1"/>
  <c r="AA271" i="4" s="1"/>
  <c r="X277" i="4"/>
  <c r="X435" i="4"/>
  <c r="X207" i="4"/>
  <c r="X438" i="4"/>
  <c r="X194" i="4"/>
  <c r="X390" i="4"/>
  <c r="X500" i="4"/>
  <c r="X287" i="4"/>
  <c r="Z287" i="4" s="1"/>
  <c r="AA287" i="4" s="1"/>
  <c r="X397" i="4"/>
  <c r="X141" i="4"/>
  <c r="X171" i="4"/>
  <c r="X447" i="4"/>
  <c r="Z447" i="4" s="1"/>
  <c r="AA447" i="4" s="1"/>
  <c r="X136" i="4"/>
  <c r="X38" i="4"/>
  <c r="X340" i="4"/>
  <c r="X503" i="4"/>
  <c r="X19" i="4"/>
  <c r="X17" i="4"/>
  <c r="X380" i="4"/>
  <c r="X365" i="4"/>
  <c r="Z365" i="4" s="1"/>
  <c r="AA365" i="4" s="1"/>
  <c r="X309" i="4"/>
  <c r="X116" i="4"/>
  <c r="Z116" i="4" s="1"/>
  <c r="AA116" i="4" s="1"/>
  <c r="X14" i="4"/>
  <c r="X273" i="4"/>
  <c r="Z273" i="4" s="1"/>
  <c r="AA273" i="4" s="1"/>
  <c r="X68" i="4"/>
  <c r="X345" i="4"/>
  <c r="X197" i="4"/>
  <c r="X244" i="4"/>
  <c r="X77" i="4"/>
  <c r="X176" i="4"/>
  <c r="X461" i="4"/>
  <c r="X155" i="4"/>
  <c r="Z155" i="4" s="1"/>
  <c r="AA155" i="4" s="1"/>
  <c r="X412" i="4"/>
  <c r="X399" i="4"/>
  <c r="Z399" i="4" s="1"/>
  <c r="AA399" i="4" s="1"/>
  <c r="X319" i="4"/>
  <c r="X120" i="4"/>
  <c r="Z120" i="4" s="1"/>
  <c r="AA120" i="4" s="1"/>
  <c r="X499" i="4"/>
  <c r="X228" i="4"/>
  <c r="X187" i="4"/>
  <c r="X279" i="4"/>
  <c r="X101" i="4"/>
  <c r="X168" i="4"/>
  <c r="X454" i="4"/>
  <c r="X146" i="4"/>
  <c r="Z146" i="4" s="1"/>
  <c r="AA146" i="4" s="1"/>
  <c r="X325" i="4"/>
  <c r="X394" i="4"/>
  <c r="X59" i="4"/>
  <c r="X367" i="4"/>
  <c r="Z367" i="4" s="1"/>
  <c r="AA367" i="4" s="1"/>
  <c r="X481" i="4"/>
  <c r="X498" i="4"/>
  <c r="X315" i="4"/>
  <c r="X354" i="4"/>
  <c r="X431" i="4"/>
  <c r="X233" i="4"/>
  <c r="X474" i="4"/>
  <c r="X203" i="4"/>
  <c r="Z203" i="4" s="1"/>
  <c r="AA203" i="4" s="1"/>
  <c r="X334" i="4"/>
  <c r="X33" i="4"/>
  <c r="X211" i="4"/>
  <c r="X186" i="4"/>
  <c r="X408" i="4"/>
  <c r="X429" i="4"/>
  <c r="X185" i="4"/>
  <c r="X84" i="4"/>
  <c r="X256" i="4"/>
  <c r="X208" i="4"/>
  <c r="X134" i="4"/>
  <c r="X200" i="4"/>
  <c r="X162" i="4"/>
  <c r="X172" i="4"/>
  <c r="Z172" i="4" s="1"/>
  <c r="AA172" i="4" s="1"/>
  <c r="X201" i="4"/>
  <c r="X107" i="4"/>
  <c r="Z107" i="4" s="1"/>
  <c r="AA107" i="4" s="1"/>
  <c r="X219" i="4"/>
  <c r="X165" i="4"/>
  <c r="X86" i="4"/>
  <c r="X451" i="4"/>
  <c r="X152" i="4"/>
  <c r="X103" i="4"/>
  <c r="X497" i="4"/>
  <c r="X123" i="4"/>
  <c r="Z123" i="4" s="1"/>
  <c r="AA123" i="4" s="1"/>
  <c r="X75" i="4"/>
  <c r="X452" i="4"/>
  <c r="Z452" i="4" s="1"/>
  <c r="AA452" i="4" s="1"/>
  <c r="X62" i="4"/>
  <c r="X291" i="4"/>
  <c r="Z291" i="4" s="1"/>
  <c r="AA291" i="4" s="1"/>
  <c r="X305" i="4"/>
  <c r="X240" i="4"/>
  <c r="X495" i="4"/>
  <c r="X252" i="4"/>
  <c r="X46" i="4"/>
  <c r="X386" i="4"/>
  <c r="X126" i="4"/>
  <c r="X57" i="4"/>
  <c r="Z57" i="4" s="1"/>
  <c r="AA57" i="4" s="1"/>
  <c r="X401" i="4"/>
  <c r="X342" i="4"/>
  <c r="Z342" i="4" s="1"/>
  <c r="AA342" i="4" s="1"/>
  <c r="X358" i="4"/>
  <c r="X210" i="4"/>
  <c r="Z210" i="4" s="1"/>
  <c r="AA210" i="4" s="1"/>
  <c r="X5" i="4"/>
  <c r="X177" i="4"/>
  <c r="X47" i="4"/>
  <c r="X56" i="4"/>
  <c r="X377" i="4"/>
  <c r="X421" i="4"/>
  <c r="X393" i="4"/>
  <c r="X70" i="4"/>
  <c r="Z70" i="4" s="1"/>
  <c r="AA70" i="4" s="1"/>
  <c r="X60" i="4"/>
  <c r="X50" i="4"/>
  <c r="Z50" i="4" s="1"/>
  <c r="AA50" i="4" s="1"/>
  <c r="X8" i="4"/>
  <c r="X79" i="4"/>
  <c r="Z79" i="4" s="1"/>
  <c r="AA79" i="4" s="1"/>
  <c r="X294" i="4"/>
  <c r="X148" i="4"/>
  <c r="X286" i="4"/>
  <c r="X266" i="4"/>
  <c r="X247" i="4"/>
  <c r="X110" i="4"/>
  <c r="X182" i="4"/>
  <c r="X150" i="4"/>
  <c r="Z150" i="4" s="1"/>
  <c r="AA150" i="4" s="1"/>
  <c r="X64" i="4"/>
  <c r="X468" i="4"/>
  <c r="Z468" i="4" s="1"/>
  <c r="AA468" i="4" s="1"/>
  <c r="X170" i="4"/>
  <c r="X52" i="4"/>
  <c r="Z52" i="4" s="1"/>
  <c r="AA52" i="4" s="1"/>
  <c r="X475" i="4"/>
  <c r="X173" i="4"/>
  <c r="X463" i="4"/>
  <c r="X223" i="4"/>
  <c r="X191" i="4"/>
  <c r="X396" i="4"/>
  <c r="X470" i="4"/>
  <c r="X87" i="4"/>
  <c r="Z87" i="4" s="1"/>
  <c r="AA87" i="4" s="1"/>
  <c r="X446" i="4"/>
  <c r="X190" i="4"/>
  <c r="Z190" i="4" s="1"/>
  <c r="AA190" i="4" s="1"/>
  <c r="X88" i="4"/>
  <c r="X346" i="4"/>
  <c r="Z346" i="4" s="1"/>
  <c r="AA346" i="4" s="1"/>
  <c r="X278" i="4"/>
  <c r="X230" i="4"/>
  <c r="X220" i="4"/>
  <c r="X9" i="4"/>
  <c r="X427" i="4"/>
  <c r="X303" i="4"/>
  <c r="X156" i="4"/>
  <c r="X199" i="4"/>
  <c r="X496" i="4"/>
  <c r="X128" i="4"/>
  <c r="Z128" i="4" s="1"/>
  <c r="AA128" i="4" s="1"/>
  <c r="X251" i="4"/>
  <c r="X290" i="4"/>
  <c r="Z290" i="4" s="1"/>
  <c r="AA290" i="4" s="1"/>
  <c r="X297" i="4"/>
  <c r="X102" i="4"/>
  <c r="X121" i="4"/>
  <c r="X43" i="4"/>
  <c r="X370" i="4"/>
  <c r="X368" i="4"/>
  <c r="X192" i="4"/>
  <c r="X423" i="4"/>
  <c r="Z423" i="4" s="1"/>
  <c r="AA423" i="4" s="1"/>
  <c r="X157" i="4"/>
  <c r="X472" i="4"/>
  <c r="Z472" i="4" s="1"/>
  <c r="AA472" i="4" s="1"/>
  <c r="X44" i="4"/>
  <c r="X299" i="4"/>
  <c r="Z299" i="4" s="1"/>
  <c r="AA299" i="4" s="1"/>
  <c r="X350" i="4"/>
  <c r="X12" i="4"/>
  <c r="X174" i="4"/>
  <c r="X449" i="4"/>
  <c r="X151" i="4"/>
  <c r="X276" i="4"/>
  <c r="X462" i="4"/>
  <c r="X231" i="4"/>
  <c r="Z231" i="4" s="1"/>
  <c r="AA231" i="4" s="1"/>
  <c r="X296" i="4"/>
  <c r="X115" i="4"/>
  <c r="Z115" i="4" s="1"/>
  <c r="AA115" i="4" s="1"/>
  <c r="X80" i="4"/>
  <c r="X149" i="4"/>
  <c r="Z149" i="4" s="1"/>
  <c r="AA149" i="4" s="1"/>
  <c r="X275" i="4"/>
  <c r="X133" i="4"/>
  <c r="X283" i="4"/>
  <c r="X502" i="4"/>
  <c r="X422" i="4"/>
  <c r="X378" i="4"/>
  <c r="X27" i="4"/>
  <c r="X81" i="4"/>
  <c r="Z81" i="4" s="1"/>
  <c r="AA81" i="4" s="1"/>
  <c r="X426" i="4"/>
  <c r="X179" i="4"/>
  <c r="Z179" i="4" s="1"/>
  <c r="AA179" i="4" s="1"/>
  <c r="X214" i="4"/>
  <c r="X293" i="4"/>
  <c r="Z293" i="4" s="1"/>
  <c r="AA293" i="4" s="1"/>
  <c r="X66" i="4"/>
  <c r="X443" i="4"/>
  <c r="X353" i="4"/>
  <c r="X311" i="4"/>
  <c r="X430" i="4"/>
  <c r="X16" i="4"/>
  <c r="X464" i="4"/>
  <c r="X307" i="4"/>
  <c r="Z307" i="4" s="1"/>
  <c r="AA307" i="4" s="1"/>
  <c r="X53" i="4"/>
  <c r="X328" i="4"/>
  <c r="Z328" i="4" s="1"/>
  <c r="AA328" i="4" s="1"/>
  <c r="X336" i="4"/>
  <c r="X253" i="4"/>
  <c r="Z253" i="4" s="1"/>
  <c r="AA253" i="4" s="1"/>
  <c r="X254" i="4"/>
  <c r="X225" i="4"/>
  <c r="X213" i="4"/>
  <c r="X216" i="4"/>
  <c r="X357" i="4"/>
  <c r="X323" i="4"/>
  <c r="X392" i="4"/>
  <c r="X250" i="4"/>
  <c r="Z250" i="4" s="1"/>
  <c r="AA250" i="4" s="1"/>
  <c r="X483" i="4"/>
  <c r="X292" i="4"/>
  <c r="Z292" i="4" s="1"/>
  <c r="AA292" i="4" s="1"/>
  <c r="X263" i="4"/>
  <c r="X383" i="4"/>
  <c r="Z383" i="4" s="1"/>
  <c r="AA383" i="4" s="1"/>
  <c r="X147" i="4"/>
  <c r="X411" i="4"/>
  <c r="X132" i="4"/>
  <c r="X482" i="4"/>
  <c r="X161" i="4"/>
  <c r="X388" i="4"/>
  <c r="X318" i="4"/>
  <c r="X415" i="4"/>
  <c r="Z415" i="4" s="1"/>
  <c r="AA415" i="4" s="1"/>
  <c r="X424" i="4"/>
  <c r="X181" i="4"/>
  <c r="Z181" i="4" s="1"/>
  <c r="AA181" i="4" s="1"/>
  <c r="X90" i="4"/>
  <c r="X384" i="4"/>
  <c r="Z384" i="4" s="1"/>
  <c r="AA384" i="4" s="1"/>
  <c r="X243" i="4"/>
  <c r="X262" i="4"/>
  <c r="X235" i="4"/>
  <c r="X465" i="4"/>
  <c r="X484" i="4"/>
  <c r="X289" i="4"/>
  <c r="X6" i="4"/>
  <c r="X385" i="4"/>
  <c r="Z385" i="4" s="1"/>
  <c r="AA385" i="4" s="1"/>
  <c r="X41" i="4"/>
  <c r="X35" i="4"/>
  <c r="Z35" i="4" s="1"/>
  <c r="AA35" i="4" s="1"/>
  <c r="X25" i="4"/>
  <c r="X10" i="4"/>
  <c r="Z10" i="4" s="1"/>
  <c r="AA10" i="4" s="1"/>
  <c r="X337" i="4"/>
  <c r="X440" i="4"/>
  <c r="X288" i="4"/>
  <c r="X63" i="4"/>
  <c r="X265" i="4"/>
  <c r="X280" i="4"/>
  <c r="X351" i="4"/>
  <c r="X237" i="4"/>
  <c r="Z237" i="4" s="1"/>
  <c r="AA237" i="4" s="1"/>
  <c r="X242" i="4"/>
  <c r="X96" i="4"/>
  <c r="Z96" i="4" s="1"/>
  <c r="AA96" i="4" s="1"/>
  <c r="X78" i="4"/>
  <c r="X333" i="4"/>
  <c r="X269" i="4"/>
  <c r="X71" i="4"/>
  <c r="X441" i="4"/>
  <c r="X4" i="4"/>
  <c r="X413" i="4"/>
  <c r="X403" i="4"/>
  <c r="X83" i="4"/>
  <c r="X312" i="4"/>
  <c r="Z312" i="4" s="1"/>
  <c r="AA312" i="4" s="1"/>
  <c r="X439" i="4"/>
  <c r="X229" i="4"/>
  <c r="X85" i="4"/>
  <c r="X18" i="4"/>
  <c r="Z18" i="4" s="1"/>
  <c r="AA18" i="4" s="1"/>
  <c r="X212" i="4"/>
  <c r="X355" i="4"/>
  <c r="X195" i="4"/>
  <c r="X175" i="4"/>
  <c r="X420" i="4"/>
  <c r="X326" i="4"/>
  <c r="X37" i="4"/>
  <c r="X344" i="4"/>
  <c r="Z344" i="4" s="1"/>
  <c r="AA344" i="4" s="1"/>
  <c r="X363" i="4"/>
  <c r="X28" i="4"/>
  <c r="Z28" i="4" s="1"/>
  <c r="AA28" i="4" s="1"/>
  <c r="X36" i="4"/>
  <c r="X329" i="4"/>
  <c r="Z329" i="4" s="1"/>
  <c r="AA329" i="4" s="1"/>
  <c r="X425" i="4"/>
  <c r="X15" i="4"/>
  <c r="X494" i="4"/>
  <c r="X95" i="4"/>
  <c r="X234" i="4"/>
  <c r="X224" i="4"/>
  <c r="X366" i="4"/>
  <c r="X467" i="4"/>
  <c r="Z467" i="4" s="1"/>
  <c r="AA467" i="4" s="1"/>
  <c r="X391" i="4"/>
  <c r="X428" i="4"/>
  <c r="Z428" i="4" s="1"/>
  <c r="AA428" i="4" s="1"/>
  <c r="X300" i="4"/>
  <c r="X67" i="4"/>
  <c r="Z67" i="4" s="1"/>
  <c r="AA67" i="4" s="1"/>
  <c r="X282" i="4"/>
  <c r="X241" i="4"/>
  <c r="X178" i="4"/>
  <c r="X335" i="4"/>
  <c r="X117" i="4"/>
  <c r="X184" i="4"/>
  <c r="X249" i="4"/>
  <c r="X492" i="4"/>
  <c r="Z492" i="4" s="1"/>
  <c r="AA492" i="4" s="1"/>
  <c r="V96" i="4"/>
  <c r="W96" i="4"/>
  <c r="V219" i="4"/>
  <c r="W219" i="4"/>
  <c r="V7" i="4"/>
  <c r="W7" i="4"/>
  <c r="V445" i="4"/>
  <c r="W445" i="4"/>
  <c r="W236" i="4"/>
  <c r="V236" i="4"/>
  <c r="V37" i="4"/>
  <c r="W37" i="4"/>
  <c r="V318" i="4"/>
  <c r="W318" i="4"/>
  <c r="V220" i="4"/>
  <c r="W220" i="4"/>
  <c r="V228" i="4"/>
  <c r="W228" i="4"/>
  <c r="V485" i="4"/>
  <c r="W485" i="4"/>
  <c r="V107" i="4"/>
  <c r="W107" i="4"/>
  <c r="V321" i="4"/>
  <c r="W321" i="4"/>
  <c r="W19" i="4"/>
  <c r="V19" i="4"/>
  <c r="W216" i="4"/>
  <c r="V216" i="4"/>
  <c r="V44" i="4"/>
  <c r="W44" i="4"/>
  <c r="V195" i="4"/>
  <c r="W195" i="4"/>
  <c r="V288" i="4"/>
  <c r="W288" i="4"/>
  <c r="W204" i="4"/>
  <c r="V204" i="4"/>
  <c r="V129" i="4"/>
  <c r="W129" i="4"/>
  <c r="W277" i="4"/>
  <c r="V277" i="4"/>
  <c r="V97" i="4"/>
  <c r="W97" i="4"/>
  <c r="V344" i="4"/>
  <c r="W344" i="4"/>
  <c r="W202" i="4"/>
  <c r="V202" i="4"/>
  <c r="W42" i="4"/>
  <c r="V42" i="4"/>
  <c r="V242" i="4"/>
  <c r="W242" i="4"/>
  <c r="V84" i="4"/>
  <c r="W84" i="4"/>
  <c r="W116" i="4"/>
  <c r="V116" i="4"/>
  <c r="V184" i="4"/>
  <c r="W184" i="4"/>
  <c r="V235" i="4"/>
  <c r="W235" i="4"/>
  <c r="V134" i="4"/>
  <c r="W134" i="4"/>
  <c r="V273" i="4"/>
  <c r="W273" i="4"/>
  <c r="V176" i="4"/>
  <c r="W176" i="4"/>
  <c r="V448" i="4"/>
  <c r="W448" i="4"/>
  <c r="W294" i="4"/>
  <c r="V294" i="4"/>
  <c r="W26" i="4"/>
  <c r="V26" i="4"/>
  <c r="W192" i="4"/>
  <c r="V192" i="4"/>
  <c r="V454" i="4"/>
  <c r="W454" i="4"/>
  <c r="V283" i="4"/>
  <c r="W283" i="4"/>
  <c r="W100" i="4"/>
  <c r="V100" i="4"/>
  <c r="W89" i="4"/>
  <c r="V89" i="4"/>
  <c r="W64" i="4"/>
  <c r="V64" i="4"/>
  <c r="V290" i="4"/>
  <c r="W290" i="4"/>
  <c r="V43" i="4"/>
  <c r="W43" i="4"/>
  <c r="V62" i="4"/>
  <c r="W62" i="4"/>
  <c r="V117" i="4"/>
  <c r="W117" i="4"/>
  <c r="V74" i="4"/>
  <c r="W74" i="4"/>
  <c r="Z252" i="4"/>
  <c r="Z239" i="4"/>
  <c r="AA239" i="4" s="1"/>
  <c r="Z110" i="4"/>
  <c r="Z274" i="4"/>
  <c r="AA274" i="4" s="1"/>
  <c r="Z368" i="4"/>
  <c r="Z464" i="4"/>
  <c r="AA464" i="4" s="1"/>
  <c r="Z73" i="4"/>
  <c r="Z228" i="4"/>
  <c r="AA228" i="4" s="1"/>
  <c r="Z133" i="4"/>
  <c r="Z317" i="4"/>
  <c r="Z417" i="4"/>
  <c r="Z374" i="4"/>
  <c r="AA374" i="4" s="1"/>
  <c r="Z47" i="4"/>
  <c r="AA47" i="4" s="1"/>
  <c r="Z89" i="4"/>
  <c r="Z495" i="4"/>
  <c r="AA495" i="4" s="1"/>
  <c r="Z137" i="4"/>
  <c r="Z400" i="4"/>
  <c r="Z158" i="4"/>
  <c r="AA158" i="4" s="1"/>
  <c r="Z127" i="4"/>
  <c r="AA127" i="4" s="1"/>
  <c r="Z311" i="4"/>
  <c r="Z445" i="4"/>
  <c r="Z215" i="4"/>
  <c r="AA215" i="4" s="1"/>
  <c r="Z479" i="4"/>
  <c r="Z309" i="4"/>
  <c r="Z350" i="4"/>
  <c r="Z162" i="4"/>
  <c r="AA162" i="4" s="1"/>
  <c r="Z86" i="4"/>
  <c r="AA86" i="4" s="1"/>
  <c r="Z498" i="4"/>
  <c r="AA498" i="4" s="1"/>
  <c r="Z409" i="4"/>
  <c r="AA409" i="4" s="1"/>
  <c r="Z419" i="4"/>
  <c r="AA140" i="4"/>
  <c r="Z68" i="4"/>
  <c r="Z109" i="4"/>
  <c r="AA109" i="4" s="1"/>
  <c r="Z494" i="4"/>
  <c r="AA494" i="4" s="1"/>
  <c r="Z217" i="4"/>
  <c r="AA217" i="4" s="1"/>
  <c r="Z206" i="4"/>
  <c r="Z124" i="4"/>
  <c r="Z266" i="4"/>
  <c r="Z85" i="4"/>
  <c r="AA85" i="4" s="1"/>
  <c r="Z348" i="4"/>
  <c r="AA348" i="4" s="1"/>
  <c r="Z310" i="4"/>
  <c r="AA310" i="4" s="1"/>
  <c r="Z104" i="4"/>
  <c r="AA104" i="4" s="1"/>
  <c r="Z157" i="4"/>
  <c r="AA157" i="4" s="1"/>
  <c r="Z197" i="4"/>
  <c r="Z449" i="4"/>
  <c r="AA449" i="4" s="1"/>
  <c r="Z324" i="4"/>
  <c r="Z485" i="4"/>
  <c r="AA485" i="4" s="1"/>
  <c r="Z276" i="4"/>
  <c r="Z199" i="4"/>
  <c r="AA199" i="4" s="1"/>
  <c r="Z5" i="4"/>
  <c r="Z51" i="4"/>
  <c r="AA51" i="4" s="1"/>
  <c r="Z325" i="4"/>
  <c r="Z429" i="4"/>
  <c r="AA429" i="4" s="1"/>
  <c r="Z156" i="4"/>
  <c r="Z486" i="4"/>
  <c r="AA486" i="4" s="1"/>
  <c r="Z458" i="4"/>
  <c r="AA458" i="4" s="1"/>
  <c r="Z288" i="4"/>
  <c r="AA288" i="4" s="1"/>
  <c r="Z151" i="4"/>
  <c r="AA151" i="4" s="1"/>
  <c r="Z413" i="4"/>
  <c r="Z33" i="4"/>
  <c r="AA33" i="4" s="1"/>
  <c r="Z357" i="4"/>
  <c r="Z422" i="4"/>
  <c r="AA422" i="4" s="1"/>
  <c r="Z354" i="4"/>
  <c r="AA354" i="4" s="1"/>
  <c r="Z243" i="4"/>
  <c r="AA243" i="4" s="1"/>
  <c r="Z278" i="4"/>
  <c r="AA278" i="4" s="1"/>
  <c r="Z391" i="4"/>
  <c r="Z475" i="4"/>
  <c r="AA475" i="4" s="1"/>
  <c r="Z318" i="4"/>
  <c r="AA318" i="4" s="1"/>
  <c r="Z106" i="4"/>
  <c r="AA106" i="4" s="1"/>
  <c r="Z465" i="4"/>
  <c r="Z432" i="4"/>
  <c r="AA432" i="4" s="1"/>
  <c r="Z355" i="4"/>
  <c r="Z160" i="4"/>
  <c r="Z171" i="4"/>
  <c r="Z188" i="4"/>
  <c r="AA5" i="4"/>
  <c r="Z438" i="4"/>
  <c r="AA438" i="4" s="1"/>
  <c r="Z394" i="4"/>
  <c r="AA394" i="4" s="1"/>
  <c r="Z257" i="4"/>
  <c r="AA257" i="4" s="1"/>
  <c r="Z140" i="4"/>
  <c r="Z22" i="4"/>
  <c r="AA22" i="4" s="1"/>
  <c r="Z159" i="4"/>
  <c r="Z44" i="4"/>
  <c r="AA44" i="4" s="1"/>
  <c r="Z246" i="4"/>
  <c r="AA246" i="4" s="1"/>
  <c r="AA309" i="4"/>
  <c r="Z34" i="4"/>
  <c r="AA34" i="4" s="1"/>
  <c r="Z487" i="4"/>
  <c r="Z178" i="4"/>
  <c r="Z482" i="4"/>
  <c r="AA482" i="4" s="1"/>
  <c r="Z196" i="4"/>
  <c r="AA196" i="4" s="1"/>
  <c r="Z332" i="4"/>
  <c r="AA332" i="4" s="1"/>
  <c r="Z177" i="4"/>
  <c r="Z240" i="4"/>
  <c r="AA240" i="4" s="1"/>
  <c r="Z360" i="4"/>
  <c r="Z439" i="4"/>
  <c r="AA439" i="4" s="1"/>
  <c r="AA276" i="4"/>
  <c r="Z174" i="4"/>
  <c r="Z111" i="4"/>
  <c r="AA111" i="4" s="1"/>
  <c r="Z361" i="4"/>
  <c r="AA361" i="4" s="1"/>
  <c r="Z213" i="4"/>
  <c r="AA213" i="4" s="1"/>
  <c r="AA159" i="4"/>
  <c r="Z122" i="4"/>
  <c r="AA122" i="4" s="1"/>
  <c r="Z208" i="4"/>
  <c r="AA208" i="4" s="1"/>
  <c r="Z420" i="4"/>
  <c r="AA420" i="4" s="1"/>
  <c r="Z209" i="4"/>
  <c r="AA311" i="4"/>
  <c r="Z263" i="4"/>
  <c r="AA263" i="4" s="1"/>
  <c r="Z347" i="4"/>
  <c r="Z398" i="4"/>
  <c r="AA398" i="4" s="1"/>
  <c r="AA479" i="4"/>
  <c r="Z258" i="4"/>
  <c r="AA258" i="4" s="1"/>
  <c r="AA487" i="4"/>
  <c r="Z308" i="4"/>
  <c r="AA308" i="4" s="1"/>
  <c r="Z437" i="4"/>
  <c r="AA437" i="4" s="1"/>
  <c r="AA391" i="4"/>
  <c r="Z219" i="4"/>
  <c r="AA219" i="4" s="1"/>
  <c r="AA110" i="4"/>
  <c r="Z336" i="4"/>
  <c r="AA336" i="4" s="1"/>
  <c r="Z183" i="4"/>
  <c r="AA183" i="4" s="1"/>
  <c r="AA413" i="4"/>
  <c r="Z500" i="4"/>
  <c r="AA500" i="4" s="1"/>
  <c r="Z480" i="4"/>
  <c r="AA480" i="4" s="1"/>
  <c r="AA209" i="4"/>
  <c r="AA347" i="4"/>
  <c r="Z427" i="4"/>
  <c r="Z189" i="4"/>
  <c r="AA189" i="4" s="1"/>
  <c r="Z270" i="4"/>
  <c r="AA270" i="4" s="1"/>
  <c r="Z380" i="4"/>
  <c r="AA380" i="4" s="1"/>
  <c r="Z382" i="4"/>
  <c r="Z460" i="4"/>
  <c r="AA460" i="4" s="1"/>
  <c r="Z233" i="4"/>
  <c r="Z36" i="4"/>
  <c r="AA36" i="4" s="1"/>
  <c r="AA137" i="4"/>
  <c r="AA445" i="4"/>
  <c r="Z446" i="4"/>
  <c r="AA446" i="4" s="1"/>
  <c r="Z297" i="4"/>
  <c r="AA297" i="4" s="1"/>
  <c r="AA252" i="4"/>
  <c r="Z286" i="4"/>
  <c r="AA286" i="4" s="1"/>
  <c r="AA233" i="4"/>
  <c r="Z212" i="4"/>
  <c r="AA212" i="4" s="1"/>
  <c r="AA133" i="4"/>
  <c r="AA357" i="4"/>
  <c r="Z121" i="4"/>
  <c r="AA121" i="4" s="1"/>
  <c r="Z117" i="4"/>
  <c r="Z397" i="4"/>
  <c r="AA397" i="4" s="1"/>
  <c r="AA124" i="4"/>
  <c r="Z147" i="4"/>
  <c r="AA147" i="4" s="1"/>
  <c r="Z136" i="4"/>
  <c r="AA136" i="4" s="1"/>
  <c r="Z119" i="4"/>
  <c r="AA119" i="4" s="1"/>
  <c r="Z198" i="4"/>
  <c r="AA198" i="4" s="1"/>
  <c r="Z305" i="4"/>
  <c r="AA305" i="4" s="1"/>
  <c r="Z457" i="4"/>
  <c r="AA457" i="4" s="1"/>
  <c r="Z434" i="4"/>
  <c r="AA434" i="4" s="1"/>
  <c r="Z379" i="4"/>
  <c r="AA379" i="4" s="1"/>
  <c r="Z493" i="4"/>
  <c r="AA493" i="4" s="1"/>
  <c r="Z103" i="4"/>
  <c r="AA103" i="4" s="1"/>
  <c r="Z40" i="4"/>
  <c r="AA40" i="4" s="1"/>
  <c r="Z230" i="4"/>
  <c r="AA230" i="4" s="1"/>
  <c r="Z112" i="4"/>
  <c r="AA112" i="4" s="1"/>
  <c r="Z45" i="4"/>
  <c r="AA45" i="4" s="1"/>
  <c r="Z289" i="4"/>
  <c r="AA289" i="4" s="1"/>
  <c r="Z164" i="4"/>
  <c r="AA164" i="4" s="1"/>
  <c r="Z16" i="4"/>
  <c r="AA16" i="4" s="1"/>
  <c r="Z456" i="4"/>
  <c r="Z195" i="4"/>
  <c r="AA195" i="4" s="1"/>
  <c r="Z478" i="4"/>
  <c r="AA478" i="4" s="1"/>
  <c r="Z501" i="4"/>
  <c r="AA501" i="4" s="1"/>
  <c r="Z59" i="4"/>
  <c r="AA59" i="4" s="1"/>
  <c r="Z74" i="4"/>
  <c r="AA74" i="4" s="1"/>
  <c r="Z61" i="4"/>
  <c r="AA61" i="4" s="1"/>
  <c r="Z279" i="4"/>
  <c r="AA279" i="4" s="1"/>
  <c r="Z331" i="4"/>
  <c r="Z17" i="4"/>
  <c r="AA17" i="4" s="1"/>
  <c r="Z426" i="4"/>
  <c r="AA426" i="4" s="1"/>
  <c r="Z414" i="4"/>
  <c r="AA414" i="4" s="1"/>
  <c r="Z166" i="4"/>
  <c r="AA166" i="4" s="1"/>
  <c r="Z225" i="4"/>
  <c r="Z268" i="4"/>
  <c r="AA268" i="4" s="1"/>
  <c r="Z277" i="4"/>
  <c r="Z313" i="4"/>
  <c r="AA313" i="4" s="1"/>
  <c r="Z80" i="4"/>
  <c r="AA80" i="4" s="1"/>
  <c r="Z444" i="4"/>
  <c r="Z388" i="4"/>
  <c r="AA388" i="4" s="1"/>
  <c r="Z381" i="4"/>
  <c r="AA381" i="4" s="1"/>
  <c r="Z66" i="4"/>
  <c r="AA66" i="4" s="1"/>
  <c r="Z476" i="4"/>
  <c r="AA476" i="4" s="1"/>
  <c r="Z38" i="4"/>
  <c r="Z441" i="4"/>
  <c r="AA441" i="4" s="1"/>
  <c r="Z406" i="4"/>
  <c r="AA406" i="4" s="1"/>
  <c r="Z69" i="4"/>
  <c r="AA69" i="4" s="1"/>
  <c r="Z53" i="4"/>
  <c r="AA53" i="4" s="1"/>
  <c r="Z435" i="4"/>
  <c r="AA435" i="4" s="1"/>
  <c r="Z285" i="4"/>
  <c r="AA285" i="4" s="1"/>
  <c r="Z154" i="4"/>
  <c r="AA154" i="4" s="1"/>
  <c r="Z205" i="4"/>
  <c r="AA205" i="4" s="1"/>
  <c r="Z462" i="4"/>
  <c r="AA462" i="4" s="1"/>
  <c r="AA225" i="4"/>
  <c r="AA68" i="4"/>
  <c r="Z483" i="4"/>
  <c r="AA483" i="4" s="1"/>
  <c r="Z6" i="4"/>
  <c r="AA6" i="4" s="1"/>
  <c r="Z224" i="4"/>
  <c r="AA224" i="4" s="1"/>
  <c r="Z461" i="4"/>
  <c r="Z58" i="4"/>
  <c r="AA58" i="4" s="1"/>
  <c r="Z345" i="4"/>
  <c r="Z333" i="4"/>
  <c r="AA333" i="4" s="1"/>
  <c r="Z161" i="4"/>
  <c r="AA161" i="4" s="1"/>
  <c r="AA461" i="4"/>
  <c r="Z251" i="4"/>
  <c r="AA251" i="4" s="1"/>
  <c r="Z267" i="4"/>
  <c r="AA267" i="4" s="1"/>
  <c r="AA345" i="4"/>
  <c r="AA178" i="4"/>
  <c r="Z95" i="4"/>
  <c r="Z431" i="4"/>
  <c r="AA431" i="4" s="1"/>
  <c r="Z349" i="4"/>
  <c r="Z389" i="4"/>
  <c r="AA389" i="4" s="1"/>
  <c r="Z390" i="4"/>
  <c r="AA188" i="4"/>
  <c r="Z7" i="4"/>
  <c r="AA7" i="4" s="1"/>
  <c r="Z455" i="4"/>
  <c r="AA455" i="4" s="1"/>
  <c r="Z265" i="4"/>
  <c r="AA265" i="4" s="1"/>
  <c r="Z282" i="4"/>
  <c r="AA282" i="4" s="1"/>
  <c r="Z64" i="4"/>
  <c r="AA64" i="4" s="1"/>
  <c r="Z169" i="4"/>
  <c r="AA169" i="4" s="1"/>
  <c r="Z30" i="4"/>
  <c r="AA30" i="4" s="1"/>
  <c r="Z142" i="4"/>
  <c r="AA95" i="4"/>
  <c r="Z14" i="4"/>
  <c r="AA14" i="4" s="1"/>
  <c r="Z343" i="4"/>
  <c r="AA343" i="4" s="1"/>
  <c r="Z481" i="4"/>
  <c r="AA481" i="4" s="1"/>
  <c r="Z186" i="4"/>
  <c r="AA186" i="4" s="1"/>
  <c r="AA89" i="4"/>
  <c r="Z60" i="4"/>
  <c r="AA60" i="4" s="1"/>
  <c r="Z76" i="4"/>
  <c r="AA76" i="4" s="1"/>
  <c r="Z130" i="4"/>
  <c r="AA130" i="4" s="1"/>
  <c r="Z451" i="4"/>
  <c r="AA142" i="4"/>
  <c r="Z182" i="4"/>
  <c r="AA182" i="4" s="1"/>
  <c r="Z410" i="4"/>
  <c r="AA177" i="4"/>
  <c r="AA360" i="4"/>
  <c r="Z280" i="4"/>
  <c r="AA280" i="4" s="1"/>
  <c r="Z386" i="4"/>
  <c r="Z321" i="4"/>
  <c r="AA321" i="4" s="1"/>
  <c r="Z335" i="4"/>
  <c r="AA335" i="4" s="1"/>
  <c r="Z393" i="4"/>
  <c r="AA393" i="4" s="1"/>
  <c r="Z408" i="4"/>
  <c r="AA408" i="4" s="1"/>
  <c r="AA382" i="4"/>
  <c r="Z256" i="4"/>
  <c r="AA256" i="4" s="1"/>
  <c r="AA417" i="4"/>
  <c r="AA197" i="4"/>
  <c r="Z4" i="4"/>
  <c r="AA4" i="4" s="1"/>
  <c r="Z375" i="4"/>
  <c r="AA375" i="4" s="1"/>
  <c r="Z369" i="4"/>
  <c r="AA369" i="4" s="1"/>
  <c r="Z152" i="4"/>
  <c r="AA152" i="4" s="1"/>
  <c r="AA156" i="4"/>
  <c r="AA277" i="4"/>
  <c r="Z463" i="4"/>
  <c r="AA463" i="4" s="1"/>
  <c r="Z15" i="4"/>
  <c r="AA15" i="4" s="1"/>
  <c r="Z221" i="4"/>
  <c r="AA221" i="4" s="1"/>
  <c r="Z504" i="4"/>
  <c r="AA504" i="4" s="1"/>
  <c r="Z148" i="4"/>
  <c r="AA148" i="4" s="1"/>
  <c r="AA419" i="4"/>
  <c r="Z201" i="4"/>
  <c r="AA201" i="4" s="1"/>
  <c r="Z322" i="4"/>
  <c r="AA322" i="4" s="1"/>
  <c r="AA368" i="4"/>
  <c r="Z77" i="4"/>
  <c r="AA77" i="4" s="1"/>
  <c r="Z363" i="4"/>
  <c r="AA363" i="4" s="1"/>
  <c r="Z323" i="4"/>
  <c r="AA323" i="4" s="1"/>
  <c r="Z353" i="4"/>
  <c r="AA353" i="4" s="1"/>
  <c r="Z469" i="4"/>
  <c r="AA469" i="4" s="1"/>
  <c r="Z474" i="4"/>
  <c r="AA474" i="4" s="1"/>
  <c r="Z204" i="4"/>
  <c r="Z56" i="4"/>
  <c r="AA56" i="4" s="1"/>
  <c r="Z499" i="4"/>
  <c r="Z100" i="4"/>
  <c r="Z200" i="4"/>
  <c r="AA200" i="4" s="1"/>
  <c r="Z241" i="4"/>
  <c r="Z370" i="4"/>
  <c r="AA370" i="4" s="1"/>
  <c r="Z418" i="4"/>
  <c r="AA418" i="4" s="1"/>
  <c r="Z337" i="4"/>
  <c r="AA337" i="4" s="1"/>
  <c r="Z46" i="4"/>
  <c r="AA46" i="4" s="1"/>
  <c r="Z411" i="4"/>
  <c r="Z443" i="4"/>
  <c r="AA443" i="4" s="1"/>
  <c r="Z141" i="4"/>
  <c r="AA141" i="4" s="1"/>
  <c r="AA204" i="4"/>
  <c r="AA465" i="4"/>
  <c r="AA73" i="4"/>
  <c r="Z63" i="4"/>
  <c r="AA63" i="4" s="1"/>
  <c r="Z502" i="4"/>
  <c r="AA502" i="4" s="1"/>
  <c r="Z316" i="4"/>
  <c r="AA316" i="4" s="1"/>
  <c r="Z101" i="4"/>
  <c r="AA101" i="4" s="1"/>
  <c r="Z491" i="4"/>
  <c r="AA491" i="4" s="1"/>
  <c r="AA411" i="4"/>
  <c r="Z269" i="4"/>
  <c r="Z192" i="4"/>
  <c r="Z284" i="4"/>
  <c r="Z49" i="4"/>
  <c r="Z168" i="4"/>
  <c r="AA324" i="4"/>
  <c r="Z102" i="4"/>
  <c r="AA102" i="4" s="1"/>
  <c r="Z306" i="4"/>
  <c r="AA306" i="4" s="1"/>
  <c r="Z211" i="4"/>
  <c r="AA211" i="4" s="1"/>
  <c r="Z281" i="4"/>
  <c r="AA281" i="4" s="1"/>
  <c r="Z376" i="4"/>
  <c r="AA376" i="4" s="1"/>
  <c r="AA350" i="4"/>
  <c r="Z302" i="4"/>
  <c r="AA302" i="4" s="1"/>
  <c r="Z41" i="4"/>
  <c r="AA41" i="4" s="1"/>
  <c r="Z12" i="4"/>
  <c r="AA117" i="4"/>
  <c r="Z264" i="4"/>
  <c r="AA264" i="4" s="1"/>
  <c r="Z298" i="4"/>
  <c r="AA298" i="4" s="1"/>
  <c r="Z32" i="4"/>
  <c r="Z194" i="4"/>
  <c r="AA194" i="4" s="1"/>
  <c r="Z180" i="4"/>
  <c r="AA180" i="4" s="1"/>
  <c r="Z220" i="4"/>
  <c r="AA220" i="4" s="1"/>
  <c r="Z11" i="4"/>
  <c r="Z254" i="4"/>
  <c r="AA254" i="4" s="1"/>
  <c r="AA206" i="4"/>
  <c r="AA400" i="4"/>
  <c r="AA12" i="4"/>
  <c r="Z229" i="4"/>
  <c r="AA229" i="4" s="1"/>
  <c r="Z37" i="4"/>
  <c r="AA37" i="4" s="1"/>
  <c r="AA32" i="4"/>
  <c r="Z84" i="4"/>
  <c r="AA84" i="4" s="1"/>
  <c r="Z25" i="4"/>
  <c r="AA25" i="4" s="1"/>
  <c r="AA171" i="4"/>
  <c r="Z187" i="4"/>
  <c r="AA187" i="4" s="1"/>
  <c r="Z99" i="4"/>
  <c r="AA99" i="4" s="1"/>
  <c r="Z430" i="4"/>
  <c r="AA430" i="4" s="1"/>
  <c r="Z216" i="4"/>
  <c r="AA216" i="4" s="1"/>
  <c r="Z126" i="4"/>
  <c r="AA126" i="4" s="1"/>
  <c r="AA11" i="4"/>
  <c r="Z214" i="4"/>
  <c r="AA214" i="4" s="1"/>
  <c r="Z82" i="4"/>
  <c r="AA82" i="4" s="1"/>
  <c r="Z138" i="4"/>
  <c r="AA138" i="4" s="1"/>
  <c r="AA331" i="4"/>
  <c r="Z366" i="4"/>
  <c r="AA366" i="4" s="1"/>
  <c r="AA451" i="4"/>
  <c r="Z315" i="4"/>
  <c r="AA315" i="4" s="1"/>
  <c r="Z207" i="4"/>
  <c r="Z62" i="4"/>
  <c r="AA62" i="4" s="1"/>
  <c r="Z27" i="4"/>
  <c r="AA27" i="4" s="1"/>
  <c r="Z125" i="4"/>
  <c r="AA125" i="4" s="1"/>
  <c r="Z247" i="4"/>
  <c r="AA247" i="4" s="1"/>
  <c r="Z39" i="4"/>
  <c r="AA39" i="4" s="1"/>
  <c r="Z497" i="4"/>
  <c r="AA497" i="4" s="1"/>
  <c r="AA355" i="4"/>
  <c r="AA427" i="4"/>
  <c r="Z334" i="4"/>
  <c r="AA334" i="4" s="1"/>
  <c r="Z134" i="4"/>
  <c r="AA134" i="4" s="1"/>
  <c r="Z304" i="4"/>
  <c r="AA304" i="4" s="1"/>
  <c r="Z326" i="4"/>
  <c r="AA326" i="4" s="1"/>
  <c r="AA349" i="4"/>
  <c r="Z167" i="4"/>
  <c r="AA167" i="4" s="1"/>
  <c r="Z9" i="4"/>
  <c r="AA9" i="4" s="1"/>
  <c r="Z395" i="4"/>
  <c r="AA395" i="4" s="1"/>
  <c r="Z71" i="4"/>
  <c r="AA71" i="4" s="1"/>
  <c r="AA242" i="4"/>
  <c r="Z466" i="4"/>
  <c r="AA466" i="4" s="1"/>
  <c r="Z488" i="4"/>
  <c r="AA488" i="4" s="1"/>
  <c r="Z75" i="4"/>
  <c r="AA75" i="4" s="1"/>
  <c r="Z8" i="4"/>
  <c r="AA8" i="4" s="1"/>
  <c r="Z392" i="4"/>
  <c r="AA392" i="4" s="1"/>
  <c r="Z327" i="4"/>
  <c r="AA327" i="4" s="1"/>
  <c r="Z405" i="4"/>
  <c r="AA405" i="4" s="1"/>
  <c r="AA456" i="4"/>
  <c r="AA38" i="4"/>
  <c r="Z235" i="4"/>
  <c r="AA235" i="4" s="1"/>
  <c r="Z300" i="4"/>
  <c r="AA300" i="4" s="1"/>
  <c r="AA284" i="4"/>
  <c r="Z296" i="4"/>
  <c r="AA296" i="4" s="1"/>
  <c r="Z202" i="4"/>
  <c r="AA202" i="4" s="1"/>
  <c r="Z244" i="4"/>
  <c r="AA244" i="4" s="1"/>
  <c r="Z193" i="4"/>
  <c r="AA193" i="4" s="1"/>
  <c r="AA160" i="4"/>
  <c r="Z94" i="4"/>
  <c r="AA94" i="4" s="1"/>
  <c r="Z404" i="4"/>
  <c r="AA404" i="4" s="1"/>
  <c r="Z176" i="4"/>
  <c r="AA176" i="4" s="1"/>
  <c r="Z440" i="4"/>
  <c r="AA440" i="4" s="1"/>
  <c r="Z54" i="4"/>
  <c r="AA54" i="4" s="1"/>
  <c r="Z83" i="4"/>
  <c r="AA83" i="4" s="1"/>
  <c r="Z473" i="4"/>
  <c r="AA473" i="4" s="1"/>
  <c r="Z43" i="4"/>
  <c r="Z341" i="4"/>
  <c r="AA341" i="4" s="1"/>
  <c r="Z412" i="4"/>
  <c r="AA412" i="4" s="1"/>
  <c r="Z401" i="4"/>
  <c r="AA401" i="4" s="1"/>
  <c r="AA168" i="4"/>
  <c r="Z421" i="4"/>
  <c r="AA421" i="4" s="1"/>
  <c r="Z173" i="4"/>
  <c r="Z249" i="4"/>
  <c r="AA249" i="4" s="1"/>
  <c r="Z396" i="4"/>
  <c r="Z372" i="4"/>
  <c r="AA372" i="4" s="1"/>
  <c r="Z88" i="4"/>
  <c r="AA88" i="4" s="1"/>
  <c r="Z42" i="4"/>
  <c r="AA42" i="4" s="1"/>
  <c r="AA396" i="4"/>
  <c r="Z496" i="4"/>
  <c r="AA496" i="4" s="1"/>
  <c r="Z29" i="4"/>
  <c r="AA29" i="4" s="1"/>
  <c r="AA100" i="4"/>
  <c r="Z98" i="4"/>
  <c r="AA98" i="4" s="1"/>
  <c r="Z105" i="4"/>
  <c r="AA105" i="4" s="1"/>
  <c r="Z91" i="4"/>
  <c r="AA91" i="4" s="1"/>
  <c r="AA410" i="4"/>
  <c r="Z19" i="4"/>
  <c r="AA19" i="4" s="1"/>
  <c r="Z424" i="4"/>
  <c r="Z236" i="4"/>
  <c r="AA236" i="4" s="1"/>
  <c r="Z294" i="4"/>
  <c r="Z238" i="4"/>
  <c r="AA238" i="4" s="1"/>
  <c r="Z227" i="4"/>
  <c r="AA227" i="4" s="1"/>
  <c r="AA424" i="4"/>
  <c r="Z377" i="4"/>
  <c r="AA377" i="4" s="1"/>
  <c r="Z132" i="4"/>
  <c r="AA132" i="4" s="1"/>
  <c r="AA192" i="4"/>
  <c r="Z358" i="4"/>
  <c r="AA358" i="4" s="1"/>
  <c r="Z184" i="4"/>
  <c r="AA184" i="4" s="1"/>
  <c r="AA294" i="4"/>
  <c r="Z78" i="4"/>
  <c r="Z65" i="4"/>
  <c r="AA65" i="4" s="1"/>
  <c r="Z175" i="4"/>
  <c r="AA175" i="4" s="1"/>
  <c r="AA266" i="4"/>
  <c r="AA174" i="4"/>
  <c r="Z72" i="4"/>
  <c r="AA72" i="4" s="1"/>
  <c r="Z454" i="4"/>
  <c r="AA454" i="4" s="1"/>
  <c r="AA444" i="4"/>
  <c r="Z450" i="4"/>
  <c r="AA450" i="4" s="1"/>
  <c r="AA325" i="4"/>
  <c r="Z403" i="4"/>
  <c r="AA403" i="4" s="1"/>
  <c r="Z234" i="4"/>
  <c r="AA234" i="4" s="1"/>
  <c r="Z185" i="4"/>
  <c r="AA185" i="4" s="1"/>
  <c r="Z114" i="4"/>
  <c r="AA114" i="4" s="1"/>
  <c r="Z470" i="4"/>
  <c r="AA470" i="4" s="1"/>
  <c r="AA390" i="4"/>
  <c r="AA386" i="4"/>
  <c r="Z31" i="4"/>
  <c r="AA31" i="4" s="1"/>
  <c r="Z320" i="4"/>
  <c r="AA320" i="4" s="1"/>
  <c r="Z163" i="4"/>
  <c r="AA163" i="4" s="1"/>
  <c r="Z170" i="4"/>
  <c r="AA170" i="4" s="1"/>
  <c r="Z489" i="4"/>
  <c r="AA489" i="4" s="1"/>
  <c r="Z275" i="4"/>
  <c r="AA275" i="4" s="1"/>
  <c r="Z131" i="4"/>
  <c r="AA131" i="4" s="1"/>
  <c r="Z90" i="4"/>
  <c r="AA90" i="4" s="1"/>
  <c r="Z242" i="4"/>
  <c r="Z319" i="4"/>
  <c r="AA319" i="4" s="1"/>
  <c r="Z436" i="4"/>
  <c r="AA436" i="4" s="1"/>
  <c r="Z340" i="4"/>
  <c r="AA340" i="4" s="1"/>
  <c r="Z303" i="4"/>
  <c r="AA303" i="4" s="1"/>
  <c r="Z191" i="4"/>
  <c r="AA191" i="4" s="1"/>
  <c r="AA207" i="4"/>
  <c r="Z484" i="4"/>
  <c r="AA484" i="4" s="1"/>
  <c r="Z453" i="4"/>
  <c r="AA453" i="4" s="1"/>
  <c r="Z362" i="4"/>
  <c r="AA362" i="4" s="1"/>
  <c r="AA173" i="4"/>
  <c r="Z338" i="4"/>
  <c r="AA338" i="4" s="1"/>
  <c r="Z165" i="4"/>
  <c r="AA165" i="4" s="1"/>
  <c r="Z503" i="4"/>
  <c r="AA503" i="4" s="1"/>
  <c r="Z262" i="4"/>
  <c r="AA262" i="4" s="1"/>
  <c r="AA78" i="4"/>
  <c r="Z378" i="4"/>
  <c r="AA378" i="4" s="1"/>
  <c r="Z13" i="4"/>
  <c r="AA13" i="4" s="1"/>
  <c r="Z129" i="4"/>
  <c r="AA129" i="4" s="1"/>
  <c r="AA43" i="4"/>
  <c r="AA317" i="4"/>
  <c r="Z135" i="4"/>
  <c r="AA135" i="4" s="1"/>
  <c r="AA49" i="4"/>
  <c r="AA499" i="4"/>
  <c r="Z223" i="4"/>
  <c r="AA223" i="4" s="1"/>
  <c r="Z351" i="4"/>
  <c r="AA351" i="4" s="1"/>
  <c r="Z283" i="4"/>
  <c r="AA283" i="4" s="1"/>
  <c r="AA269" i="4"/>
  <c r="AA241" i="4"/>
  <c r="Z425" i="4"/>
  <c r="AA425" i="4" s="1"/>
  <c r="V180" i="4"/>
  <c r="W180" i="4"/>
  <c r="W488" i="4"/>
  <c r="V488" i="4"/>
  <c r="W278" i="4"/>
  <c r="V278" i="4"/>
  <c r="W326" i="4"/>
  <c r="V326" i="4"/>
  <c r="W491" i="4"/>
  <c r="V491" i="4"/>
  <c r="W256" i="4"/>
  <c r="V256" i="4"/>
  <c r="W34" i="4"/>
  <c r="V34" i="4"/>
  <c r="V339" i="4"/>
  <c r="W339" i="4"/>
  <c r="W72" i="4"/>
  <c r="V72" i="4"/>
  <c r="W264" i="4"/>
  <c r="V264" i="4"/>
  <c r="W415" i="4"/>
  <c r="V415" i="4"/>
  <c r="V432" i="4"/>
  <c r="W432" i="4"/>
  <c r="V367" i="4"/>
  <c r="W367" i="4"/>
  <c r="W139" i="4"/>
  <c r="V139" i="4"/>
  <c r="W468" i="4"/>
  <c r="V468" i="4"/>
  <c r="V70" i="4"/>
  <c r="W70" i="4"/>
  <c r="V229" i="4"/>
  <c r="W229" i="4"/>
  <c r="W260" i="4"/>
  <c r="V260" i="4"/>
  <c r="W191" i="4"/>
  <c r="V191" i="4"/>
  <c r="W391" i="4"/>
  <c r="V391" i="4"/>
  <c r="V495" i="4"/>
  <c r="W495" i="4"/>
  <c r="W482" i="4"/>
  <c r="V482" i="4"/>
  <c r="W265" i="4"/>
  <c r="V265" i="4"/>
  <c r="W223" i="4"/>
  <c r="V223" i="4"/>
  <c r="V144" i="4"/>
  <c r="W144" i="4"/>
  <c r="V25" i="4"/>
  <c r="W25" i="4"/>
  <c r="V63" i="4"/>
  <c r="W63" i="4"/>
  <c r="W360" i="4"/>
  <c r="V360" i="4"/>
  <c r="V133" i="4"/>
  <c r="W133" i="4"/>
  <c r="W17" i="4"/>
  <c r="V17" i="4"/>
  <c r="V128" i="4"/>
  <c r="W128" i="4"/>
  <c r="W437" i="4"/>
  <c r="V437" i="4"/>
  <c r="V120" i="4"/>
  <c r="W120" i="4"/>
  <c r="W138" i="4"/>
  <c r="V138" i="4"/>
  <c r="V503" i="4"/>
  <c r="W503" i="4"/>
  <c r="V203" i="4"/>
  <c r="W203" i="4"/>
  <c r="V435" i="4"/>
  <c r="W435" i="4"/>
  <c r="W110" i="4"/>
  <c r="V110" i="4"/>
  <c r="W395" i="4"/>
  <c r="V395" i="4"/>
  <c r="V185" i="4"/>
  <c r="W185" i="4"/>
  <c r="W206" i="4"/>
  <c r="V206" i="4"/>
  <c r="V438" i="4"/>
  <c r="W438" i="4"/>
  <c r="W329" i="4"/>
  <c r="V329" i="4"/>
  <c r="W13" i="4"/>
  <c r="V13" i="4"/>
  <c r="V61" i="4"/>
  <c r="W61" i="4"/>
  <c r="V16" i="4"/>
  <c r="W16" i="4"/>
  <c r="W40" i="4"/>
  <c r="V40" i="4"/>
  <c r="V86" i="4"/>
  <c r="W86" i="4"/>
  <c r="V115" i="4"/>
  <c r="W115" i="4"/>
  <c r="V447" i="4"/>
  <c r="W447" i="4"/>
  <c r="V286" i="4"/>
  <c r="W286" i="4"/>
  <c r="W150" i="4"/>
  <c r="V150" i="4"/>
  <c r="V280" i="4"/>
  <c r="W280" i="4"/>
  <c r="W431" i="4"/>
  <c r="V431" i="4"/>
  <c r="V142" i="4"/>
  <c r="W142" i="4"/>
  <c r="W457" i="4"/>
  <c r="V457" i="4"/>
  <c r="W237" i="4"/>
  <c r="V237" i="4"/>
  <c r="W98" i="4"/>
  <c r="V98" i="4"/>
  <c r="W320" i="4"/>
  <c r="V320" i="4"/>
  <c r="V23" i="4"/>
  <c r="W23" i="4"/>
  <c r="W201" i="4"/>
  <c r="V201" i="4"/>
  <c r="V108" i="4"/>
  <c r="W108" i="4"/>
  <c r="V379" i="4"/>
  <c r="W379" i="4"/>
  <c r="W22" i="4"/>
  <c r="V22" i="4"/>
  <c r="V162" i="4"/>
  <c r="W162" i="4"/>
  <c r="W32" i="4"/>
  <c r="V32" i="4"/>
  <c r="W199" i="4"/>
  <c r="V199" i="4"/>
  <c r="V262" i="4"/>
  <c r="W262" i="4"/>
  <c r="W338" i="4"/>
  <c r="V338" i="4"/>
  <c r="W351" i="4"/>
  <c r="V351" i="4"/>
  <c r="W358" i="4"/>
  <c r="V358" i="4"/>
  <c r="W71" i="4"/>
  <c r="V71" i="4"/>
  <c r="V51" i="4"/>
  <c r="W51" i="4"/>
  <c r="V404" i="4"/>
  <c r="W404" i="4"/>
  <c r="W136" i="4"/>
  <c r="V136" i="4"/>
  <c r="V411" i="4"/>
  <c r="W411" i="4"/>
  <c r="W271" i="4"/>
  <c r="V271" i="4"/>
  <c r="V396" i="4"/>
  <c r="W396" i="4"/>
  <c r="V39" i="4"/>
  <c r="W39" i="4"/>
  <c r="V69" i="4"/>
  <c r="W69" i="4"/>
  <c r="W322" i="4"/>
  <c r="V322" i="4"/>
  <c r="V8" i="4"/>
  <c r="W8" i="4"/>
  <c r="W225" i="4"/>
  <c r="V225" i="4"/>
  <c r="W198" i="4"/>
  <c r="V198" i="4"/>
  <c r="V346" i="4"/>
  <c r="W346" i="4"/>
  <c r="V212" i="4"/>
  <c r="W212" i="4"/>
  <c r="W285" i="4"/>
  <c r="V285" i="4"/>
  <c r="V316" i="4"/>
  <c r="W316" i="4"/>
  <c r="W308" i="4"/>
  <c r="V308" i="4"/>
  <c r="W378" i="4"/>
  <c r="V378" i="4"/>
  <c r="W253" i="4"/>
  <c r="V253" i="4"/>
  <c r="V156" i="4"/>
  <c r="W156" i="4"/>
  <c r="W487" i="4"/>
  <c r="V487" i="4"/>
  <c r="W287" i="4"/>
  <c r="V287" i="4"/>
  <c r="V114" i="4"/>
  <c r="W114" i="4"/>
  <c r="W479" i="4"/>
  <c r="V479" i="4"/>
  <c r="W143" i="4"/>
  <c r="V143" i="4"/>
  <c r="W472" i="4"/>
  <c r="V472" i="4"/>
  <c r="W436" i="4"/>
  <c r="V436" i="4"/>
  <c r="W348" i="4"/>
  <c r="V348" i="4"/>
  <c r="V349" i="4"/>
  <c r="W349" i="4"/>
  <c r="V374" i="4"/>
  <c r="W374" i="4"/>
  <c r="W352" i="4"/>
  <c r="V352" i="4"/>
  <c r="W372" i="4"/>
  <c r="V372" i="4"/>
  <c r="W390" i="4"/>
  <c r="V390" i="4"/>
  <c r="V160" i="4"/>
  <c r="W160" i="4"/>
  <c r="V489" i="4"/>
  <c r="W489" i="4"/>
  <c r="V251" i="4"/>
  <c r="W251" i="4"/>
  <c r="V49" i="4"/>
  <c r="W49" i="4"/>
  <c r="V451" i="4"/>
  <c r="W451" i="4"/>
  <c r="W148" i="4"/>
  <c r="V148" i="4"/>
  <c r="V80" i="4"/>
  <c r="W80" i="4"/>
  <c r="W85" i="4"/>
  <c r="V85" i="4"/>
  <c r="W500" i="4"/>
  <c r="V500" i="4"/>
  <c r="V297" i="4"/>
  <c r="W297" i="4"/>
  <c r="V427" i="4"/>
  <c r="W427" i="4"/>
  <c r="W458" i="4"/>
  <c r="V458" i="4"/>
  <c r="V94" i="4"/>
  <c r="W94" i="4"/>
  <c r="W250" i="4"/>
  <c r="V250" i="4"/>
  <c r="W282" i="4"/>
  <c r="V282" i="4"/>
  <c r="W111" i="4"/>
  <c r="V111" i="4"/>
  <c r="V345" i="4"/>
  <c r="W345" i="4"/>
  <c r="V208" i="4"/>
  <c r="W208" i="4"/>
  <c r="V400" i="4"/>
  <c r="W400" i="4"/>
  <c r="V289" i="4"/>
  <c r="W289" i="4"/>
  <c r="V255" i="4"/>
  <c r="W255" i="4"/>
  <c r="W68" i="4"/>
  <c r="V68" i="4"/>
  <c r="V499" i="4"/>
  <c r="W499" i="4"/>
  <c r="W474" i="4"/>
  <c r="V474" i="4"/>
  <c r="W292" i="4"/>
  <c r="V292" i="4"/>
  <c r="W126" i="4"/>
  <c r="V126" i="4"/>
  <c r="V105" i="4"/>
  <c r="W105" i="4"/>
  <c r="W187" i="4"/>
  <c r="V187" i="4"/>
  <c r="V15" i="4"/>
  <c r="W15" i="4"/>
  <c r="V332" i="4"/>
  <c r="W332" i="4"/>
  <c r="W375" i="4"/>
  <c r="V375" i="4"/>
  <c r="V66" i="4"/>
  <c r="W66" i="4"/>
  <c r="W157" i="4"/>
  <c r="V157" i="4"/>
  <c r="V331" i="4"/>
  <c r="W331" i="4"/>
  <c r="W88" i="4"/>
  <c r="V88" i="4"/>
  <c r="W188" i="4"/>
  <c r="V188" i="4"/>
  <c r="V207" i="4"/>
  <c r="W207" i="4"/>
  <c r="V409" i="4"/>
  <c r="W409" i="4"/>
  <c r="W377" i="4"/>
  <c r="V377" i="4"/>
  <c r="V243" i="4"/>
  <c r="W243" i="4"/>
  <c r="W455" i="4"/>
  <c r="V455" i="4"/>
  <c r="W238" i="4"/>
  <c r="V238" i="4"/>
  <c r="W355" i="4"/>
  <c r="V355" i="4"/>
  <c r="W261" i="4"/>
  <c r="V261" i="4"/>
  <c r="V164" i="4"/>
  <c r="W164" i="4"/>
  <c r="V414" i="4"/>
  <c r="W414" i="4"/>
  <c r="V366" i="4"/>
  <c r="W366" i="4"/>
  <c r="V446" i="4"/>
  <c r="W446" i="4"/>
  <c r="V388" i="4"/>
  <c r="W388" i="4"/>
  <c r="W387" i="4"/>
  <c r="V387" i="4"/>
  <c r="W233" i="4"/>
  <c r="V233" i="4"/>
  <c r="W370" i="4"/>
  <c r="V370" i="4"/>
  <c r="V82" i="4"/>
  <c r="W82" i="4"/>
  <c r="V33" i="4"/>
  <c r="W33" i="4"/>
  <c r="V314" i="4"/>
  <c r="W314" i="4"/>
  <c r="V492" i="4"/>
  <c r="W492" i="4"/>
  <c r="W496" i="4"/>
  <c r="V496" i="4"/>
  <c r="W424" i="4"/>
  <c r="V424" i="4"/>
  <c r="W423" i="4"/>
  <c r="V423" i="4"/>
  <c r="W306" i="4"/>
  <c r="V306" i="4"/>
  <c r="W494" i="4"/>
  <c r="V494" i="4"/>
  <c r="W380" i="4"/>
  <c r="V380" i="4"/>
  <c r="V106" i="4"/>
  <c r="W106" i="4"/>
  <c r="W58" i="4"/>
  <c r="V58" i="4"/>
  <c r="V364" i="4"/>
  <c r="W364" i="4"/>
  <c r="W417" i="4"/>
  <c r="V417" i="4"/>
  <c r="W299" i="4"/>
  <c r="V299" i="4"/>
  <c r="W53" i="4"/>
  <c r="V53" i="4"/>
  <c r="V140" i="4"/>
  <c r="W140" i="4"/>
  <c r="V475" i="4"/>
  <c r="W475" i="4"/>
  <c r="W215" i="4"/>
  <c r="V215" i="4"/>
  <c r="V241" i="4"/>
  <c r="W241" i="4"/>
  <c r="V54" i="4"/>
  <c r="W54" i="4"/>
  <c r="W29" i="4"/>
  <c r="V29" i="4"/>
  <c r="W177" i="4"/>
  <c r="V177" i="4"/>
  <c r="W240" i="4"/>
  <c r="V240" i="4"/>
  <c r="V132" i="4"/>
  <c r="W132" i="4"/>
  <c r="W267" i="4"/>
  <c r="V267" i="4"/>
  <c r="W56" i="4"/>
  <c r="V56" i="4"/>
  <c r="W221" i="4"/>
  <c r="V221" i="4"/>
  <c r="W91" i="4"/>
  <c r="V91" i="4"/>
  <c r="W210" i="4"/>
  <c r="V210" i="4"/>
  <c r="W371" i="4"/>
  <c r="V371" i="4"/>
  <c r="W224" i="4"/>
  <c r="V224" i="4"/>
  <c r="V444" i="4"/>
  <c r="W444" i="4"/>
  <c r="W363" i="4"/>
  <c r="V363" i="4"/>
  <c r="V196" i="4"/>
  <c r="W196" i="4"/>
  <c r="W95" i="4"/>
  <c r="V95" i="4"/>
  <c r="V376" i="4"/>
  <c r="W376" i="4"/>
  <c r="W101" i="4"/>
  <c r="V101" i="4"/>
  <c r="V247" i="4"/>
  <c r="W247" i="4"/>
  <c r="V35" i="4"/>
  <c r="W35" i="4"/>
  <c r="W501" i="4"/>
  <c r="V501" i="4"/>
  <c r="W194" i="4"/>
  <c r="V194" i="4"/>
  <c r="W145" i="4"/>
  <c r="V145" i="4"/>
  <c r="V493" i="4"/>
  <c r="W493" i="4"/>
  <c r="W317" i="4"/>
  <c r="V317" i="4"/>
  <c r="V295" i="4"/>
  <c r="W295" i="4"/>
  <c r="V419" i="4"/>
  <c r="W419" i="4"/>
  <c r="W483" i="4"/>
  <c r="V483" i="4"/>
  <c r="V434" i="4"/>
  <c r="W434" i="4"/>
  <c r="V350" i="4"/>
  <c r="W350" i="4"/>
  <c r="V104" i="4"/>
  <c r="W104" i="4"/>
  <c r="V471" i="4"/>
  <c r="W471" i="4"/>
  <c r="W90" i="4"/>
  <c r="V90" i="4"/>
  <c r="V121" i="4"/>
  <c r="W121" i="4"/>
  <c r="V359" i="4"/>
  <c r="W359" i="4"/>
  <c r="W460" i="4"/>
  <c r="V460" i="4"/>
  <c r="W181" i="4"/>
  <c r="V181" i="4"/>
  <c r="W246" i="4"/>
  <c r="V246" i="4"/>
  <c r="V382" i="4"/>
  <c r="W382" i="4"/>
  <c r="W166" i="4"/>
  <c r="V166" i="4"/>
  <c r="W73" i="4"/>
  <c r="V73" i="4"/>
  <c r="V125" i="4"/>
  <c r="W125" i="4"/>
  <c r="V93" i="4"/>
  <c r="W93" i="4"/>
  <c r="V183" i="4"/>
  <c r="W183" i="4"/>
  <c r="W161" i="4"/>
  <c r="V161" i="4"/>
  <c r="V173" i="4"/>
  <c r="W173" i="4"/>
  <c r="V151" i="4"/>
  <c r="W151" i="4"/>
  <c r="W476" i="4"/>
  <c r="V476" i="4"/>
  <c r="W504" i="4"/>
  <c r="V504" i="4"/>
  <c r="V430" i="4"/>
  <c r="W430" i="4"/>
  <c r="V147" i="4"/>
  <c r="W147" i="4"/>
  <c r="V234" i="4"/>
  <c r="W234" i="4"/>
  <c r="V254" i="4"/>
  <c r="W254" i="4"/>
  <c r="W167" i="4"/>
  <c r="V167" i="4"/>
  <c r="V456" i="4"/>
  <c r="W456" i="4"/>
  <c r="W302" i="4"/>
  <c r="V302" i="4"/>
  <c r="V418" i="4"/>
  <c r="W418" i="4"/>
  <c r="W389" i="4"/>
  <c r="V389" i="4"/>
  <c r="W258" i="4"/>
  <c r="V258" i="4"/>
  <c r="V38" i="4"/>
  <c r="W38" i="4"/>
  <c r="W78" i="4"/>
  <c r="V78" i="4"/>
  <c r="W315" i="4"/>
  <c r="V315" i="4"/>
  <c r="V353" i="4"/>
  <c r="W353" i="4"/>
  <c r="W301" i="4"/>
  <c r="V301" i="4"/>
  <c r="V81" i="4"/>
  <c r="W81" i="4"/>
  <c r="V268" i="4"/>
  <c r="W268" i="4"/>
  <c r="V452" i="4"/>
  <c r="W452" i="4"/>
  <c r="V127" i="4"/>
  <c r="W127" i="4"/>
  <c r="V269" i="4"/>
  <c r="W269" i="4"/>
  <c r="V333" i="4"/>
  <c r="W333" i="4"/>
  <c r="V170" i="4"/>
  <c r="W170" i="4"/>
  <c r="V453" i="4"/>
  <c r="W453" i="4"/>
  <c r="W131" i="4"/>
  <c r="V131" i="4"/>
  <c r="V425" i="4"/>
  <c r="W425" i="4"/>
  <c r="W18" i="4"/>
  <c r="V18" i="4"/>
  <c r="AB72" i="4" l="1"/>
  <c r="AC72" i="4"/>
  <c r="N72" i="4" s="1"/>
  <c r="AC443" i="4"/>
  <c r="N443" i="4" s="1"/>
  <c r="AB443" i="4"/>
  <c r="AC492" i="4"/>
  <c r="N492" i="4" s="1"/>
  <c r="AB492" i="4"/>
  <c r="AB307" i="4"/>
  <c r="AC307" i="4"/>
  <c r="N307" i="4" s="1"/>
  <c r="AB203" i="4"/>
  <c r="AC203" i="4"/>
  <c r="N203" i="4" s="1"/>
  <c r="AC387" i="4"/>
  <c r="N387" i="4" s="1"/>
  <c r="AB387" i="4"/>
  <c r="AB114" i="4"/>
  <c r="AC114" i="4"/>
  <c r="N114" i="4" s="1"/>
  <c r="AC342" i="4"/>
  <c r="N342" i="4" s="1"/>
  <c r="AB342" i="4"/>
  <c r="AC466" i="4"/>
  <c r="N466" i="4" s="1"/>
  <c r="AB466" i="4"/>
  <c r="AC138" i="4"/>
  <c r="N138" i="4" s="1"/>
  <c r="AB138" i="4"/>
  <c r="AC180" i="4"/>
  <c r="N180" i="4" s="1"/>
  <c r="AB180" i="4"/>
  <c r="AC281" i="4"/>
  <c r="N281" i="4" s="1"/>
  <c r="AB281" i="4"/>
  <c r="AB418" i="4"/>
  <c r="AC418" i="4"/>
  <c r="N418" i="4" s="1"/>
  <c r="AB375" i="4"/>
  <c r="AC375" i="4"/>
  <c r="N375" i="4" s="1"/>
  <c r="AC431" i="4"/>
  <c r="N431" i="4" s="1"/>
  <c r="AB431" i="4"/>
  <c r="AC161" i="4"/>
  <c r="N161" i="4" s="1"/>
  <c r="AB161" i="4"/>
  <c r="AB120" i="4"/>
  <c r="AC120" i="4"/>
  <c r="N120" i="4" s="1"/>
  <c r="AC74" i="4"/>
  <c r="N74" i="4" s="1"/>
  <c r="AB74" i="4"/>
  <c r="AC164" i="4"/>
  <c r="N164" i="4" s="1"/>
  <c r="AB164" i="4"/>
  <c r="AC305" i="4"/>
  <c r="N305" i="4" s="1"/>
  <c r="AB305" i="4"/>
  <c r="D168" i="1" s="1"/>
  <c r="D169" i="1" s="1"/>
  <c r="D171" i="1" s="1"/>
  <c r="E171" i="1" s="1"/>
  <c r="D172" i="1" s="1"/>
  <c r="AB212" i="4"/>
  <c r="AC212" i="4"/>
  <c r="N212" i="4" s="1"/>
  <c r="AB420" i="4"/>
  <c r="AC420" i="4"/>
  <c r="N420" i="4" s="1"/>
  <c r="AC34" i="4"/>
  <c r="N34" i="4" s="1"/>
  <c r="AB34" i="4"/>
  <c r="AB257" i="4"/>
  <c r="AC257" i="4"/>
  <c r="N257" i="4" s="1"/>
  <c r="AB421" i="4"/>
  <c r="AC421" i="4"/>
  <c r="N421" i="4" s="1"/>
  <c r="AB229" i="4"/>
  <c r="AC229" i="4"/>
  <c r="N229" i="4" s="1"/>
  <c r="AB4" i="4"/>
  <c r="AC4" i="4"/>
  <c r="N4" i="4" s="1"/>
  <c r="AB285" i="4"/>
  <c r="AC285" i="4"/>
  <c r="N285" i="4" s="1"/>
  <c r="AB36" i="4"/>
  <c r="AC36" i="4"/>
  <c r="N36" i="4" s="1"/>
  <c r="AC425" i="4"/>
  <c r="N425" i="4" s="1"/>
  <c r="AB425" i="4"/>
  <c r="AB450" i="4"/>
  <c r="AC450" i="4"/>
  <c r="N450" i="4" s="1"/>
  <c r="AC496" i="4"/>
  <c r="N496" i="4" s="1"/>
  <c r="AB496" i="4"/>
  <c r="AB21" i="4"/>
  <c r="AC21" i="4"/>
  <c r="N21" i="4" s="1"/>
  <c r="AB327" i="4"/>
  <c r="AC327" i="4"/>
  <c r="N327" i="4" s="1"/>
  <c r="AB71" i="4"/>
  <c r="AC71" i="4"/>
  <c r="N71" i="4" s="1"/>
  <c r="AC52" i="4"/>
  <c r="N52" i="4" s="1"/>
  <c r="AB52" i="4"/>
  <c r="AB370" i="4"/>
  <c r="AC370" i="4"/>
  <c r="N370" i="4" s="1"/>
  <c r="AC322" i="4"/>
  <c r="N322" i="4" s="1"/>
  <c r="AB322" i="4"/>
  <c r="AC463" i="4"/>
  <c r="N463" i="4" s="1"/>
  <c r="AB463" i="4"/>
  <c r="AC261" i="4"/>
  <c r="N261" i="4" s="1"/>
  <c r="AB261" i="4"/>
  <c r="AC481" i="4"/>
  <c r="N481" i="4" s="1"/>
  <c r="AB481" i="4"/>
  <c r="AB253" i="4"/>
  <c r="AC253" i="4"/>
  <c r="N253" i="4" s="1"/>
  <c r="AC6" i="4"/>
  <c r="N6" i="4" s="1"/>
  <c r="AB6" i="4"/>
  <c r="AC435" i="4"/>
  <c r="N435" i="4" s="1"/>
  <c r="AB435" i="4"/>
  <c r="AC381" i="4"/>
  <c r="N381" i="4" s="1"/>
  <c r="AB381" i="4"/>
  <c r="AC119" i="4"/>
  <c r="N119" i="4" s="1"/>
  <c r="AB119" i="4"/>
  <c r="AC118" i="4"/>
  <c r="N118" i="4" s="1"/>
  <c r="AB118" i="4"/>
  <c r="AC308" i="4"/>
  <c r="N308" i="4" s="1"/>
  <c r="AB308" i="4"/>
  <c r="AB208" i="4"/>
  <c r="AC208" i="4"/>
  <c r="N208" i="4" s="1"/>
  <c r="AB438" i="4"/>
  <c r="AC438" i="4"/>
  <c r="N438" i="4" s="1"/>
  <c r="AC494" i="4"/>
  <c r="N494" i="4" s="1"/>
  <c r="AB494" i="4"/>
  <c r="AC193" i="4"/>
  <c r="N193" i="4" s="1"/>
  <c r="AB193" i="4"/>
  <c r="AC211" i="4"/>
  <c r="N211" i="4" s="1"/>
  <c r="AB211" i="4"/>
  <c r="AB186" i="4"/>
  <c r="AC186" i="4"/>
  <c r="N186" i="4" s="1"/>
  <c r="AB414" i="4"/>
  <c r="AC414" i="4"/>
  <c r="N414" i="4" s="1"/>
  <c r="AB394" i="4"/>
  <c r="AC394" i="4"/>
  <c r="N394" i="4" s="1"/>
  <c r="AC191" i="4"/>
  <c r="N191" i="4" s="1"/>
  <c r="AB191" i="4"/>
  <c r="AC303" i="4"/>
  <c r="N303" i="4" s="1"/>
  <c r="AB303" i="4"/>
  <c r="AC367" i="4"/>
  <c r="N367" i="4" s="1"/>
  <c r="AB367" i="4"/>
  <c r="AC358" i="4"/>
  <c r="N358" i="4" s="1"/>
  <c r="AB358" i="4"/>
  <c r="AB83" i="4"/>
  <c r="AC83" i="4"/>
  <c r="N83" i="4" s="1"/>
  <c r="AC244" i="4"/>
  <c r="N244" i="4" s="1"/>
  <c r="AB244" i="4"/>
  <c r="AC395" i="4"/>
  <c r="N395" i="4" s="1"/>
  <c r="AB395" i="4"/>
  <c r="AC107" i="4"/>
  <c r="N107" i="4" s="1"/>
  <c r="AB107" i="4"/>
  <c r="AC298" i="4"/>
  <c r="N298" i="4" s="1"/>
  <c r="AB298" i="4"/>
  <c r="AC306" i="4"/>
  <c r="N306" i="4" s="1"/>
  <c r="AB306" i="4"/>
  <c r="AC130" i="4"/>
  <c r="N130" i="4" s="1"/>
  <c r="AB130" i="4"/>
  <c r="AC265" i="4"/>
  <c r="N265" i="4" s="1"/>
  <c r="AB265" i="4"/>
  <c r="AB53" i="4"/>
  <c r="AC53" i="4"/>
  <c r="N53" i="4" s="1"/>
  <c r="AC426" i="4"/>
  <c r="N426" i="4" s="1"/>
  <c r="AB426" i="4"/>
  <c r="AB136" i="4"/>
  <c r="AC136" i="4"/>
  <c r="N136" i="4" s="1"/>
  <c r="AC121" i="4"/>
  <c r="N121" i="4" s="1"/>
  <c r="AB121" i="4"/>
  <c r="AB286" i="4"/>
  <c r="AC286" i="4"/>
  <c r="N286" i="4" s="1"/>
  <c r="AB480" i="4"/>
  <c r="AC480" i="4"/>
  <c r="N480" i="4" s="1"/>
  <c r="AB122" i="4"/>
  <c r="AC122" i="4"/>
  <c r="N122" i="4" s="1"/>
  <c r="AC246" i="4"/>
  <c r="N246" i="4" s="1"/>
  <c r="AB246" i="4"/>
  <c r="AB99" i="4"/>
  <c r="AC99" i="4"/>
  <c r="N99" i="4" s="1"/>
  <c r="AB15" i="4"/>
  <c r="AC15" i="4"/>
  <c r="N15" i="4" s="1"/>
  <c r="AB333" i="4"/>
  <c r="AC333" i="4"/>
  <c r="N333" i="4" s="1"/>
  <c r="AB198" i="4"/>
  <c r="AC198" i="4"/>
  <c r="N198" i="4" s="1"/>
  <c r="AB402" i="4"/>
  <c r="AC402" i="4"/>
  <c r="N402" i="4" s="1"/>
  <c r="AC135" i="4"/>
  <c r="N135" i="4" s="1"/>
  <c r="AB135" i="4"/>
  <c r="AC503" i="4"/>
  <c r="N503" i="4" s="1"/>
  <c r="AB503" i="4"/>
  <c r="AC170" i="4"/>
  <c r="N170" i="4" s="1"/>
  <c r="AB170" i="4"/>
  <c r="AB454" i="4"/>
  <c r="AC454" i="4"/>
  <c r="N454" i="4" s="1"/>
  <c r="AC42" i="4"/>
  <c r="N42" i="4" s="1"/>
  <c r="AB42" i="4"/>
  <c r="AB54" i="4"/>
  <c r="AC54" i="4"/>
  <c r="N54" i="4" s="1"/>
  <c r="AC202" i="4"/>
  <c r="N202" i="4" s="1"/>
  <c r="AB202" i="4"/>
  <c r="AB9" i="4"/>
  <c r="AC9" i="4"/>
  <c r="N9" i="4" s="1"/>
  <c r="AC62" i="4"/>
  <c r="N62" i="4" s="1"/>
  <c r="AB62" i="4"/>
  <c r="AC226" i="4"/>
  <c r="N226" i="4" s="1"/>
  <c r="AB226" i="4"/>
  <c r="AC102" i="4"/>
  <c r="N102" i="4" s="1"/>
  <c r="AB102" i="4"/>
  <c r="AC490" i="4"/>
  <c r="N490" i="4" s="1"/>
  <c r="AB490" i="4"/>
  <c r="AB469" i="4"/>
  <c r="AC469" i="4"/>
  <c r="N469" i="4" s="1"/>
  <c r="AB483" i="4"/>
  <c r="AC483" i="4"/>
  <c r="N483" i="4" s="1"/>
  <c r="AC388" i="4"/>
  <c r="N388" i="4" s="1"/>
  <c r="AB388" i="4"/>
  <c r="AB230" i="4"/>
  <c r="AC230" i="4"/>
  <c r="N230" i="4" s="1"/>
  <c r="AC147" i="4"/>
  <c r="N147" i="4" s="1"/>
  <c r="AB147" i="4"/>
  <c r="AB272" i="4"/>
  <c r="AC272" i="4"/>
  <c r="N272" i="4" s="1"/>
  <c r="AC318" i="4"/>
  <c r="N318" i="4" s="1"/>
  <c r="AB318" i="4"/>
  <c r="AB374" i="4"/>
  <c r="AC374" i="4"/>
  <c r="N374" i="4" s="1"/>
  <c r="AB292" i="4"/>
  <c r="AC292" i="4"/>
  <c r="N292" i="4" s="1"/>
  <c r="AC442" i="4"/>
  <c r="N442" i="4" s="1"/>
  <c r="AB442" i="4"/>
  <c r="AB385" i="4"/>
  <c r="AC385" i="4"/>
  <c r="N385" i="4" s="1"/>
  <c r="AC87" i="4"/>
  <c r="N87" i="4" s="1"/>
  <c r="AB87" i="4"/>
  <c r="AB123" i="4"/>
  <c r="AC123" i="4"/>
  <c r="N123" i="4" s="1"/>
  <c r="AB24" i="4"/>
  <c r="AC24" i="4"/>
  <c r="N24" i="4" s="1"/>
  <c r="AC97" i="4"/>
  <c r="N97" i="4" s="1"/>
  <c r="AB97" i="4"/>
  <c r="AC113" i="4"/>
  <c r="N113" i="4" s="1"/>
  <c r="AB113" i="4"/>
  <c r="AB416" i="4"/>
  <c r="AC416" i="4"/>
  <c r="N416" i="4" s="1"/>
  <c r="AC48" i="4"/>
  <c r="N48" i="4" s="1"/>
  <c r="AB48" i="4"/>
  <c r="AB222" i="4"/>
  <c r="AC222" i="4"/>
  <c r="N222" i="4" s="1"/>
  <c r="AC295" i="4"/>
  <c r="N295" i="4" s="1"/>
  <c r="AB295" i="4"/>
  <c r="AB153" i="4"/>
  <c r="AC153" i="4"/>
  <c r="N153" i="4" s="1"/>
  <c r="AB93" i="4"/>
  <c r="AC93" i="4"/>
  <c r="N93" i="4" s="1"/>
  <c r="AC330" i="4"/>
  <c r="N330" i="4" s="1"/>
  <c r="AB330" i="4"/>
  <c r="AB143" i="4"/>
  <c r="AC143" i="4"/>
  <c r="N143" i="4" s="1"/>
  <c r="AC314" i="4"/>
  <c r="N314" i="4" s="1"/>
  <c r="AB314" i="4"/>
  <c r="AC433" i="4"/>
  <c r="N433" i="4" s="1"/>
  <c r="AB433" i="4"/>
  <c r="AB471" i="4"/>
  <c r="AC471" i="4"/>
  <c r="N471" i="4" s="1"/>
  <c r="AC184" i="4"/>
  <c r="N184" i="4" s="1"/>
  <c r="AB184" i="4"/>
  <c r="AB40" i="4"/>
  <c r="AC40" i="4"/>
  <c r="N40" i="4" s="1"/>
  <c r="AB199" i="4"/>
  <c r="AC199" i="4"/>
  <c r="N199" i="4" s="1"/>
  <c r="AC415" i="4"/>
  <c r="N415" i="4" s="1"/>
  <c r="AB415" i="4"/>
  <c r="AC70" i="4"/>
  <c r="N70" i="4" s="1"/>
  <c r="AB70" i="4"/>
  <c r="AC287" i="4"/>
  <c r="N287" i="4" s="1"/>
  <c r="AB287" i="4"/>
  <c r="AB248" i="4"/>
  <c r="AC248" i="4"/>
  <c r="N248" i="4" s="1"/>
  <c r="AB255" i="4"/>
  <c r="AC255" i="4"/>
  <c r="N255" i="4" s="1"/>
  <c r="AB359" i="4"/>
  <c r="AC359" i="4"/>
  <c r="N359" i="4" s="1"/>
  <c r="AC364" i="4"/>
  <c r="N364" i="4" s="1"/>
  <c r="AB364" i="4"/>
  <c r="AC436" i="4"/>
  <c r="N436" i="4" s="1"/>
  <c r="AB436" i="4"/>
  <c r="AC88" i="4"/>
  <c r="N88" i="4" s="1"/>
  <c r="AB88" i="4"/>
  <c r="AC167" i="4"/>
  <c r="N167" i="4" s="1"/>
  <c r="AB167" i="4"/>
  <c r="AB316" i="4"/>
  <c r="AC316" i="4"/>
  <c r="N316" i="4" s="1"/>
  <c r="AC352" i="4"/>
  <c r="N352" i="4" s="1"/>
  <c r="AB352" i="4"/>
  <c r="AC323" i="4"/>
  <c r="N323" i="4" s="1"/>
  <c r="AB323" i="4"/>
  <c r="AB7" i="4"/>
  <c r="AC7" i="4"/>
  <c r="N7" i="4" s="1"/>
  <c r="AC251" i="4"/>
  <c r="N251" i="4" s="1"/>
  <c r="AB251" i="4"/>
  <c r="AC406" i="4"/>
  <c r="N406" i="4" s="1"/>
  <c r="AB406" i="4"/>
  <c r="AB80" i="4"/>
  <c r="AC80" i="4"/>
  <c r="N80" i="4" s="1"/>
  <c r="AC501" i="4"/>
  <c r="N501" i="4" s="1"/>
  <c r="AB501" i="4"/>
  <c r="AC103" i="4"/>
  <c r="N103" i="4" s="1"/>
  <c r="AB103" i="4"/>
  <c r="AB8" i="4"/>
  <c r="AC8" i="4"/>
  <c r="N8" i="4" s="1"/>
  <c r="AB139" i="4"/>
  <c r="AC139" i="4"/>
  <c r="N139" i="4" s="1"/>
  <c r="AB237" i="4"/>
  <c r="AC237" i="4"/>
  <c r="N237" i="4" s="1"/>
  <c r="AC57" i="4"/>
  <c r="N57" i="4" s="1"/>
  <c r="AB57" i="4"/>
  <c r="AC319" i="4"/>
  <c r="N319" i="4" s="1"/>
  <c r="AB319" i="4"/>
  <c r="AB377" i="4"/>
  <c r="AC377" i="4"/>
  <c r="N377" i="4" s="1"/>
  <c r="AC91" i="4"/>
  <c r="N91" i="4" s="1"/>
  <c r="AB91" i="4"/>
  <c r="AC273" i="4"/>
  <c r="N273" i="4" s="1"/>
  <c r="AB273" i="4"/>
  <c r="AB176" i="4"/>
  <c r="AC176" i="4"/>
  <c r="N176" i="4" s="1"/>
  <c r="AC315" i="4"/>
  <c r="N315" i="4" s="1"/>
  <c r="AB315" i="4"/>
  <c r="AC259" i="4"/>
  <c r="N259" i="4" s="1"/>
  <c r="AB259" i="4"/>
  <c r="AC84" i="4"/>
  <c r="N84" i="4" s="1"/>
  <c r="AB84" i="4"/>
  <c r="AC383" i="4"/>
  <c r="N383" i="4" s="1"/>
  <c r="AB383" i="4"/>
  <c r="AC271" i="4"/>
  <c r="N271" i="4" s="1"/>
  <c r="AB271" i="4"/>
  <c r="AC313" i="4"/>
  <c r="N313" i="4" s="1"/>
  <c r="AB313" i="4"/>
  <c r="AC380" i="4"/>
  <c r="N380" i="4" s="1"/>
  <c r="AB380" i="4"/>
  <c r="AB398" i="4"/>
  <c r="AC398" i="4"/>
  <c r="N398" i="4" s="1"/>
  <c r="AB213" i="4"/>
  <c r="AC213" i="4"/>
  <c r="N213" i="4" s="1"/>
  <c r="AC196" i="4"/>
  <c r="N196" i="4" s="1"/>
  <c r="AB196" i="4"/>
  <c r="AC23" i="4"/>
  <c r="N23" i="4" s="1"/>
  <c r="AB23" i="4"/>
  <c r="AB485" i="4"/>
  <c r="AC485" i="4"/>
  <c r="N485" i="4" s="1"/>
  <c r="AC378" i="4"/>
  <c r="N378" i="4" s="1"/>
  <c r="AB378" i="4"/>
  <c r="AC19" i="4"/>
  <c r="N19" i="4" s="1"/>
  <c r="AB19" i="4"/>
  <c r="AC500" i="4"/>
  <c r="N500" i="4" s="1"/>
  <c r="AB500" i="4"/>
  <c r="AB310" i="4"/>
  <c r="AC310" i="4"/>
  <c r="N310" i="4" s="1"/>
  <c r="AB250" i="4"/>
  <c r="AC250" i="4"/>
  <c r="N250" i="4" s="1"/>
  <c r="AC150" i="4"/>
  <c r="N150" i="4" s="1"/>
  <c r="AB150" i="4"/>
  <c r="AB338" i="4"/>
  <c r="AC338" i="4"/>
  <c r="N338" i="4" s="1"/>
  <c r="AB175" i="4"/>
  <c r="AC175" i="4"/>
  <c r="N175" i="4" s="1"/>
  <c r="AB105" i="4"/>
  <c r="AC105" i="4"/>
  <c r="N105" i="4" s="1"/>
  <c r="AB372" i="4"/>
  <c r="AC372" i="4"/>
  <c r="N372" i="4" s="1"/>
  <c r="AB412" i="4"/>
  <c r="AC412" i="4"/>
  <c r="N412" i="4" s="1"/>
  <c r="AC504" i="4"/>
  <c r="N504" i="4" s="1"/>
  <c r="AB504" i="4"/>
  <c r="AC459" i="4"/>
  <c r="N459" i="4" s="1"/>
  <c r="AB459" i="4"/>
  <c r="AC408" i="4"/>
  <c r="N408" i="4" s="1"/>
  <c r="AB408" i="4"/>
  <c r="AC407" i="4"/>
  <c r="N407" i="4" s="1"/>
  <c r="AB407" i="4"/>
  <c r="AB462" i="4"/>
  <c r="AC462" i="4"/>
  <c r="N462" i="4" s="1"/>
  <c r="AC441" i="4"/>
  <c r="N441" i="4" s="1"/>
  <c r="AB441" i="4"/>
  <c r="AB279" i="4"/>
  <c r="AC279" i="4"/>
  <c r="N279" i="4" s="1"/>
  <c r="AC493" i="4"/>
  <c r="N493" i="4" s="1"/>
  <c r="AB493" i="4"/>
  <c r="AC339" i="4"/>
  <c r="N339" i="4" s="1"/>
  <c r="AB339" i="4"/>
  <c r="AB299" i="4"/>
  <c r="AC299" i="4"/>
  <c r="N299" i="4" s="1"/>
  <c r="AC270" i="4"/>
  <c r="N270" i="4" s="1"/>
  <c r="AB270" i="4"/>
  <c r="AB183" i="4"/>
  <c r="AC183" i="4"/>
  <c r="N183" i="4" s="1"/>
  <c r="AC361" i="4"/>
  <c r="N361" i="4" s="1"/>
  <c r="AB361" i="4"/>
  <c r="AC458" i="4"/>
  <c r="N458" i="4" s="1"/>
  <c r="AB458" i="4"/>
  <c r="AC340" i="4"/>
  <c r="N340" i="4" s="1"/>
  <c r="AB340" i="4"/>
  <c r="AC460" i="4"/>
  <c r="N460" i="4" s="1"/>
  <c r="AB460" i="4"/>
  <c r="AB344" i="4"/>
  <c r="AC344" i="4"/>
  <c r="N344" i="4" s="1"/>
  <c r="AB231" i="4"/>
  <c r="AC231" i="4"/>
  <c r="N231" i="4" s="1"/>
  <c r="AB155" i="4"/>
  <c r="AC155" i="4"/>
  <c r="N155" i="4" s="1"/>
  <c r="AC234" i="4"/>
  <c r="N234" i="4" s="1"/>
  <c r="AB234" i="4"/>
  <c r="AC301" i="4"/>
  <c r="N301" i="4" s="1"/>
  <c r="AB301" i="4"/>
  <c r="AC235" i="4"/>
  <c r="N235" i="4" s="1"/>
  <c r="AB235" i="4"/>
  <c r="AB326" i="4"/>
  <c r="AC326" i="4"/>
  <c r="N326" i="4" s="1"/>
  <c r="AB220" i="4"/>
  <c r="AC220" i="4"/>
  <c r="N220" i="4" s="1"/>
  <c r="AC302" i="4"/>
  <c r="N302" i="4" s="1"/>
  <c r="AB302" i="4"/>
  <c r="AC63" i="4"/>
  <c r="N63" i="4" s="1"/>
  <c r="AB63" i="4"/>
  <c r="AC221" i="4"/>
  <c r="N221" i="4" s="1"/>
  <c r="AB221" i="4"/>
  <c r="AB369" i="4"/>
  <c r="AC369" i="4"/>
  <c r="N369" i="4" s="1"/>
  <c r="AC60" i="4"/>
  <c r="N60" i="4" s="1"/>
  <c r="AB60" i="4"/>
  <c r="AC58" i="4"/>
  <c r="N58" i="4" s="1"/>
  <c r="AB58" i="4"/>
  <c r="AC205" i="4"/>
  <c r="N205" i="4" s="1"/>
  <c r="AB205" i="4"/>
  <c r="AC268" i="4"/>
  <c r="N268" i="4" s="1"/>
  <c r="AB268" i="4"/>
  <c r="AC195" i="4"/>
  <c r="N195" i="4" s="1"/>
  <c r="AB195" i="4"/>
  <c r="AB379" i="4"/>
  <c r="AC379" i="4"/>
  <c r="N379" i="4" s="1"/>
  <c r="AC336" i="4"/>
  <c r="N336" i="4" s="1"/>
  <c r="AB336" i="4"/>
  <c r="AB263" i="4"/>
  <c r="AC263" i="4"/>
  <c r="N263" i="4" s="1"/>
  <c r="AC111" i="4"/>
  <c r="N111" i="4" s="1"/>
  <c r="AB111" i="4"/>
  <c r="AC22" i="4"/>
  <c r="N22" i="4" s="1"/>
  <c r="AB22" i="4"/>
  <c r="AC163" i="4"/>
  <c r="N163" i="4" s="1"/>
  <c r="AB163" i="4"/>
  <c r="AB17" i="4"/>
  <c r="AC17" i="4"/>
  <c r="N17" i="4" s="1"/>
  <c r="AC312" i="4"/>
  <c r="N312" i="4" s="1"/>
  <c r="AB312" i="4"/>
  <c r="AC423" i="4"/>
  <c r="N423" i="4" s="1"/>
  <c r="AB423" i="4"/>
  <c r="AB365" i="4"/>
  <c r="AC365" i="4"/>
  <c r="N365" i="4" s="1"/>
  <c r="AB31" i="4"/>
  <c r="AC31" i="4"/>
  <c r="N31" i="4" s="1"/>
  <c r="AC403" i="4"/>
  <c r="N403" i="4" s="1"/>
  <c r="AB403" i="4"/>
  <c r="AC351" i="4"/>
  <c r="N351" i="4" s="1"/>
  <c r="AB351" i="4"/>
  <c r="AB453" i="4"/>
  <c r="AC453" i="4"/>
  <c r="N453" i="4" s="1"/>
  <c r="AC90" i="4"/>
  <c r="N90" i="4" s="1"/>
  <c r="AB90" i="4"/>
  <c r="AB238" i="4"/>
  <c r="AC238" i="4"/>
  <c r="N238" i="4" s="1"/>
  <c r="AC249" i="4"/>
  <c r="N249" i="4" s="1"/>
  <c r="AB249" i="4"/>
  <c r="AC341" i="4"/>
  <c r="N341" i="4" s="1"/>
  <c r="AB341" i="4"/>
  <c r="AC304" i="4"/>
  <c r="N304" i="4" s="1"/>
  <c r="AB304" i="4"/>
  <c r="AC366" i="4"/>
  <c r="N366" i="4" s="1"/>
  <c r="AB366" i="4"/>
  <c r="AC216" i="4"/>
  <c r="N216" i="4" s="1"/>
  <c r="AB216" i="4"/>
  <c r="AC37" i="4"/>
  <c r="N37" i="4" s="1"/>
  <c r="AB37" i="4"/>
  <c r="AC200" i="4"/>
  <c r="N200" i="4" s="1"/>
  <c r="AB200" i="4"/>
  <c r="AB30" i="4"/>
  <c r="AC30" i="4"/>
  <c r="N30" i="4" s="1"/>
  <c r="AB61" i="4"/>
  <c r="AC61" i="4"/>
  <c r="N61" i="4" s="1"/>
  <c r="AB434" i="4"/>
  <c r="AC434" i="4"/>
  <c r="N434" i="4" s="1"/>
  <c r="AC96" i="4"/>
  <c r="N96" i="4" s="1"/>
  <c r="AB96" i="4"/>
  <c r="AC275" i="4"/>
  <c r="N275" i="4" s="1"/>
  <c r="AB275" i="4"/>
  <c r="AC76" i="4"/>
  <c r="N76" i="4" s="1"/>
  <c r="AB76" i="4"/>
  <c r="AB467" i="4"/>
  <c r="AC467" i="4"/>
  <c r="N467" i="4" s="1"/>
  <c r="AB81" i="4"/>
  <c r="AC81" i="4"/>
  <c r="N81" i="4" s="1"/>
  <c r="AC146" i="4"/>
  <c r="N146" i="4" s="1"/>
  <c r="AB146" i="4"/>
  <c r="AC129" i="4"/>
  <c r="N129" i="4" s="1"/>
  <c r="AB129" i="4"/>
  <c r="AB362" i="4"/>
  <c r="AC362" i="4"/>
  <c r="N362" i="4" s="1"/>
  <c r="AB223" i="4"/>
  <c r="AC223" i="4"/>
  <c r="N223" i="4" s="1"/>
  <c r="AB35" i="4"/>
  <c r="AC35" i="4"/>
  <c r="N35" i="4" s="1"/>
  <c r="AC131" i="4"/>
  <c r="N131" i="4" s="1"/>
  <c r="AB131" i="4"/>
  <c r="AC470" i="4"/>
  <c r="N470" i="4" s="1"/>
  <c r="AB470" i="4"/>
  <c r="AC94" i="4"/>
  <c r="N94" i="4" s="1"/>
  <c r="AB94" i="4"/>
  <c r="AB488" i="4"/>
  <c r="AC488" i="4"/>
  <c r="N488" i="4" s="1"/>
  <c r="AB134" i="4"/>
  <c r="AC134" i="4"/>
  <c r="N134" i="4" s="1"/>
  <c r="AB430" i="4"/>
  <c r="AC430" i="4"/>
  <c r="N430" i="4" s="1"/>
  <c r="AB376" i="4"/>
  <c r="AC376" i="4"/>
  <c r="N376" i="4" s="1"/>
  <c r="AC291" i="4"/>
  <c r="N291" i="4" s="1"/>
  <c r="AB291" i="4"/>
  <c r="AC20" i="4"/>
  <c r="N20" i="4" s="1"/>
  <c r="AB20" i="4"/>
  <c r="AB169" i="4"/>
  <c r="AC169" i="4"/>
  <c r="N169" i="4" s="1"/>
  <c r="AC154" i="4"/>
  <c r="N154" i="4" s="1"/>
  <c r="AB154" i="4"/>
  <c r="AB166" i="4"/>
  <c r="AC166" i="4"/>
  <c r="N166" i="4" s="1"/>
  <c r="AC16" i="4"/>
  <c r="N16" i="4" s="1"/>
  <c r="AB16" i="4"/>
  <c r="AC457" i="4"/>
  <c r="N457" i="4" s="1"/>
  <c r="AB457" i="4"/>
  <c r="AC219" i="4"/>
  <c r="N219" i="4" s="1"/>
  <c r="AB219" i="4"/>
  <c r="AC464" i="4"/>
  <c r="N464" i="4" s="1"/>
  <c r="AB464" i="4"/>
  <c r="AC117" i="4"/>
  <c r="N117" i="4" s="1"/>
  <c r="AB117" i="4"/>
  <c r="AC417" i="4"/>
  <c r="N417" i="4" s="1"/>
  <c r="AB417" i="4"/>
  <c r="AB401" i="4"/>
  <c r="AC401" i="4"/>
  <c r="N401" i="4" s="1"/>
  <c r="AC349" i="4"/>
  <c r="N349" i="4" s="1"/>
  <c r="AB349" i="4"/>
  <c r="AB194" i="4"/>
  <c r="AC194" i="4"/>
  <c r="N194" i="4" s="1"/>
  <c r="AC141" i="4"/>
  <c r="N141" i="4" s="1"/>
  <c r="AB141" i="4"/>
  <c r="AC201" i="4"/>
  <c r="N201" i="4" s="1"/>
  <c r="AB201" i="4"/>
  <c r="AC50" i="4"/>
  <c r="N50" i="4" s="1"/>
  <c r="AB50" i="4"/>
  <c r="AC156" i="4"/>
  <c r="N156" i="4" s="1"/>
  <c r="AB156" i="4"/>
  <c r="AC397" i="4"/>
  <c r="N397" i="4" s="1"/>
  <c r="AB397" i="4"/>
  <c r="AB409" i="4"/>
  <c r="AC409" i="4"/>
  <c r="N409" i="4" s="1"/>
  <c r="AB89" i="4"/>
  <c r="AC89" i="4"/>
  <c r="N89" i="4" s="1"/>
  <c r="AB116" i="4"/>
  <c r="AC116" i="4"/>
  <c r="N116" i="4" s="1"/>
  <c r="AC28" i="4"/>
  <c r="N28" i="4" s="1"/>
  <c r="AB28" i="4"/>
  <c r="AC133" i="4"/>
  <c r="N133" i="4" s="1"/>
  <c r="AB133" i="4"/>
  <c r="AB85" i="4"/>
  <c r="AC85" i="4"/>
  <c r="N85" i="4" s="1"/>
  <c r="AB439" i="4"/>
  <c r="AC439" i="4"/>
  <c r="N439" i="4" s="1"/>
  <c r="AC110" i="4"/>
  <c r="N110" i="4" s="1"/>
  <c r="AB110" i="4"/>
  <c r="AB239" i="4"/>
  <c r="AC239" i="4"/>
  <c r="N239" i="4" s="1"/>
  <c r="AC182" i="4"/>
  <c r="N182" i="4" s="1"/>
  <c r="AB182" i="4"/>
  <c r="AB465" i="4"/>
  <c r="AC465" i="4"/>
  <c r="N465" i="4" s="1"/>
  <c r="AB461" i="4"/>
  <c r="AC461" i="4"/>
  <c r="N461" i="4" s="1"/>
  <c r="AC128" i="4"/>
  <c r="N128" i="4" s="1"/>
  <c r="AB128" i="4"/>
  <c r="AC14" i="4"/>
  <c r="N14" i="4" s="1"/>
  <c r="AB14" i="4"/>
  <c r="AC444" i="4"/>
  <c r="N444" i="4" s="1"/>
  <c r="AB444" i="4"/>
  <c r="AC294" i="4"/>
  <c r="N294" i="4" s="1"/>
  <c r="AB294" i="4"/>
  <c r="AB321" i="4"/>
  <c r="AC321" i="4"/>
  <c r="N321" i="4" s="1"/>
  <c r="AC284" i="4"/>
  <c r="N284" i="4" s="1"/>
  <c r="AB284" i="4"/>
  <c r="AB242" i="4"/>
  <c r="AC242" i="4"/>
  <c r="N242" i="4" s="1"/>
  <c r="AB32" i="4"/>
  <c r="AC32" i="4"/>
  <c r="N32" i="4" s="1"/>
  <c r="AB353" i="4"/>
  <c r="AC353" i="4"/>
  <c r="N353" i="4" s="1"/>
  <c r="AB419" i="4"/>
  <c r="AC419" i="4"/>
  <c r="N419" i="4" s="1"/>
  <c r="AC343" i="4"/>
  <c r="N343" i="4" s="1"/>
  <c r="AB343" i="4"/>
  <c r="AC33" i="4"/>
  <c r="N33" i="4" s="1"/>
  <c r="AB33" i="4"/>
  <c r="AC217" i="4"/>
  <c r="N217" i="4" s="1"/>
  <c r="AB217" i="4"/>
  <c r="AC145" i="4"/>
  <c r="N145" i="4" s="1"/>
  <c r="AB145" i="4"/>
  <c r="AC446" i="4"/>
  <c r="N446" i="4" s="1"/>
  <c r="AB446" i="4"/>
  <c r="AC159" i="4"/>
  <c r="N159" i="4" s="1"/>
  <c r="AB159" i="4"/>
  <c r="AC309" i="4"/>
  <c r="N309" i="4" s="1"/>
  <c r="AB309" i="4"/>
  <c r="AC475" i="4"/>
  <c r="N475" i="4" s="1"/>
  <c r="AB475" i="4"/>
  <c r="AB168" i="4"/>
  <c r="AC168" i="4"/>
  <c r="N168" i="4" s="1"/>
  <c r="AB260" i="4"/>
  <c r="AC260" i="4"/>
  <c r="N260" i="4" s="1"/>
  <c r="AC41" i="4"/>
  <c r="N41" i="4" s="1"/>
  <c r="AB41" i="4"/>
  <c r="AB45" i="4"/>
  <c r="AC45" i="4"/>
  <c r="N45" i="4" s="1"/>
  <c r="AC165" i="4"/>
  <c r="N165" i="4" s="1"/>
  <c r="AB165" i="4"/>
  <c r="AB386" i="4"/>
  <c r="AC386" i="4"/>
  <c r="N386" i="4" s="1"/>
  <c r="AB56" i="4"/>
  <c r="AC56" i="4"/>
  <c r="N56" i="4" s="1"/>
  <c r="AB39" i="4"/>
  <c r="AC39" i="4"/>
  <c r="N39" i="4" s="1"/>
  <c r="AB75" i="4"/>
  <c r="AC75" i="4"/>
  <c r="N75" i="4" s="1"/>
  <c r="AB468" i="4"/>
  <c r="AC468" i="4"/>
  <c r="N468" i="4" s="1"/>
  <c r="AC331" i="4"/>
  <c r="N331" i="4" s="1"/>
  <c r="AB331" i="4"/>
  <c r="AB73" i="4"/>
  <c r="AC73" i="4"/>
  <c r="N73" i="4" s="1"/>
  <c r="AB47" i="4"/>
  <c r="AC47" i="4"/>
  <c r="N47" i="4" s="1"/>
  <c r="AB177" i="4"/>
  <c r="AC177" i="4"/>
  <c r="N177" i="4" s="1"/>
  <c r="AC115" i="4"/>
  <c r="N115" i="4" s="1"/>
  <c r="AB115" i="4"/>
  <c r="AC59" i="4"/>
  <c r="N59" i="4" s="1"/>
  <c r="AB59" i="4"/>
  <c r="AB124" i="4"/>
  <c r="AC124" i="4"/>
  <c r="N124" i="4" s="1"/>
  <c r="AC391" i="4"/>
  <c r="N391" i="4" s="1"/>
  <c r="AB391" i="4"/>
  <c r="AC157" i="4"/>
  <c r="N157" i="4" s="1"/>
  <c r="AB157" i="4"/>
  <c r="AC162" i="4"/>
  <c r="N162" i="4" s="1"/>
  <c r="AB162" i="4"/>
  <c r="AB160" i="4"/>
  <c r="AC160" i="4"/>
  <c r="N160" i="4" s="1"/>
  <c r="AB346" i="4"/>
  <c r="AC346" i="4"/>
  <c r="N346" i="4" s="1"/>
  <c r="AC392" i="4"/>
  <c r="N392" i="4" s="1"/>
  <c r="AB392" i="4"/>
  <c r="AC390" i="4"/>
  <c r="N390" i="4" s="1"/>
  <c r="AB390" i="4"/>
  <c r="AC297" i="4"/>
  <c r="N297" i="4" s="1"/>
  <c r="AB297" i="4"/>
  <c r="AC98" i="4"/>
  <c r="N98" i="4" s="1"/>
  <c r="AB98" i="4"/>
  <c r="AC489" i="4"/>
  <c r="N489" i="4" s="1"/>
  <c r="AB489" i="4"/>
  <c r="AB440" i="4"/>
  <c r="AC440" i="4"/>
  <c r="N440" i="4" s="1"/>
  <c r="AC300" i="4"/>
  <c r="N300" i="4" s="1"/>
  <c r="AB300" i="4"/>
  <c r="AB187" i="4"/>
  <c r="AC187" i="4"/>
  <c r="N187" i="4" s="1"/>
  <c r="AB144" i="4"/>
  <c r="AC144" i="4"/>
  <c r="N144" i="4" s="1"/>
  <c r="AB258" i="4"/>
  <c r="AC258" i="4"/>
  <c r="N258" i="4" s="1"/>
  <c r="AC68" i="4"/>
  <c r="N68" i="4" s="1"/>
  <c r="AB68" i="4"/>
  <c r="AC498" i="4"/>
  <c r="N498" i="4" s="1"/>
  <c r="AB498" i="4"/>
  <c r="AB445" i="4"/>
  <c r="AC445" i="4"/>
  <c r="N445" i="4" s="1"/>
  <c r="AB363" i="4"/>
  <c r="AC363" i="4"/>
  <c r="N363" i="4" s="1"/>
  <c r="AB264" i="4"/>
  <c r="AC264" i="4"/>
  <c r="N264" i="4" s="1"/>
  <c r="AB413" i="4"/>
  <c r="AC413" i="4"/>
  <c r="N413" i="4" s="1"/>
  <c r="AB172" i="4"/>
  <c r="AC172" i="4"/>
  <c r="N172" i="4" s="1"/>
  <c r="AB499" i="4"/>
  <c r="AC499" i="4"/>
  <c r="N499" i="4" s="1"/>
  <c r="AC173" i="4"/>
  <c r="N173" i="4" s="1"/>
  <c r="AB173" i="4"/>
  <c r="AC405" i="4"/>
  <c r="N405" i="4" s="1"/>
  <c r="AB405" i="4"/>
  <c r="AB236" i="4"/>
  <c r="AC236" i="4"/>
  <c r="N236" i="4" s="1"/>
  <c r="AC218" i="4"/>
  <c r="N218" i="4" s="1"/>
  <c r="AB218" i="4"/>
  <c r="AC247" i="4"/>
  <c r="N247" i="4" s="1"/>
  <c r="AB247" i="4"/>
  <c r="AB82" i="4"/>
  <c r="AC82" i="4"/>
  <c r="N82" i="4" s="1"/>
  <c r="AB399" i="4"/>
  <c r="AC399" i="4"/>
  <c r="N399" i="4" s="1"/>
  <c r="AB256" i="4"/>
  <c r="AC256" i="4"/>
  <c r="N256" i="4" s="1"/>
  <c r="AC404" i="4"/>
  <c r="N404" i="4" s="1"/>
  <c r="AB404" i="4"/>
  <c r="AC127" i="4"/>
  <c r="N127" i="4" s="1"/>
  <c r="AB127" i="4"/>
  <c r="AB411" i="4"/>
  <c r="AC411" i="4"/>
  <c r="N411" i="4" s="1"/>
  <c r="AB215" i="4"/>
  <c r="AC215" i="4"/>
  <c r="N215" i="4" s="1"/>
  <c r="AB389" i="4"/>
  <c r="AC389" i="4"/>
  <c r="N389" i="4" s="1"/>
  <c r="AC197" i="4"/>
  <c r="N197" i="4" s="1"/>
  <c r="AB197" i="4"/>
  <c r="AC64" i="4"/>
  <c r="N64" i="4" s="1"/>
  <c r="AB64" i="4"/>
  <c r="AC225" i="4"/>
  <c r="N225" i="4" s="1"/>
  <c r="AB225" i="4"/>
  <c r="AC67" i="4"/>
  <c r="N67" i="4" s="1"/>
  <c r="AB67" i="4"/>
  <c r="AB486" i="4"/>
  <c r="AC486" i="4"/>
  <c r="N486" i="4" s="1"/>
  <c r="AB243" i="4"/>
  <c r="AC243" i="4"/>
  <c r="N243" i="4" s="1"/>
  <c r="AC288" i="4"/>
  <c r="N288" i="4" s="1"/>
  <c r="AB288" i="4"/>
  <c r="AB396" i="4"/>
  <c r="AC396" i="4"/>
  <c r="N396" i="4" s="1"/>
  <c r="AC283" i="4"/>
  <c r="N283" i="4" s="1"/>
  <c r="AB283" i="4"/>
  <c r="AB502" i="4"/>
  <c r="AC502" i="4"/>
  <c r="N502" i="4" s="1"/>
  <c r="AC428" i="4"/>
  <c r="N428" i="4" s="1"/>
  <c r="AB428" i="4"/>
  <c r="AC227" i="4"/>
  <c r="N227" i="4" s="1"/>
  <c r="AB227" i="4"/>
  <c r="AC140" i="4"/>
  <c r="N140" i="4" s="1"/>
  <c r="AB140" i="4"/>
  <c r="AB241" i="4"/>
  <c r="AC241" i="4"/>
  <c r="N241" i="4" s="1"/>
  <c r="AB132" i="4"/>
  <c r="AC132" i="4"/>
  <c r="N132" i="4" s="1"/>
  <c r="AC78" i="4"/>
  <c r="N78" i="4" s="1"/>
  <c r="AB78" i="4"/>
  <c r="AC266" i="4"/>
  <c r="N266" i="4" s="1"/>
  <c r="AB266" i="4"/>
  <c r="AC447" i="4"/>
  <c r="N447" i="4" s="1"/>
  <c r="AB447" i="4"/>
  <c r="AB38" i="4"/>
  <c r="AC38" i="4"/>
  <c r="N38" i="4" s="1"/>
  <c r="AC478" i="4"/>
  <c r="N478" i="4" s="1"/>
  <c r="AB478" i="4"/>
  <c r="AC26" i="4"/>
  <c r="N26" i="4" s="1"/>
  <c r="AB26" i="4"/>
  <c r="AC112" i="4"/>
  <c r="N112" i="4" s="1"/>
  <c r="AB112" i="4"/>
  <c r="AB12" i="4"/>
  <c r="AC12" i="4"/>
  <c r="N12" i="4" s="1"/>
  <c r="AB149" i="4"/>
  <c r="AC149" i="4"/>
  <c r="N149" i="4" s="1"/>
  <c r="AC329" i="4"/>
  <c r="N329" i="4" s="1"/>
  <c r="AB329" i="4"/>
  <c r="AC356" i="4"/>
  <c r="N356" i="4" s="1"/>
  <c r="AB356" i="4"/>
  <c r="AC449" i="4"/>
  <c r="N449" i="4" s="1"/>
  <c r="AB449" i="4"/>
  <c r="AC86" i="4"/>
  <c r="N86" i="4" s="1"/>
  <c r="AB86" i="4"/>
  <c r="AC245" i="4"/>
  <c r="N245" i="4" s="1"/>
  <c r="AB245" i="4"/>
  <c r="AB274" i="4"/>
  <c r="AC274" i="4"/>
  <c r="N274" i="4" s="1"/>
  <c r="AC137" i="4"/>
  <c r="N137" i="4" s="1"/>
  <c r="AB137" i="4"/>
  <c r="AB174" i="4"/>
  <c r="AC174" i="4"/>
  <c r="N174" i="4" s="1"/>
  <c r="AC373" i="4"/>
  <c r="N373" i="4" s="1"/>
  <c r="AB373" i="4"/>
  <c r="AB393" i="4"/>
  <c r="AC393" i="4"/>
  <c r="N393" i="4" s="1"/>
  <c r="AC269" i="4"/>
  <c r="N269" i="4" s="1"/>
  <c r="AB269" i="4"/>
  <c r="AC484" i="4"/>
  <c r="N484" i="4" s="1"/>
  <c r="AB484" i="4"/>
  <c r="AB192" i="4"/>
  <c r="AC192" i="4"/>
  <c r="N192" i="4" s="1"/>
  <c r="AC92" i="4"/>
  <c r="N92" i="4" s="1"/>
  <c r="AB92" i="4"/>
  <c r="AB27" i="4"/>
  <c r="AC27" i="4"/>
  <c r="N27" i="4" s="1"/>
  <c r="AC328" i="4"/>
  <c r="N328" i="4" s="1"/>
  <c r="AB328" i="4"/>
  <c r="AB456" i="4"/>
  <c r="AC456" i="4"/>
  <c r="N456" i="4" s="1"/>
  <c r="AC293" i="4"/>
  <c r="N293" i="4" s="1"/>
  <c r="AB293" i="4"/>
  <c r="AB171" i="4"/>
  <c r="AC171" i="4"/>
  <c r="N171" i="4" s="1"/>
  <c r="AB400" i="4"/>
  <c r="AC400" i="4"/>
  <c r="N400" i="4" s="1"/>
  <c r="AC324" i="4"/>
  <c r="N324" i="4" s="1"/>
  <c r="AB324" i="4"/>
  <c r="AB337" i="4"/>
  <c r="AC337" i="4"/>
  <c r="N337" i="4" s="1"/>
  <c r="AC204" i="4"/>
  <c r="N204" i="4" s="1"/>
  <c r="AB204" i="4"/>
  <c r="AC368" i="4"/>
  <c r="N368" i="4" s="1"/>
  <c r="AB368" i="4"/>
  <c r="AB55" i="4"/>
  <c r="AC55" i="4"/>
  <c r="N55" i="4" s="1"/>
  <c r="AC455" i="4"/>
  <c r="N455" i="4" s="1"/>
  <c r="AB455" i="4"/>
  <c r="AC289" i="4"/>
  <c r="N289" i="4" s="1"/>
  <c r="AB289" i="4"/>
  <c r="AB77" i="4"/>
  <c r="AC77" i="4"/>
  <c r="N77" i="4" s="1"/>
  <c r="AB228" i="4"/>
  <c r="AC228" i="4"/>
  <c r="N228" i="4" s="1"/>
  <c r="AB348" i="4"/>
  <c r="AC348" i="4"/>
  <c r="N348" i="4" s="1"/>
  <c r="AC357" i="4"/>
  <c r="N357" i="4" s="1"/>
  <c r="AB357" i="4"/>
  <c r="AC422" i="4"/>
  <c r="N422" i="4" s="1"/>
  <c r="AB422" i="4"/>
  <c r="AC437" i="4"/>
  <c r="N437" i="4" s="1"/>
  <c r="AB437" i="4"/>
  <c r="AB181" i="4"/>
  <c r="AC181" i="4"/>
  <c r="N181" i="4" s="1"/>
  <c r="AB487" i="4"/>
  <c r="AC487" i="4"/>
  <c r="N487" i="4" s="1"/>
  <c r="AC472" i="4"/>
  <c r="N472" i="4" s="1"/>
  <c r="AB472" i="4"/>
  <c r="AC104" i="4"/>
  <c r="N104" i="4" s="1"/>
  <c r="AB104" i="4"/>
  <c r="AC320" i="4"/>
  <c r="N320" i="4" s="1"/>
  <c r="AB320" i="4"/>
  <c r="AC232" i="4"/>
  <c r="N232" i="4" s="1"/>
  <c r="AB232" i="4"/>
  <c r="AB101" i="4"/>
  <c r="AC101" i="4"/>
  <c r="N101" i="4" s="1"/>
  <c r="AC10" i="4"/>
  <c r="N10" i="4" s="1"/>
  <c r="AB10" i="4"/>
  <c r="AB476" i="4"/>
  <c r="AC476" i="4"/>
  <c r="N476" i="4" s="1"/>
  <c r="AC29" i="4"/>
  <c r="N29" i="4" s="1"/>
  <c r="AB29" i="4"/>
  <c r="AC371" i="4"/>
  <c r="N371" i="4" s="1"/>
  <c r="AB371" i="4"/>
  <c r="AB280" i="4"/>
  <c r="AC280" i="4"/>
  <c r="N280" i="4" s="1"/>
  <c r="AC427" i="4"/>
  <c r="N427" i="4" s="1"/>
  <c r="AB427" i="4"/>
  <c r="AC240" i="4"/>
  <c r="N240" i="4" s="1"/>
  <c r="AB240" i="4"/>
  <c r="AC491" i="4"/>
  <c r="N491" i="4" s="1"/>
  <c r="AB491" i="4"/>
  <c r="AC148" i="4"/>
  <c r="N148" i="4" s="1"/>
  <c r="AB148" i="4"/>
  <c r="AC69" i="4"/>
  <c r="N69" i="4" s="1"/>
  <c r="AB69" i="4"/>
  <c r="AC252" i="4"/>
  <c r="N252" i="4" s="1"/>
  <c r="AB252" i="4"/>
  <c r="AC44" i="4"/>
  <c r="N44" i="4" s="1"/>
  <c r="AB44" i="4"/>
  <c r="AB276" i="4"/>
  <c r="AC276" i="4"/>
  <c r="N276" i="4" s="1"/>
  <c r="AC214" i="4"/>
  <c r="N214" i="4" s="1"/>
  <c r="AB214" i="4"/>
  <c r="AB282" i="4"/>
  <c r="AC282" i="4"/>
  <c r="N282" i="4" s="1"/>
  <c r="AB233" i="4"/>
  <c r="AC233" i="4"/>
  <c r="N233" i="4" s="1"/>
  <c r="AC497" i="4"/>
  <c r="N497" i="4" s="1"/>
  <c r="AB497" i="4"/>
  <c r="AC317" i="4"/>
  <c r="N317" i="4" s="1"/>
  <c r="AB317" i="4"/>
  <c r="AC207" i="4"/>
  <c r="N207" i="4" s="1"/>
  <c r="AB207" i="4"/>
  <c r="AC335" i="4"/>
  <c r="N335" i="4" s="1"/>
  <c r="AB335" i="4"/>
  <c r="AC262" i="4"/>
  <c r="N262" i="4" s="1"/>
  <c r="AB262" i="4"/>
  <c r="AC100" i="4"/>
  <c r="N100" i="4" s="1"/>
  <c r="AB100" i="4"/>
  <c r="AB125" i="4"/>
  <c r="AC125" i="4"/>
  <c r="N125" i="4" s="1"/>
  <c r="AB355" i="4"/>
  <c r="AC355" i="4"/>
  <c r="N355" i="4" s="1"/>
  <c r="AC451" i="4"/>
  <c r="N451" i="4" s="1"/>
  <c r="AB451" i="4"/>
  <c r="AB254" i="4"/>
  <c r="AC254" i="4"/>
  <c r="N254" i="4" s="1"/>
  <c r="AC290" i="4"/>
  <c r="N290" i="4" s="1"/>
  <c r="AB290" i="4"/>
  <c r="AC190" i="4"/>
  <c r="N190" i="4" s="1"/>
  <c r="AB190" i="4"/>
  <c r="AB474" i="4"/>
  <c r="AC474" i="4"/>
  <c r="N474" i="4" s="1"/>
  <c r="AB152" i="4"/>
  <c r="AC152" i="4"/>
  <c r="N152" i="4" s="1"/>
  <c r="AB382" i="4"/>
  <c r="AC382" i="4"/>
  <c r="N382" i="4" s="1"/>
  <c r="AC360" i="4"/>
  <c r="N360" i="4" s="1"/>
  <c r="AB360" i="4"/>
  <c r="AC142" i="4"/>
  <c r="N142" i="4" s="1"/>
  <c r="AB142" i="4"/>
  <c r="AC267" i="4"/>
  <c r="N267" i="4" s="1"/>
  <c r="AB267" i="4"/>
  <c r="AB188" i="4"/>
  <c r="AC188" i="4"/>
  <c r="N188" i="4" s="1"/>
  <c r="AC178" i="4"/>
  <c r="N178" i="4" s="1"/>
  <c r="AB178" i="4"/>
  <c r="AC482" i="4"/>
  <c r="N482" i="4" s="1"/>
  <c r="AB482" i="4"/>
  <c r="AC106" i="4"/>
  <c r="N106" i="4" s="1"/>
  <c r="AB106" i="4"/>
  <c r="AC109" i="4"/>
  <c r="N109" i="4" s="1"/>
  <c r="AB109" i="4"/>
  <c r="AC347" i="4"/>
  <c r="N347" i="4" s="1"/>
  <c r="AB347" i="4"/>
  <c r="AB384" i="4"/>
  <c r="AC384" i="4"/>
  <c r="N384" i="4" s="1"/>
  <c r="AC49" i="4"/>
  <c r="N49" i="4" s="1"/>
  <c r="AB49" i="4"/>
  <c r="AC25" i="4"/>
  <c r="N25" i="4" s="1"/>
  <c r="AB25" i="4"/>
  <c r="AC334" i="4"/>
  <c r="N334" i="4" s="1"/>
  <c r="AB334" i="4"/>
  <c r="AC13" i="4"/>
  <c r="N13" i="4" s="1"/>
  <c r="AB13" i="4"/>
  <c r="AB43" i="4"/>
  <c r="AC43" i="4"/>
  <c r="N43" i="4" s="1"/>
  <c r="AB185" i="4"/>
  <c r="AC185" i="4"/>
  <c r="N185" i="4" s="1"/>
  <c r="AC452" i="4"/>
  <c r="N452" i="4" s="1"/>
  <c r="AB452" i="4"/>
  <c r="AB424" i="4"/>
  <c r="AC424" i="4"/>
  <c r="N424" i="4" s="1"/>
  <c r="AC410" i="4"/>
  <c r="N410" i="4" s="1"/>
  <c r="AB410" i="4"/>
  <c r="AB473" i="4"/>
  <c r="AC473" i="4"/>
  <c r="N473" i="4" s="1"/>
  <c r="AC126" i="4"/>
  <c r="N126" i="4" s="1"/>
  <c r="AB126" i="4"/>
  <c r="AB108" i="4"/>
  <c r="AC108" i="4"/>
  <c r="N108" i="4" s="1"/>
  <c r="AC350" i="4"/>
  <c r="N350" i="4" s="1"/>
  <c r="AB350" i="4"/>
  <c r="AC66" i="4"/>
  <c r="N66" i="4" s="1"/>
  <c r="AB66" i="4"/>
  <c r="AC332" i="4"/>
  <c r="N332" i="4" s="1"/>
  <c r="AB332" i="4"/>
  <c r="AC79" i="4"/>
  <c r="N79" i="4" s="1"/>
  <c r="AB79" i="4"/>
  <c r="AB354" i="4"/>
  <c r="AC354" i="4"/>
  <c r="N354" i="4" s="1"/>
  <c r="AB429" i="4"/>
  <c r="AC429" i="4"/>
  <c r="N429" i="4" s="1"/>
  <c r="AC345" i="4"/>
  <c r="N345" i="4" s="1"/>
  <c r="AB345" i="4"/>
  <c r="AC158" i="4"/>
  <c r="N158" i="4" s="1"/>
  <c r="AB158" i="4"/>
  <c r="AB189" i="4"/>
  <c r="AC189" i="4"/>
  <c r="N189" i="4" s="1"/>
  <c r="AB51" i="4"/>
  <c r="AC51" i="4"/>
  <c r="N51" i="4" s="1"/>
  <c r="AC151" i="4"/>
  <c r="N151" i="4" s="1"/>
  <c r="AB151" i="4"/>
  <c r="AC210" i="4"/>
  <c r="N210" i="4" s="1"/>
  <c r="AB210" i="4"/>
  <c r="AB479" i="4"/>
  <c r="AC479" i="4"/>
  <c r="N479" i="4" s="1"/>
  <c r="AC18" i="4"/>
  <c r="N18" i="4" s="1"/>
  <c r="AB18" i="4"/>
  <c r="AC46" i="4"/>
  <c r="N46" i="4" s="1"/>
  <c r="AB46" i="4"/>
  <c r="AB95" i="4"/>
  <c r="AC95" i="4"/>
  <c r="N95" i="4" s="1"/>
  <c r="AC311" i="4"/>
  <c r="N311" i="4" s="1"/>
  <c r="AB311" i="4"/>
  <c r="AC65" i="4"/>
  <c r="N65" i="4" s="1"/>
  <c r="AB65" i="4"/>
  <c r="AB325" i="4"/>
  <c r="AC325" i="4"/>
  <c r="N325" i="4" s="1"/>
  <c r="AB296" i="4"/>
  <c r="AC296" i="4"/>
  <c r="N296" i="4" s="1"/>
  <c r="AC11" i="4"/>
  <c r="N11" i="4" s="1"/>
  <c r="AB11" i="4"/>
  <c r="AB206" i="4"/>
  <c r="AC206" i="4"/>
  <c r="N206" i="4" s="1"/>
  <c r="AC277" i="4"/>
  <c r="N277" i="4" s="1"/>
  <c r="AB277" i="4"/>
  <c r="AB495" i="4"/>
  <c r="AC495" i="4"/>
  <c r="N495" i="4" s="1"/>
  <c r="AB179" i="4"/>
  <c r="AC179" i="4"/>
  <c r="N179" i="4" s="1"/>
  <c r="AC224" i="4"/>
  <c r="N224" i="4" s="1"/>
  <c r="AB224" i="4"/>
  <c r="AC278" i="4"/>
  <c r="N278" i="4" s="1"/>
  <c r="AB278" i="4"/>
  <c r="AC432" i="4"/>
  <c r="N432" i="4" s="1"/>
  <c r="AB432" i="4"/>
  <c r="AB209" i="4"/>
  <c r="AC209" i="4"/>
  <c r="N209" i="4" s="1"/>
  <c r="AC448" i="4"/>
  <c r="N448" i="4" s="1"/>
  <c r="AB448" i="4"/>
  <c r="AC5" i="4"/>
  <c r="N5" i="4" s="1"/>
  <c r="AB5" i="4"/>
  <c r="AB477" i="4"/>
  <c r="AC477" i="4"/>
  <c r="N477" i="4" s="1"/>
  <c r="C60" i="4" l="1"/>
  <c r="C52" i="4" s="1"/>
  <c r="D52" i="4" s="1"/>
  <c r="C50" i="4" s="1"/>
  <c r="C53" i="4" s="1"/>
  <c r="D53" i="4" s="1"/>
  <c r="C51" i="4" s="1"/>
  <c r="D175" i="1"/>
  <c r="E175" i="1" s="1"/>
  <c r="D176" i="1"/>
  <c r="E176" i="1" s="1"/>
  <c r="D173" i="1"/>
  <c r="E173" i="1" s="1"/>
  <c r="D174" i="1" s="1"/>
  <c r="D179" i="1" s="1"/>
  <c r="F10" i="4"/>
  <c r="C10" i="4"/>
  <c r="D35" i="1"/>
  <c r="D22" i="1" l="1"/>
  <c r="D178" i="1"/>
  <c r="C11" i="4"/>
  <c r="F11" i="4"/>
  <c r="D177" i="1"/>
  <c r="C12" i="4" l="1"/>
  <c r="D24" i="1"/>
  <c r="F12" i="4"/>
  <c r="D180" i="1"/>
  <c r="AH217" i="4"/>
  <c r="AH77" i="4"/>
  <c r="AH179" i="4"/>
  <c r="AH193" i="4"/>
  <c r="AH359" i="4"/>
  <c r="AH449" i="4"/>
  <c r="AH184" i="4"/>
  <c r="AH66" i="4"/>
  <c r="AH423" i="4"/>
  <c r="AH95" i="4"/>
  <c r="AH430" i="4"/>
  <c r="AH432" i="4"/>
  <c r="AH9" i="4"/>
  <c r="AH20" i="4"/>
  <c r="AH28" i="4"/>
  <c r="AH419" i="4"/>
  <c r="AH438" i="4"/>
  <c r="AH466" i="4"/>
  <c r="AH35" i="4"/>
  <c r="AH145" i="4"/>
  <c r="AH387" i="4"/>
  <c r="AH19" i="4"/>
  <c r="AH96" i="4"/>
  <c r="AH192" i="4"/>
  <c r="AH322" i="4"/>
  <c r="AH41" i="4"/>
  <c r="AH437" i="4"/>
  <c r="AH306" i="4"/>
  <c r="AH372" i="4"/>
  <c r="AH350" i="4"/>
  <c r="AH373" i="4"/>
  <c r="AH501" i="4"/>
  <c r="AH175" i="4"/>
  <c r="AH144" i="4"/>
  <c r="AH132" i="4"/>
  <c r="AH135" i="4"/>
  <c r="AH40" i="4"/>
  <c r="AH395" i="4"/>
  <c r="AH137" i="4"/>
  <c r="AH381" i="4"/>
  <c r="AH354" i="4"/>
  <c r="AH371" i="4"/>
  <c r="AH12" i="4"/>
  <c r="AH67" i="4"/>
  <c r="AH136" i="4"/>
  <c r="AH234" i="4"/>
  <c r="AH247" i="4"/>
  <c r="AH72" i="4"/>
  <c r="AH90" i="4"/>
  <c r="AH27" i="4"/>
  <c r="AH10" i="4"/>
  <c r="AH283" i="4"/>
  <c r="AH291" i="4"/>
  <c r="AH206" i="4"/>
  <c r="AH496" i="4"/>
  <c r="AH470" i="4"/>
  <c r="AH21" i="4"/>
  <c r="AH332" i="4"/>
  <c r="AH259" i="4"/>
  <c r="AH68" i="4"/>
  <c r="AH195" i="4"/>
  <c r="AH378" i="4"/>
  <c r="AH18" i="4"/>
  <c r="AH365" i="4"/>
  <c r="AH486" i="4"/>
  <c r="AH32" i="4"/>
  <c r="AH200" i="4"/>
  <c r="AH140" i="4"/>
  <c r="AH305" i="4"/>
  <c r="AH45" i="4"/>
  <c r="AH214" i="4"/>
  <c r="AH125" i="4"/>
  <c r="AH99" i="4"/>
  <c r="AH76" i="4"/>
  <c r="AH352" i="4"/>
  <c r="AH444" i="4"/>
  <c r="AH422" i="4"/>
  <c r="AH375" i="4"/>
  <c r="AH417" i="4"/>
  <c r="AH263" i="4"/>
  <c r="AH338" i="4"/>
  <c r="AH75" i="4"/>
  <c r="AH170" i="4"/>
  <c r="AH157" i="4"/>
  <c r="AH406" i="4"/>
  <c r="AH451" i="4"/>
  <c r="AH295" i="4"/>
  <c r="AH256" i="4"/>
  <c r="AH363" i="4"/>
  <c r="AH130" i="4"/>
  <c r="AH80" i="4"/>
  <c r="AH69" i="4"/>
  <c r="AH440" i="4"/>
  <c r="AH388" i="4"/>
  <c r="AH203" i="4"/>
  <c r="AH43" i="4"/>
  <c r="AH126" i="4"/>
  <c r="AH400" i="4"/>
  <c r="AH178" i="4"/>
  <c r="AH151" i="4"/>
  <c r="AH226" i="4"/>
  <c r="AH227" i="4"/>
  <c r="AH133" i="4"/>
  <c r="AH232" i="4"/>
  <c r="AH360" i="4"/>
  <c r="AH160" i="4"/>
  <c r="AH356" i="4"/>
  <c r="AH257" i="4"/>
  <c r="AH25" i="4"/>
  <c r="AH502" i="4"/>
  <c r="AH60" i="4"/>
  <c r="AH141" i="4"/>
  <c r="AH124" i="4"/>
  <c r="AH74" i="4"/>
  <c r="AH100" i="4"/>
  <c r="AH280" i="4"/>
  <c r="AH231" i="4"/>
  <c r="AH238" i="4"/>
  <c r="AH428" i="4"/>
  <c r="AH433" i="4"/>
  <c r="AH272" i="4"/>
  <c r="AH224" i="4"/>
  <c r="AH129" i="4"/>
  <c r="AH277" i="4"/>
  <c r="AH351" i="4"/>
  <c r="AH418" i="4"/>
  <c r="AH347" i="4"/>
  <c r="AH340" i="4"/>
  <c r="AH37" i="4"/>
  <c r="AH382" i="4"/>
  <c r="AH181" i="4"/>
  <c r="AH190" i="4"/>
  <c r="AH361" i="4"/>
  <c r="AH17" i="4"/>
  <c r="AH248" i="4"/>
  <c r="AH258" i="4"/>
  <c r="AH143" i="4"/>
  <c r="AH104" i="4"/>
  <c r="AH312" i="4"/>
  <c r="AH158" i="4"/>
  <c r="AH471" i="4"/>
  <c r="AH220" i="4"/>
  <c r="AH279" i="4"/>
  <c r="AH355" i="4"/>
  <c r="AH199" i="4"/>
  <c r="AH52" i="4"/>
  <c r="AH324" i="4"/>
  <c r="AH213" i="4"/>
  <c r="AH113" i="4"/>
  <c r="AH300" i="4"/>
  <c r="AH255" i="4"/>
  <c r="AH314" i="4"/>
  <c r="AH499" i="4"/>
  <c r="AH425" i="4"/>
  <c r="AH284" i="4"/>
  <c r="AH29" i="4"/>
  <c r="AH358" i="4"/>
  <c r="AH485" i="4"/>
  <c r="AH392" i="4"/>
  <c r="AH323" i="4"/>
  <c r="AH497" i="4"/>
  <c r="AH409" i="4"/>
  <c r="AH97" i="4"/>
  <c r="AH48" i="4"/>
  <c r="AH108" i="4"/>
  <c r="AH477" i="4"/>
  <c r="AH111" i="4"/>
  <c r="AH44" i="4"/>
  <c r="AH503" i="4"/>
  <c r="AH273" i="4"/>
  <c r="AH500" i="4"/>
  <c r="AH233" i="4"/>
  <c r="AH71" i="4"/>
  <c r="AH289" i="4"/>
  <c r="AH112" i="4"/>
  <c r="AH436" i="4"/>
  <c r="AH290" i="4"/>
  <c r="AH177" i="4"/>
  <c r="AH165" i="4"/>
  <c r="AH398" i="4"/>
  <c r="AH469" i="4"/>
  <c r="AH441" i="4"/>
  <c r="AH81" i="4"/>
  <c r="AH42" i="4"/>
  <c r="AH447" i="4"/>
  <c r="AH464" i="4"/>
  <c r="AH274" i="4"/>
  <c r="AH215" i="4"/>
  <c r="AH482" i="4"/>
  <c r="AH242" i="4"/>
  <c r="AH296" i="4"/>
  <c r="AH222" i="4"/>
  <c r="AH128" i="4"/>
  <c r="AH183" i="4"/>
  <c r="AH341" i="4"/>
  <c r="AH154" i="4"/>
  <c r="AH161" i="4"/>
  <c r="AH46" i="4"/>
  <c r="AH278" i="4"/>
  <c r="AH369" i="4"/>
  <c r="AH405" i="4"/>
  <c r="AH30" i="4"/>
  <c r="AH442" i="4"/>
  <c r="AH191" i="4"/>
  <c r="AH56" i="4"/>
  <c r="AH107" i="4"/>
  <c r="AH196" i="4"/>
  <c r="AH185" i="4"/>
  <c r="AH79" i="4"/>
  <c r="AH236" i="4"/>
  <c r="AH390" i="4"/>
  <c r="AH142" i="4"/>
  <c r="AH149" i="4"/>
  <c r="AH218" i="4"/>
  <c r="AH57" i="4"/>
  <c r="AH310" i="4"/>
  <c r="AH491" i="4"/>
  <c r="AH117" i="4"/>
  <c r="AH123" i="4"/>
  <c r="AH207" i="4"/>
  <c r="AH309" i="4"/>
  <c r="AH267" i="4"/>
  <c r="AH180" i="4"/>
  <c r="AH159" i="4"/>
  <c r="AH171" i="4"/>
  <c r="AH454" i="4"/>
  <c r="AH362" i="4"/>
  <c r="AH166" i="4"/>
  <c r="AH89" i="4"/>
  <c r="AH91" i="4"/>
  <c r="AH243" i="4"/>
  <c r="AH339" i="4"/>
  <c r="AH93" i="4"/>
  <c r="AH402" i="4"/>
  <c r="AH241" i="4"/>
  <c r="AH251" i="4"/>
  <c r="AH244" i="4"/>
  <c r="AH239" i="4"/>
  <c r="AH98" i="4"/>
  <c r="AH163" i="4"/>
  <c r="AH201" i="4"/>
  <c r="AH414" i="4"/>
  <c r="AH320" i="4"/>
  <c r="AH146" i="4"/>
  <c r="AH331" i="4"/>
  <c r="AH460" i="4"/>
  <c r="AH6" i="4"/>
  <c r="AH169" i="4"/>
  <c r="AH329" i="4"/>
  <c r="AH87" i="4"/>
  <c r="AH420" i="4"/>
  <c r="AH14" i="4"/>
  <c r="AH189" i="4"/>
  <c r="AH410" i="4"/>
  <c r="AH62" i="4"/>
  <c r="AH186" i="4"/>
  <c r="AH435" i="4"/>
  <c r="AH253" i="4"/>
  <c r="AH457" i="4"/>
  <c r="AH396" i="4"/>
  <c r="AH394" i="4"/>
  <c r="AH216" i="4"/>
  <c r="AH276" i="4"/>
  <c r="AH492" i="4"/>
  <c r="AH391" i="4"/>
  <c r="AH386" i="4"/>
  <c r="AH153" i="4"/>
  <c r="AH114" i="4"/>
  <c r="AH156" i="4"/>
  <c r="AH86" i="4"/>
  <c r="AH319" i="4"/>
  <c r="AH23" i="4"/>
  <c r="AH55" i="4"/>
  <c r="AH73" i="4"/>
  <c r="AH148" i="4"/>
  <c r="AH8" i="4"/>
  <c r="AH302" i="4"/>
  <c r="AH122" i="4"/>
  <c r="AH473" i="4"/>
  <c r="AH115" i="4"/>
  <c r="AH225" i="4"/>
  <c r="AH333" i="4"/>
  <c r="AH84" i="4"/>
  <c r="AH376" i="4"/>
  <c r="AH426" i="4"/>
  <c r="AH211" i="4"/>
  <c r="AH260" i="4"/>
  <c r="AH389" i="4"/>
  <c r="AH88" i="4"/>
  <c r="AH434" i="4"/>
  <c r="AH235" i="4"/>
  <c r="AH7" i="4"/>
  <c r="AH384" i="4"/>
  <c r="AH103" i="4"/>
  <c r="AH51" i="4"/>
  <c r="AH58" i="4"/>
  <c r="AH106" i="4"/>
  <c r="AH404" i="4"/>
  <c r="AH261" i="4"/>
  <c r="AH461" i="4"/>
  <c r="AH188" i="4"/>
  <c r="AH374" i="4"/>
  <c r="AH61" i="4"/>
  <c r="AH431" i="4"/>
  <c r="AH92" i="4"/>
  <c r="AH346" i="4"/>
  <c r="AH380" i="4"/>
  <c r="AH252" i="4"/>
  <c r="AH264" i="4"/>
  <c r="AH34" i="4"/>
  <c r="AH15" i="4"/>
  <c r="AH271" i="4"/>
  <c r="AH297" i="4"/>
  <c r="AH194" i="4"/>
  <c r="AH411" i="4"/>
  <c r="AH152" i="4"/>
  <c r="AH415" i="4"/>
  <c r="AH5" i="4"/>
  <c r="AH219" i="4"/>
  <c r="AH254" i="4"/>
  <c r="AH78" i="4"/>
  <c r="AH348" i="4"/>
  <c r="AH459" i="4"/>
  <c r="AH82" i="4"/>
  <c r="AH228" i="4"/>
  <c r="AH229" i="4"/>
  <c r="AH474" i="4"/>
  <c r="AH164" i="4"/>
  <c r="AH150" i="4"/>
  <c r="AH47" i="4"/>
  <c r="AH479" i="4"/>
  <c r="AH147" i="4"/>
  <c r="AH240" i="4"/>
  <c r="AH198" i="4"/>
  <c r="AH452" i="4"/>
  <c r="AH377" i="4"/>
  <c r="AH368" i="4"/>
  <c r="AH197" i="4"/>
  <c r="AH105" i="4"/>
  <c r="AH493" i="4"/>
  <c r="AH349" i="4"/>
  <c r="AH31" i="4"/>
  <c r="AH294" i="4"/>
  <c r="AH11" i="4"/>
  <c r="AH293" i="4"/>
  <c r="AH468" i="4"/>
  <c r="AH59" i="4"/>
  <c r="AH357" i="4"/>
  <c r="AH480" i="4"/>
  <c r="AH472" i="4"/>
  <c r="AH38" i="4"/>
  <c r="AH487" i="4"/>
  <c r="AH172" i="4"/>
  <c r="AH64" i="4"/>
  <c r="AH83" i="4"/>
  <c r="AH120" i="4"/>
  <c r="AH443" i="4"/>
  <c r="AH367" i="4"/>
  <c r="AH475" i="4"/>
  <c r="AH337" i="4"/>
  <c r="AH353" i="4"/>
  <c r="AH4" i="4"/>
  <c r="AH221" i="4"/>
  <c r="AH173" i="4"/>
  <c r="AH488" i="4"/>
  <c r="AH119" i="4"/>
  <c r="AH313" i="4"/>
  <c r="AH102" i="4"/>
  <c r="AH439" i="4"/>
  <c r="AH16" i="4"/>
  <c r="AH504" i="4"/>
  <c r="AH379" i="4"/>
  <c r="AH385" i="4"/>
  <c r="AH330" i="4"/>
  <c r="AH285" i="4"/>
  <c r="AH230" i="4"/>
  <c r="AH448" i="4"/>
  <c r="AH250" i="4"/>
  <c r="AH495" i="4"/>
  <c r="AH446" i="4"/>
  <c r="AH413" i="4"/>
  <c r="AH462" i="4"/>
  <c r="AH370" i="4"/>
  <c r="AH187" i="4"/>
  <c r="AH118" i="4"/>
  <c r="AH416" i="4"/>
  <c r="AH308" i="4"/>
  <c r="AH116" i="4"/>
  <c r="AH131" i="4"/>
  <c r="AH167" i="4"/>
  <c r="AH174" i="4"/>
  <c r="AH53" i="4"/>
  <c r="AH268" i="4"/>
  <c r="AH342" i="4"/>
  <c r="AH412" i="4"/>
  <c r="AH54" i="4"/>
  <c r="AH288" i="4"/>
  <c r="AH246" i="4"/>
  <c r="AH162" i="4"/>
  <c r="AH364" i="4"/>
  <c r="AH456" i="4"/>
  <c r="AH70" i="4"/>
  <c r="AH478" i="4"/>
  <c r="AH334" i="4"/>
  <c r="AH204" i="4"/>
  <c r="AH343" i="4"/>
  <c r="AH139" i="4"/>
  <c r="AH209" i="4"/>
  <c r="AH109" i="4"/>
  <c r="AH383" i="4"/>
  <c r="AH39" i="4"/>
  <c r="AH101" i="4"/>
  <c r="AH262" i="4"/>
  <c r="AH13" i="4"/>
  <c r="AH138" i="4"/>
  <c r="AH397" i="4"/>
  <c r="AH366" i="4"/>
  <c r="AH453" i="4"/>
  <c r="AH275" i="4"/>
  <c r="AH134" i="4"/>
  <c r="AH458" i="4"/>
  <c r="AH33" i="4"/>
  <c r="AH490" i="4"/>
  <c r="AH344" i="4"/>
  <c r="AH282" i="4"/>
  <c r="AH270" i="4"/>
  <c r="AH182" i="4"/>
  <c r="AH399" i="4"/>
  <c r="AH269" i="4"/>
  <c r="AH455" i="4"/>
  <c r="AH245" i="4"/>
  <c r="AH237" i="4"/>
  <c r="AH121" i="4"/>
  <c r="AH24" i="4"/>
  <c r="AH429" i="4"/>
  <c r="AH345" i="4"/>
  <c r="AH315" i="4"/>
  <c r="AH467" i="4"/>
  <c r="AH299" i="4"/>
  <c r="AH328" i="4"/>
  <c r="AH407" i="4"/>
  <c r="AH336" i="4"/>
  <c r="AH281" i="4"/>
  <c r="AH155" i="4"/>
  <c r="AH205" i="4"/>
  <c r="AH22" i="4"/>
  <c r="AH483" i="4"/>
  <c r="AH393" i="4"/>
  <c r="AH65" i="4"/>
  <c r="AH212" i="4"/>
  <c r="AH304" i="4"/>
  <c r="AH307" i="4"/>
  <c r="AH481" i="4"/>
  <c r="AH326" i="4"/>
  <c r="AH94" i="4"/>
  <c r="AH335" i="4"/>
  <c r="AH408" i="4"/>
  <c r="AH321" i="4"/>
  <c r="AH292" i="4"/>
  <c r="AH494" i="4"/>
  <c r="AH265" i="4"/>
  <c r="AH303" i="4"/>
  <c r="AH223" i="4"/>
  <c r="AH49" i="4"/>
  <c r="AH317" i="4"/>
  <c r="AH301" i="4"/>
  <c r="AH286" i="4"/>
  <c r="AH403" i="4"/>
  <c r="AH498" i="4"/>
  <c r="AH36" i="4"/>
  <c r="AH168" i="4"/>
  <c r="AH401" i="4"/>
  <c r="AH85" i="4"/>
  <c r="AH327" i="4"/>
  <c r="AH208" i="4"/>
  <c r="AH450" i="4"/>
  <c r="AH463" i="4"/>
  <c r="AH316" i="4"/>
  <c r="AH298" i="4"/>
  <c r="AH311" i="4"/>
  <c r="AH489" i="4"/>
  <c r="AH176" i="4"/>
  <c r="AH127" i="4"/>
  <c r="AH465" i="4"/>
  <c r="AH249" i="4"/>
  <c r="AH318" i="4"/>
  <c r="AH266" i="4"/>
  <c r="AH445" i="4"/>
  <c r="AH424" i="4"/>
  <c r="AH421" i="4"/>
  <c r="AH484" i="4"/>
  <c r="AH202" i="4"/>
  <c r="AH110" i="4"/>
  <c r="AH325" i="4"/>
  <c r="AH427" i="4"/>
  <c r="AH50" i="4"/>
  <c r="AH26" i="4"/>
  <c r="AH63" i="4"/>
  <c r="AH287" i="4"/>
  <c r="AH210" i="4"/>
  <c r="AH476" i="4"/>
  <c r="AD317" i="4" l="1"/>
  <c r="AF317" i="4" s="1"/>
  <c r="P317" i="4" s="1"/>
  <c r="AE317" i="4"/>
  <c r="AG317" i="4" s="1"/>
  <c r="O317" i="4" s="1"/>
  <c r="AD407" i="4"/>
  <c r="AF407" i="4" s="1"/>
  <c r="P407" i="4" s="1"/>
  <c r="AE407" i="4"/>
  <c r="AG407" i="4" s="1"/>
  <c r="O407" i="4" s="1"/>
  <c r="AE210" i="4"/>
  <c r="AG210" i="4" s="1"/>
  <c r="O210" i="4" s="1"/>
  <c r="AD210" i="4"/>
  <c r="AF210" i="4" s="1"/>
  <c r="P210" i="4" s="1"/>
  <c r="AE445" i="4"/>
  <c r="AG445" i="4" s="1"/>
  <c r="O445" i="4" s="1"/>
  <c r="AD445" i="4"/>
  <c r="AF445" i="4" s="1"/>
  <c r="P445" i="4" s="1"/>
  <c r="AD450" i="4"/>
  <c r="AF450" i="4" s="1"/>
  <c r="P450" i="4" s="1"/>
  <c r="AE450" i="4"/>
  <c r="AG450" i="4" s="1"/>
  <c r="O450" i="4" s="1"/>
  <c r="AE49" i="4"/>
  <c r="AG49" i="4" s="1"/>
  <c r="O49" i="4" s="1"/>
  <c r="AD49" i="4"/>
  <c r="AF49" i="4" s="1"/>
  <c r="P49" i="4" s="1"/>
  <c r="AE307" i="4"/>
  <c r="AG307" i="4" s="1"/>
  <c r="O307" i="4" s="1"/>
  <c r="AD307" i="4"/>
  <c r="AF307" i="4" s="1"/>
  <c r="P307" i="4" s="1"/>
  <c r="AE328" i="4"/>
  <c r="AG328" i="4" s="1"/>
  <c r="O328" i="4" s="1"/>
  <c r="AD328" i="4"/>
  <c r="AF328" i="4" s="1"/>
  <c r="P328" i="4" s="1"/>
  <c r="AD399" i="4"/>
  <c r="AF399" i="4" s="1"/>
  <c r="P399" i="4" s="1"/>
  <c r="AE399" i="4"/>
  <c r="AG399" i="4" s="1"/>
  <c r="O399" i="4" s="1"/>
  <c r="AD397" i="4"/>
  <c r="AF397" i="4" s="1"/>
  <c r="P397" i="4" s="1"/>
  <c r="AE397" i="4"/>
  <c r="AG397" i="4" s="1"/>
  <c r="O397" i="4" s="1"/>
  <c r="AE334" i="4"/>
  <c r="AG334" i="4" s="1"/>
  <c r="O334" i="4" s="1"/>
  <c r="AD334" i="4"/>
  <c r="AF334" i="4" s="1"/>
  <c r="P334" i="4" s="1"/>
  <c r="AE53" i="4"/>
  <c r="AG53" i="4" s="1"/>
  <c r="O53" i="4" s="1"/>
  <c r="AD53" i="4"/>
  <c r="AF53" i="4" s="1"/>
  <c r="P53" i="4" s="1"/>
  <c r="AD446" i="4"/>
  <c r="AF446" i="4" s="1"/>
  <c r="P446" i="4" s="1"/>
  <c r="AE446" i="4"/>
  <c r="AG446" i="4" s="1"/>
  <c r="O446" i="4" s="1"/>
  <c r="AE102" i="4"/>
  <c r="AG102" i="4" s="1"/>
  <c r="O102" i="4" s="1"/>
  <c r="AD102" i="4"/>
  <c r="AF102" i="4" s="1"/>
  <c r="P102" i="4" s="1"/>
  <c r="AE120" i="4"/>
  <c r="AG120" i="4" s="1"/>
  <c r="O120" i="4" s="1"/>
  <c r="AD120" i="4"/>
  <c r="AF120" i="4" s="1"/>
  <c r="P120" i="4" s="1"/>
  <c r="AD11" i="4"/>
  <c r="AF11" i="4" s="1"/>
  <c r="P11" i="4" s="1"/>
  <c r="AE11" i="4"/>
  <c r="AG11" i="4" s="1"/>
  <c r="O11" i="4" s="1"/>
  <c r="AE147" i="4"/>
  <c r="AG147" i="4" s="1"/>
  <c r="O147" i="4" s="1"/>
  <c r="AD147" i="4"/>
  <c r="AF147" i="4" s="1"/>
  <c r="P147" i="4" s="1"/>
  <c r="AE254" i="4"/>
  <c r="AG254" i="4" s="1"/>
  <c r="O254" i="4" s="1"/>
  <c r="AD254" i="4"/>
  <c r="AF254" i="4" s="1"/>
  <c r="P254" i="4" s="1"/>
  <c r="AE252" i="4"/>
  <c r="AG252" i="4" s="1"/>
  <c r="O252" i="4" s="1"/>
  <c r="AD252" i="4"/>
  <c r="AF252" i="4" s="1"/>
  <c r="P252" i="4" s="1"/>
  <c r="AE58" i="4"/>
  <c r="AG58" i="4" s="1"/>
  <c r="O58" i="4" s="1"/>
  <c r="AD58" i="4"/>
  <c r="AF58" i="4" s="1"/>
  <c r="P58" i="4" s="1"/>
  <c r="AE376" i="4"/>
  <c r="AG376" i="4" s="1"/>
  <c r="O376" i="4" s="1"/>
  <c r="AD376" i="4"/>
  <c r="AF376" i="4" s="1"/>
  <c r="P376" i="4" s="1"/>
  <c r="AE23" i="4"/>
  <c r="AG23" i="4" s="1"/>
  <c r="O23" i="4" s="1"/>
  <c r="AD23" i="4"/>
  <c r="AF23" i="4" s="1"/>
  <c r="P23" i="4" s="1"/>
  <c r="AD396" i="4"/>
  <c r="AF396" i="4" s="1"/>
  <c r="P396" i="4" s="1"/>
  <c r="AE396" i="4"/>
  <c r="AG396" i="4" s="1"/>
  <c r="O396" i="4" s="1"/>
  <c r="AE169" i="4"/>
  <c r="AG169" i="4" s="1"/>
  <c r="O169" i="4" s="1"/>
  <c r="AD169" i="4"/>
  <c r="AF169" i="4" s="1"/>
  <c r="P169" i="4" s="1"/>
  <c r="AE251" i="4"/>
  <c r="AG251" i="4" s="1"/>
  <c r="O251" i="4" s="1"/>
  <c r="AD251" i="4"/>
  <c r="AF251" i="4" s="1"/>
  <c r="P251" i="4" s="1"/>
  <c r="AE159" i="4"/>
  <c r="AG159" i="4" s="1"/>
  <c r="O159" i="4" s="1"/>
  <c r="AD159" i="4"/>
  <c r="AF159" i="4" s="1"/>
  <c r="P159" i="4" s="1"/>
  <c r="AD142" i="4"/>
  <c r="AF142" i="4" s="1"/>
  <c r="P142" i="4" s="1"/>
  <c r="AE142" i="4"/>
  <c r="AG142" i="4" s="1"/>
  <c r="O142" i="4" s="1"/>
  <c r="AE369" i="4"/>
  <c r="AG369" i="4" s="1"/>
  <c r="O369" i="4" s="1"/>
  <c r="AD369" i="4"/>
  <c r="AF369" i="4" s="1"/>
  <c r="P369" i="4" s="1"/>
  <c r="AD215" i="4"/>
  <c r="AF215" i="4" s="1"/>
  <c r="P215" i="4" s="1"/>
  <c r="AE215" i="4"/>
  <c r="AG215" i="4" s="1"/>
  <c r="O215" i="4" s="1"/>
  <c r="AD436" i="4"/>
  <c r="AF436" i="4" s="1"/>
  <c r="P436" i="4" s="1"/>
  <c r="AE436" i="4"/>
  <c r="AG436" i="4" s="1"/>
  <c r="O436" i="4" s="1"/>
  <c r="AE48" i="4"/>
  <c r="AG48" i="4" s="1"/>
  <c r="O48" i="4" s="1"/>
  <c r="AD48" i="4"/>
  <c r="AF48" i="4" s="1"/>
  <c r="P48" i="4" s="1"/>
  <c r="AE314" i="4"/>
  <c r="AG314" i="4" s="1"/>
  <c r="O314" i="4" s="1"/>
  <c r="AD314" i="4"/>
  <c r="AF314" i="4" s="1"/>
  <c r="P314" i="4" s="1"/>
  <c r="AE158" i="4"/>
  <c r="AG158" i="4" s="1"/>
  <c r="O158" i="4" s="1"/>
  <c r="AD158" i="4"/>
  <c r="AF158" i="4" s="1"/>
  <c r="P158" i="4" s="1"/>
  <c r="AD340" i="4"/>
  <c r="AF340" i="4" s="1"/>
  <c r="P340" i="4" s="1"/>
  <c r="AE340" i="4"/>
  <c r="AG340" i="4" s="1"/>
  <c r="O340" i="4" s="1"/>
  <c r="AD280" i="4"/>
  <c r="AF280" i="4" s="1"/>
  <c r="P280" i="4" s="1"/>
  <c r="AE280" i="4"/>
  <c r="AG280" i="4" s="1"/>
  <c r="O280" i="4" s="1"/>
  <c r="AD232" i="4"/>
  <c r="AF232" i="4" s="1"/>
  <c r="P232" i="4" s="1"/>
  <c r="AE232" i="4"/>
  <c r="AG232" i="4" s="1"/>
  <c r="O232" i="4" s="1"/>
  <c r="AE69" i="4"/>
  <c r="AG69" i="4" s="1"/>
  <c r="O69" i="4" s="1"/>
  <c r="AD69" i="4"/>
  <c r="AF69" i="4" s="1"/>
  <c r="P69" i="4" s="1"/>
  <c r="AE263" i="4"/>
  <c r="AG263" i="4" s="1"/>
  <c r="O263" i="4" s="1"/>
  <c r="AD263" i="4"/>
  <c r="AF263" i="4" s="1"/>
  <c r="P263" i="4" s="1"/>
  <c r="AD140" i="4"/>
  <c r="AF140" i="4" s="1"/>
  <c r="P140" i="4" s="1"/>
  <c r="AE140" i="4"/>
  <c r="AG140" i="4" s="1"/>
  <c r="O140" i="4" s="1"/>
  <c r="AD470" i="4"/>
  <c r="AF470" i="4" s="1"/>
  <c r="P470" i="4" s="1"/>
  <c r="AE470" i="4"/>
  <c r="AG470" i="4" s="1"/>
  <c r="O470" i="4" s="1"/>
  <c r="AD67" i="4"/>
  <c r="AF67" i="4" s="1"/>
  <c r="P67" i="4" s="1"/>
  <c r="AE67" i="4"/>
  <c r="AG67" i="4" s="1"/>
  <c r="O67" i="4" s="1"/>
  <c r="AE501" i="4"/>
  <c r="AG501" i="4" s="1"/>
  <c r="O501" i="4" s="1"/>
  <c r="AD501" i="4"/>
  <c r="AF501" i="4" s="1"/>
  <c r="P501" i="4" s="1"/>
  <c r="AD145" i="4"/>
  <c r="AF145" i="4" s="1"/>
  <c r="P145" i="4" s="1"/>
  <c r="AE145" i="4"/>
  <c r="AG145" i="4" s="1"/>
  <c r="O145" i="4" s="1"/>
  <c r="AE66" i="4"/>
  <c r="AG66" i="4" s="1"/>
  <c r="O66" i="4" s="1"/>
  <c r="AD66" i="4"/>
  <c r="AF66" i="4" s="1"/>
  <c r="P66" i="4" s="1"/>
  <c r="AD287" i="4"/>
  <c r="AF287" i="4" s="1"/>
  <c r="P287" i="4" s="1"/>
  <c r="AE287" i="4"/>
  <c r="AG287" i="4" s="1"/>
  <c r="O287" i="4" s="1"/>
  <c r="AD208" i="4"/>
  <c r="AF208" i="4" s="1"/>
  <c r="P208" i="4" s="1"/>
  <c r="AE208" i="4"/>
  <c r="AG208" i="4" s="1"/>
  <c r="O208" i="4" s="1"/>
  <c r="AD223" i="4"/>
  <c r="AF223" i="4" s="1"/>
  <c r="P223" i="4" s="1"/>
  <c r="AE223" i="4"/>
  <c r="AG223" i="4" s="1"/>
  <c r="O223" i="4" s="1"/>
  <c r="AD304" i="4"/>
  <c r="AF304" i="4" s="1"/>
  <c r="P304" i="4" s="1"/>
  <c r="AE304" i="4"/>
  <c r="AG304" i="4" s="1"/>
  <c r="O304" i="4" s="1"/>
  <c r="AE299" i="4"/>
  <c r="AG299" i="4" s="1"/>
  <c r="O299" i="4" s="1"/>
  <c r="AD299" i="4"/>
  <c r="AF299" i="4" s="1"/>
  <c r="P299" i="4" s="1"/>
  <c r="AE182" i="4"/>
  <c r="AG182" i="4" s="1"/>
  <c r="O182" i="4" s="1"/>
  <c r="AD182" i="4"/>
  <c r="AF182" i="4" s="1"/>
  <c r="P182" i="4" s="1"/>
  <c r="AD138" i="4"/>
  <c r="AF138" i="4" s="1"/>
  <c r="P138" i="4" s="1"/>
  <c r="AE138" i="4"/>
  <c r="AG138" i="4" s="1"/>
  <c r="O138" i="4" s="1"/>
  <c r="AD478" i="4"/>
  <c r="AF478" i="4" s="1"/>
  <c r="P478" i="4" s="1"/>
  <c r="AE478" i="4"/>
  <c r="AG478" i="4" s="1"/>
  <c r="O478" i="4" s="1"/>
  <c r="AE174" i="4"/>
  <c r="AG174" i="4" s="1"/>
  <c r="O174" i="4" s="1"/>
  <c r="AD174" i="4"/>
  <c r="AF174" i="4" s="1"/>
  <c r="P174" i="4" s="1"/>
  <c r="AE495" i="4"/>
  <c r="AG495" i="4" s="1"/>
  <c r="O495" i="4" s="1"/>
  <c r="AD495" i="4"/>
  <c r="AF495" i="4" s="1"/>
  <c r="P495" i="4" s="1"/>
  <c r="AD313" i="4"/>
  <c r="AF313" i="4" s="1"/>
  <c r="P313" i="4" s="1"/>
  <c r="AE313" i="4"/>
  <c r="AG313" i="4" s="1"/>
  <c r="O313" i="4" s="1"/>
  <c r="AE83" i="4"/>
  <c r="AG83" i="4" s="1"/>
  <c r="O83" i="4" s="1"/>
  <c r="AD83" i="4"/>
  <c r="AF83" i="4" s="1"/>
  <c r="P83" i="4" s="1"/>
  <c r="AD294" i="4"/>
  <c r="AF294" i="4" s="1"/>
  <c r="P294" i="4" s="1"/>
  <c r="AE294" i="4"/>
  <c r="AG294" i="4" s="1"/>
  <c r="O294" i="4" s="1"/>
  <c r="AE479" i="4"/>
  <c r="AG479" i="4" s="1"/>
  <c r="O479" i="4" s="1"/>
  <c r="AD479" i="4"/>
  <c r="AF479" i="4" s="1"/>
  <c r="P479" i="4" s="1"/>
  <c r="AE219" i="4"/>
  <c r="AG219" i="4" s="1"/>
  <c r="O219" i="4" s="1"/>
  <c r="AD219" i="4"/>
  <c r="AF219" i="4" s="1"/>
  <c r="P219" i="4" s="1"/>
  <c r="AE380" i="4"/>
  <c r="AG380" i="4" s="1"/>
  <c r="O380" i="4" s="1"/>
  <c r="AD380" i="4"/>
  <c r="AF380" i="4" s="1"/>
  <c r="P380" i="4" s="1"/>
  <c r="AE51" i="4"/>
  <c r="AG51" i="4" s="1"/>
  <c r="O51" i="4" s="1"/>
  <c r="AD51" i="4"/>
  <c r="AF51" i="4" s="1"/>
  <c r="P51" i="4" s="1"/>
  <c r="AD84" i="4"/>
  <c r="AF84" i="4" s="1"/>
  <c r="P84" i="4" s="1"/>
  <c r="AE84" i="4"/>
  <c r="AG84" i="4" s="1"/>
  <c r="O84" i="4" s="1"/>
  <c r="AE319" i="4"/>
  <c r="AG319" i="4" s="1"/>
  <c r="O319" i="4" s="1"/>
  <c r="AD319" i="4"/>
  <c r="AF319" i="4" s="1"/>
  <c r="P319" i="4" s="1"/>
  <c r="AD457" i="4"/>
  <c r="AF457" i="4" s="1"/>
  <c r="P457" i="4" s="1"/>
  <c r="AE457" i="4"/>
  <c r="AG457" i="4" s="1"/>
  <c r="O457" i="4" s="1"/>
  <c r="AE6" i="4"/>
  <c r="AG6" i="4" s="1"/>
  <c r="O6" i="4" s="1"/>
  <c r="AD6" i="4"/>
  <c r="AF6" i="4" s="1"/>
  <c r="P6" i="4" s="1"/>
  <c r="AE241" i="4"/>
  <c r="AG241" i="4" s="1"/>
  <c r="O241" i="4" s="1"/>
  <c r="AD241" i="4"/>
  <c r="AF241" i="4" s="1"/>
  <c r="P241" i="4" s="1"/>
  <c r="AD180" i="4"/>
  <c r="AF180" i="4" s="1"/>
  <c r="P180" i="4" s="1"/>
  <c r="AE180" i="4"/>
  <c r="AG180" i="4" s="1"/>
  <c r="O180" i="4" s="1"/>
  <c r="AE390" i="4"/>
  <c r="AG390" i="4" s="1"/>
  <c r="O390" i="4" s="1"/>
  <c r="AD390" i="4"/>
  <c r="AF390" i="4" s="1"/>
  <c r="P390" i="4" s="1"/>
  <c r="AE278" i="4"/>
  <c r="AG278" i="4" s="1"/>
  <c r="O278" i="4" s="1"/>
  <c r="AD278" i="4"/>
  <c r="AF278" i="4" s="1"/>
  <c r="P278" i="4" s="1"/>
  <c r="AD274" i="4"/>
  <c r="AF274" i="4" s="1"/>
  <c r="P274" i="4" s="1"/>
  <c r="AE274" i="4"/>
  <c r="AG274" i="4" s="1"/>
  <c r="O274" i="4" s="1"/>
  <c r="AE112" i="4"/>
  <c r="AG112" i="4" s="1"/>
  <c r="O112" i="4" s="1"/>
  <c r="AD112" i="4"/>
  <c r="AF112" i="4" s="1"/>
  <c r="P112" i="4" s="1"/>
  <c r="AE97" i="4"/>
  <c r="AG97" i="4" s="1"/>
  <c r="O97" i="4" s="1"/>
  <c r="AD97" i="4"/>
  <c r="AF97" i="4" s="1"/>
  <c r="P97" i="4" s="1"/>
  <c r="AD255" i="4"/>
  <c r="AF255" i="4" s="1"/>
  <c r="P255" i="4" s="1"/>
  <c r="AE255" i="4"/>
  <c r="AG255" i="4" s="1"/>
  <c r="O255" i="4" s="1"/>
  <c r="AE312" i="4"/>
  <c r="AG312" i="4" s="1"/>
  <c r="O312" i="4" s="1"/>
  <c r="AD312" i="4"/>
  <c r="AF312" i="4" s="1"/>
  <c r="P312" i="4" s="1"/>
  <c r="AD347" i="4"/>
  <c r="AF347" i="4" s="1"/>
  <c r="P347" i="4" s="1"/>
  <c r="AE347" i="4"/>
  <c r="AG347" i="4" s="1"/>
  <c r="O347" i="4" s="1"/>
  <c r="AE100" i="4"/>
  <c r="AG100" i="4" s="1"/>
  <c r="O100" i="4" s="1"/>
  <c r="AD100" i="4"/>
  <c r="AF100" i="4" s="1"/>
  <c r="P100" i="4" s="1"/>
  <c r="AD133" i="4"/>
  <c r="AF133" i="4" s="1"/>
  <c r="P133" i="4" s="1"/>
  <c r="AE133" i="4"/>
  <c r="AG133" i="4" s="1"/>
  <c r="O133" i="4" s="1"/>
  <c r="AE80" i="4"/>
  <c r="AG80" i="4" s="1"/>
  <c r="O80" i="4" s="1"/>
  <c r="AD80" i="4"/>
  <c r="AF80" i="4" s="1"/>
  <c r="P80" i="4" s="1"/>
  <c r="AD417" i="4"/>
  <c r="AF417" i="4" s="1"/>
  <c r="P417" i="4" s="1"/>
  <c r="AE417" i="4"/>
  <c r="AG417" i="4" s="1"/>
  <c r="O417" i="4" s="1"/>
  <c r="AE200" i="4"/>
  <c r="AG200" i="4" s="1"/>
  <c r="O200" i="4" s="1"/>
  <c r="AD200" i="4"/>
  <c r="AF200" i="4" s="1"/>
  <c r="P200" i="4" s="1"/>
  <c r="AD496" i="4"/>
  <c r="AF496" i="4" s="1"/>
  <c r="P496" i="4" s="1"/>
  <c r="AE496" i="4"/>
  <c r="AG496" i="4" s="1"/>
  <c r="O496" i="4" s="1"/>
  <c r="AD12" i="4"/>
  <c r="AF12" i="4" s="1"/>
  <c r="P12" i="4" s="1"/>
  <c r="AE12" i="4"/>
  <c r="AG12" i="4" s="1"/>
  <c r="O12" i="4" s="1"/>
  <c r="AE373" i="4"/>
  <c r="AG373" i="4" s="1"/>
  <c r="O373" i="4" s="1"/>
  <c r="AD373" i="4"/>
  <c r="AF373" i="4" s="1"/>
  <c r="P373" i="4" s="1"/>
  <c r="AD35" i="4"/>
  <c r="AF35" i="4" s="1"/>
  <c r="P35" i="4" s="1"/>
  <c r="AE35" i="4"/>
  <c r="AG35" i="4" s="1"/>
  <c r="O35" i="4" s="1"/>
  <c r="AE184" i="4"/>
  <c r="AG184" i="4" s="1"/>
  <c r="O184" i="4" s="1"/>
  <c r="AD184" i="4"/>
  <c r="AF184" i="4" s="1"/>
  <c r="P184" i="4" s="1"/>
  <c r="AE424" i="4"/>
  <c r="AG424" i="4" s="1"/>
  <c r="O424" i="4" s="1"/>
  <c r="AD424" i="4"/>
  <c r="AF424" i="4" s="1"/>
  <c r="P424" i="4" s="1"/>
  <c r="AD266" i="4"/>
  <c r="AF266" i="4" s="1"/>
  <c r="P266" i="4" s="1"/>
  <c r="AE266" i="4"/>
  <c r="AG266" i="4" s="1"/>
  <c r="O266" i="4" s="1"/>
  <c r="AD63" i="4"/>
  <c r="AF63" i="4" s="1"/>
  <c r="P63" i="4" s="1"/>
  <c r="AE63" i="4"/>
  <c r="AG63" i="4" s="1"/>
  <c r="O63" i="4" s="1"/>
  <c r="AE318" i="4"/>
  <c r="AG318" i="4" s="1"/>
  <c r="O318" i="4" s="1"/>
  <c r="AD318" i="4"/>
  <c r="AF318" i="4" s="1"/>
  <c r="P318" i="4" s="1"/>
  <c r="AE327" i="4"/>
  <c r="AG327" i="4" s="1"/>
  <c r="O327" i="4" s="1"/>
  <c r="AD327" i="4"/>
  <c r="AF327" i="4" s="1"/>
  <c r="P327" i="4" s="1"/>
  <c r="AD303" i="4"/>
  <c r="AF303" i="4" s="1"/>
  <c r="P303" i="4" s="1"/>
  <c r="AE303" i="4"/>
  <c r="AG303" i="4" s="1"/>
  <c r="O303" i="4" s="1"/>
  <c r="AD212" i="4"/>
  <c r="AF212" i="4" s="1"/>
  <c r="P212" i="4" s="1"/>
  <c r="AE212" i="4"/>
  <c r="AG212" i="4" s="1"/>
  <c r="O212" i="4" s="1"/>
  <c r="AD467" i="4"/>
  <c r="AF467" i="4" s="1"/>
  <c r="P467" i="4" s="1"/>
  <c r="AE467" i="4"/>
  <c r="AG467" i="4" s="1"/>
  <c r="O467" i="4" s="1"/>
  <c r="AE270" i="4"/>
  <c r="AG270" i="4" s="1"/>
  <c r="O270" i="4" s="1"/>
  <c r="AD270" i="4"/>
  <c r="AF270" i="4" s="1"/>
  <c r="P270" i="4" s="1"/>
  <c r="AE13" i="4"/>
  <c r="AG13" i="4" s="1"/>
  <c r="O13" i="4" s="1"/>
  <c r="AD13" i="4"/>
  <c r="AF13" i="4" s="1"/>
  <c r="P13" i="4" s="1"/>
  <c r="AD70" i="4"/>
  <c r="AF70" i="4" s="1"/>
  <c r="P70" i="4" s="1"/>
  <c r="AE70" i="4"/>
  <c r="AG70" i="4" s="1"/>
  <c r="O70" i="4" s="1"/>
  <c r="AE167" i="4"/>
  <c r="AG167" i="4" s="1"/>
  <c r="O167" i="4" s="1"/>
  <c r="AD167" i="4"/>
  <c r="AF167" i="4" s="1"/>
  <c r="P167" i="4" s="1"/>
  <c r="AD250" i="4"/>
  <c r="AF250" i="4" s="1"/>
  <c r="P250" i="4" s="1"/>
  <c r="AE250" i="4"/>
  <c r="AG250" i="4" s="1"/>
  <c r="O250" i="4" s="1"/>
  <c r="AD119" i="4"/>
  <c r="AF119" i="4" s="1"/>
  <c r="P119" i="4" s="1"/>
  <c r="AE119" i="4"/>
  <c r="AG119" i="4" s="1"/>
  <c r="O119" i="4" s="1"/>
  <c r="AE64" i="4"/>
  <c r="AG64" i="4" s="1"/>
  <c r="O64" i="4" s="1"/>
  <c r="AD64" i="4"/>
  <c r="AF64" i="4" s="1"/>
  <c r="P64" i="4" s="1"/>
  <c r="AD31" i="4"/>
  <c r="AF31" i="4" s="1"/>
  <c r="P31" i="4" s="1"/>
  <c r="AE31" i="4"/>
  <c r="AG31" i="4" s="1"/>
  <c r="O31" i="4" s="1"/>
  <c r="AE47" i="4"/>
  <c r="AG47" i="4" s="1"/>
  <c r="O47" i="4" s="1"/>
  <c r="AD47" i="4"/>
  <c r="AF47" i="4" s="1"/>
  <c r="P47" i="4" s="1"/>
  <c r="AE5" i="4"/>
  <c r="AG5" i="4" s="1"/>
  <c r="O5" i="4" s="1"/>
  <c r="AD5" i="4"/>
  <c r="AF5" i="4" s="1"/>
  <c r="P5" i="4" s="1"/>
  <c r="AD346" i="4"/>
  <c r="AF346" i="4" s="1"/>
  <c r="P346" i="4" s="1"/>
  <c r="AE346" i="4"/>
  <c r="AG346" i="4" s="1"/>
  <c r="O346" i="4" s="1"/>
  <c r="AD103" i="4"/>
  <c r="AF103" i="4" s="1"/>
  <c r="P103" i="4" s="1"/>
  <c r="AE103" i="4"/>
  <c r="AG103" i="4" s="1"/>
  <c r="O103" i="4" s="1"/>
  <c r="AD333" i="4"/>
  <c r="AF333" i="4" s="1"/>
  <c r="P333" i="4" s="1"/>
  <c r="AE333" i="4"/>
  <c r="AG333" i="4" s="1"/>
  <c r="O333" i="4" s="1"/>
  <c r="AE86" i="4"/>
  <c r="AG86" i="4" s="1"/>
  <c r="O86" i="4" s="1"/>
  <c r="AD86" i="4"/>
  <c r="AF86" i="4" s="1"/>
  <c r="P86" i="4" s="1"/>
  <c r="AE253" i="4"/>
  <c r="AG253" i="4" s="1"/>
  <c r="O253" i="4" s="1"/>
  <c r="AD253" i="4"/>
  <c r="AF253" i="4" s="1"/>
  <c r="P253" i="4" s="1"/>
  <c r="AE460" i="4"/>
  <c r="AG460" i="4" s="1"/>
  <c r="O460" i="4" s="1"/>
  <c r="AD460" i="4"/>
  <c r="AF460" i="4" s="1"/>
  <c r="P460" i="4" s="1"/>
  <c r="AD402" i="4"/>
  <c r="AF402" i="4" s="1"/>
  <c r="P402" i="4" s="1"/>
  <c r="AE402" i="4"/>
  <c r="AG402" i="4" s="1"/>
  <c r="O402" i="4" s="1"/>
  <c r="AE267" i="4"/>
  <c r="AG267" i="4" s="1"/>
  <c r="O267" i="4" s="1"/>
  <c r="AD267" i="4"/>
  <c r="AF267" i="4" s="1"/>
  <c r="P267" i="4" s="1"/>
  <c r="AE236" i="4"/>
  <c r="AG236" i="4" s="1"/>
  <c r="O236" i="4" s="1"/>
  <c r="AD236" i="4"/>
  <c r="AF236" i="4" s="1"/>
  <c r="P236" i="4" s="1"/>
  <c r="AD46" i="4"/>
  <c r="AF46" i="4" s="1"/>
  <c r="P46" i="4" s="1"/>
  <c r="AE46" i="4"/>
  <c r="AG46" i="4" s="1"/>
  <c r="O46" i="4" s="1"/>
  <c r="AE464" i="4"/>
  <c r="AG464" i="4" s="1"/>
  <c r="O464" i="4" s="1"/>
  <c r="AD464" i="4"/>
  <c r="AF464" i="4" s="1"/>
  <c r="P464" i="4" s="1"/>
  <c r="AD289" i="4"/>
  <c r="AF289" i="4" s="1"/>
  <c r="P289" i="4" s="1"/>
  <c r="AE289" i="4"/>
  <c r="AG289" i="4" s="1"/>
  <c r="O289" i="4" s="1"/>
  <c r="AD409" i="4"/>
  <c r="AF409" i="4" s="1"/>
  <c r="P409" i="4" s="1"/>
  <c r="AE409" i="4"/>
  <c r="AG409" i="4" s="1"/>
  <c r="O409" i="4" s="1"/>
  <c r="AD300" i="4"/>
  <c r="AF300" i="4" s="1"/>
  <c r="P300" i="4" s="1"/>
  <c r="AE300" i="4"/>
  <c r="AG300" i="4" s="1"/>
  <c r="O300" i="4" s="1"/>
  <c r="AE104" i="4"/>
  <c r="AG104" i="4" s="1"/>
  <c r="O104" i="4" s="1"/>
  <c r="AD104" i="4"/>
  <c r="AF104" i="4" s="1"/>
  <c r="P104" i="4" s="1"/>
  <c r="AE418" i="4"/>
  <c r="AG418" i="4" s="1"/>
  <c r="O418" i="4" s="1"/>
  <c r="AD418" i="4"/>
  <c r="AF418" i="4" s="1"/>
  <c r="P418" i="4" s="1"/>
  <c r="AD74" i="4"/>
  <c r="AF74" i="4" s="1"/>
  <c r="P74" i="4" s="1"/>
  <c r="AE74" i="4"/>
  <c r="AG74" i="4" s="1"/>
  <c r="O74" i="4" s="1"/>
  <c r="AD227" i="4"/>
  <c r="AF227" i="4" s="1"/>
  <c r="P227" i="4" s="1"/>
  <c r="AE227" i="4"/>
  <c r="AG227" i="4" s="1"/>
  <c r="O227" i="4" s="1"/>
  <c r="AD130" i="4"/>
  <c r="AF130" i="4" s="1"/>
  <c r="P130" i="4" s="1"/>
  <c r="AE130" i="4"/>
  <c r="AG130" i="4" s="1"/>
  <c r="O130" i="4" s="1"/>
  <c r="AD375" i="4"/>
  <c r="AF375" i="4" s="1"/>
  <c r="P375" i="4" s="1"/>
  <c r="AE375" i="4"/>
  <c r="AG375" i="4" s="1"/>
  <c r="O375" i="4" s="1"/>
  <c r="AD32" i="4"/>
  <c r="AF32" i="4" s="1"/>
  <c r="P32" i="4" s="1"/>
  <c r="AE32" i="4"/>
  <c r="AG32" i="4" s="1"/>
  <c r="O32" i="4" s="1"/>
  <c r="AE206" i="4"/>
  <c r="AG206" i="4" s="1"/>
  <c r="O206" i="4" s="1"/>
  <c r="AD206" i="4"/>
  <c r="AF206" i="4" s="1"/>
  <c r="P206" i="4" s="1"/>
  <c r="AE371" i="4"/>
  <c r="AG371" i="4" s="1"/>
  <c r="O371" i="4" s="1"/>
  <c r="AD371" i="4"/>
  <c r="AF371" i="4" s="1"/>
  <c r="P371" i="4" s="1"/>
  <c r="AD350" i="4"/>
  <c r="AF350" i="4" s="1"/>
  <c r="P350" i="4" s="1"/>
  <c r="AE350" i="4"/>
  <c r="AG350" i="4" s="1"/>
  <c r="O350" i="4" s="1"/>
  <c r="AD466" i="4"/>
  <c r="AF466" i="4" s="1"/>
  <c r="P466" i="4" s="1"/>
  <c r="AE466" i="4"/>
  <c r="AG466" i="4" s="1"/>
  <c r="O466" i="4" s="1"/>
  <c r="AD449" i="4"/>
  <c r="AF449" i="4" s="1"/>
  <c r="P449" i="4" s="1"/>
  <c r="AE449" i="4"/>
  <c r="AG449" i="4" s="1"/>
  <c r="O449" i="4" s="1"/>
  <c r="AD26" i="4"/>
  <c r="AF26" i="4" s="1"/>
  <c r="P26" i="4" s="1"/>
  <c r="AE26" i="4"/>
  <c r="AG26" i="4" s="1"/>
  <c r="O26" i="4" s="1"/>
  <c r="AD249" i="4"/>
  <c r="AF249" i="4" s="1"/>
  <c r="P249" i="4" s="1"/>
  <c r="AE249" i="4"/>
  <c r="AG249" i="4" s="1"/>
  <c r="O249" i="4" s="1"/>
  <c r="AD85" i="4"/>
  <c r="AF85" i="4" s="1"/>
  <c r="P85" i="4" s="1"/>
  <c r="AE85" i="4"/>
  <c r="AG85" i="4" s="1"/>
  <c r="O85" i="4" s="1"/>
  <c r="AE265" i="4"/>
  <c r="AG265" i="4" s="1"/>
  <c r="O265" i="4" s="1"/>
  <c r="AD265" i="4"/>
  <c r="AF265" i="4" s="1"/>
  <c r="P265" i="4" s="1"/>
  <c r="AE65" i="4"/>
  <c r="AG65" i="4" s="1"/>
  <c r="O65" i="4" s="1"/>
  <c r="AD65" i="4"/>
  <c r="AF65" i="4" s="1"/>
  <c r="P65" i="4" s="1"/>
  <c r="AD315" i="4"/>
  <c r="AF315" i="4" s="1"/>
  <c r="P315" i="4" s="1"/>
  <c r="AE315" i="4"/>
  <c r="AG315" i="4" s="1"/>
  <c r="O315" i="4" s="1"/>
  <c r="AD282" i="4"/>
  <c r="AF282" i="4" s="1"/>
  <c r="P282" i="4" s="1"/>
  <c r="AE282" i="4"/>
  <c r="AG282" i="4" s="1"/>
  <c r="O282" i="4" s="1"/>
  <c r="AE262" i="4"/>
  <c r="AG262" i="4" s="1"/>
  <c r="O262" i="4" s="1"/>
  <c r="AD262" i="4"/>
  <c r="AF262" i="4" s="1"/>
  <c r="P262" i="4" s="1"/>
  <c r="AD456" i="4"/>
  <c r="AF456" i="4" s="1"/>
  <c r="P456" i="4" s="1"/>
  <c r="AE456" i="4"/>
  <c r="AG456" i="4" s="1"/>
  <c r="O456" i="4" s="1"/>
  <c r="AD131" i="4"/>
  <c r="AF131" i="4" s="1"/>
  <c r="P131" i="4" s="1"/>
  <c r="AE131" i="4"/>
  <c r="AG131" i="4" s="1"/>
  <c r="O131" i="4" s="1"/>
  <c r="AD448" i="4"/>
  <c r="AF448" i="4" s="1"/>
  <c r="P448" i="4" s="1"/>
  <c r="AE448" i="4"/>
  <c r="AG448" i="4" s="1"/>
  <c r="O448" i="4" s="1"/>
  <c r="AD488" i="4"/>
  <c r="AF488" i="4" s="1"/>
  <c r="P488" i="4" s="1"/>
  <c r="AE488" i="4"/>
  <c r="AG488" i="4" s="1"/>
  <c r="O488" i="4" s="1"/>
  <c r="AD172" i="4"/>
  <c r="AF172" i="4" s="1"/>
  <c r="P172" i="4" s="1"/>
  <c r="AE172" i="4"/>
  <c r="AG172" i="4" s="1"/>
  <c r="O172" i="4" s="1"/>
  <c r="AE349" i="4"/>
  <c r="AG349" i="4" s="1"/>
  <c r="O349" i="4" s="1"/>
  <c r="AD349" i="4"/>
  <c r="AF349" i="4" s="1"/>
  <c r="P349" i="4" s="1"/>
  <c r="AE150" i="4"/>
  <c r="AG150" i="4" s="1"/>
  <c r="O150" i="4" s="1"/>
  <c r="AD150" i="4"/>
  <c r="AF150" i="4" s="1"/>
  <c r="P150" i="4" s="1"/>
  <c r="AD415" i="4"/>
  <c r="AF415" i="4" s="1"/>
  <c r="P415" i="4" s="1"/>
  <c r="AE415" i="4"/>
  <c r="AG415" i="4" s="1"/>
  <c r="O415" i="4" s="1"/>
  <c r="AE92" i="4"/>
  <c r="AG92" i="4" s="1"/>
  <c r="O92" i="4" s="1"/>
  <c r="AD92" i="4"/>
  <c r="AF92" i="4" s="1"/>
  <c r="P92" i="4" s="1"/>
  <c r="AD384" i="4"/>
  <c r="AF384" i="4" s="1"/>
  <c r="P384" i="4" s="1"/>
  <c r="AE384" i="4"/>
  <c r="AG384" i="4" s="1"/>
  <c r="O384" i="4" s="1"/>
  <c r="AD225" i="4"/>
  <c r="AF225" i="4" s="1"/>
  <c r="P225" i="4" s="1"/>
  <c r="AE225" i="4"/>
  <c r="AG225" i="4" s="1"/>
  <c r="O225" i="4" s="1"/>
  <c r="AD156" i="4"/>
  <c r="AF156" i="4" s="1"/>
  <c r="P156" i="4" s="1"/>
  <c r="AE156" i="4"/>
  <c r="AG156" i="4" s="1"/>
  <c r="O156" i="4" s="1"/>
  <c r="AE435" i="4"/>
  <c r="AG435" i="4" s="1"/>
  <c r="O435" i="4" s="1"/>
  <c r="AD435" i="4"/>
  <c r="AF435" i="4" s="1"/>
  <c r="P435" i="4" s="1"/>
  <c r="AE331" i="4"/>
  <c r="AG331" i="4" s="1"/>
  <c r="O331" i="4" s="1"/>
  <c r="AD331" i="4"/>
  <c r="AF331" i="4" s="1"/>
  <c r="P331" i="4" s="1"/>
  <c r="AD93" i="4"/>
  <c r="AF93" i="4" s="1"/>
  <c r="P93" i="4" s="1"/>
  <c r="AE93" i="4"/>
  <c r="AG93" i="4" s="1"/>
  <c r="O93" i="4" s="1"/>
  <c r="AE309" i="4"/>
  <c r="AG309" i="4" s="1"/>
  <c r="O309" i="4" s="1"/>
  <c r="AD309" i="4"/>
  <c r="AF309" i="4" s="1"/>
  <c r="P309" i="4" s="1"/>
  <c r="AE79" i="4"/>
  <c r="AG79" i="4" s="1"/>
  <c r="O79" i="4" s="1"/>
  <c r="AD79" i="4"/>
  <c r="AF79" i="4" s="1"/>
  <c r="P79" i="4" s="1"/>
  <c r="AE161" i="4"/>
  <c r="AG161" i="4" s="1"/>
  <c r="O161" i="4" s="1"/>
  <c r="AD161" i="4"/>
  <c r="AF161" i="4" s="1"/>
  <c r="P161" i="4" s="1"/>
  <c r="AD447" i="4"/>
  <c r="AF447" i="4" s="1"/>
  <c r="P447" i="4" s="1"/>
  <c r="AE447" i="4"/>
  <c r="AG447" i="4" s="1"/>
  <c r="O447" i="4" s="1"/>
  <c r="AD71" i="4"/>
  <c r="AF71" i="4" s="1"/>
  <c r="P71" i="4" s="1"/>
  <c r="AE71" i="4"/>
  <c r="AG71" i="4" s="1"/>
  <c r="O71" i="4" s="1"/>
  <c r="AE497" i="4"/>
  <c r="AG497" i="4" s="1"/>
  <c r="O497" i="4" s="1"/>
  <c r="AD497" i="4"/>
  <c r="AF497" i="4" s="1"/>
  <c r="P497" i="4" s="1"/>
  <c r="AD113" i="4"/>
  <c r="AF113" i="4" s="1"/>
  <c r="P113" i="4" s="1"/>
  <c r="AE113" i="4"/>
  <c r="AG113" i="4" s="1"/>
  <c r="O113" i="4" s="1"/>
  <c r="AE143" i="4"/>
  <c r="AG143" i="4" s="1"/>
  <c r="O143" i="4" s="1"/>
  <c r="AD143" i="4"/>
  <c r="AF143" i="4" s="1"/>
  <c r="P143" i="4" s="1"/>
  <c r="AD351" i="4"/>
  <c r="AF351" i="4" s="1"/>
  <c r="P351" i="4" s="1"/>
  <c r="AE351" i="4"/>
  <c r="AG351" i="4" s="1"/>
  <c r="O351" i="4" s="1"/>
  <c r="AE124" i="4"/>
  <c r="AG124" i="4" s="1"/>
  <c r="O124" i="4" s="1"/>
  <c r="AD124" i="4"/>
  <c r="AF124" i="4" s="1"/>
  <c r="P124" i="4" s="1"/>
  <c r="AD226" i="4"/>
  <c r="AF226" i="4" s="1"/>
  <c r="P226" i="4" s="1"/>
  <c r="AE226" i="4"/>
  <c r="AG226" i="4" s="1"/>
  <c r="O226" i="4" s="1"/>
  <c r="AD363" i="4"/>
  <c r="AF363" i="4" s="1"/>
  <c r="P363" i="4" s="1"/>
  <c r="AE363" i="4"/>
  <c r="AG363" i="4" s="1"/>
  <c r="O363" i="4" s="1"/>
  <c r="AD422" i="4"/>
  <c r="AF422" i="4" s="1"/>
  <c r="P422" i="4" s="1"/>
  <c r="AE422" i="4"/>
  <c r="AG422" i="4" s="1"/>
  <c r="O422" i="4" s="1"/>
  <c r="AD486" i="4"/>
  <c r="AF486" i="4" s="1"/>
  <c r="P486" i="4" s="1"/>
  <c r="AE486" i="4"/>
  <c r="AG486" i="4" s="1"/>
  <c r="O486" i="4" s="1"/>
  <c r="AD291" i="4"/>
  <c r="AF291" i="4" s="1"/>
  <c r="P291" i="4" s="1"/>
  <c r="AE291" i="4"/>
  <c r="AG291" i="4" s="1"/>
  <c r="O291" i="4" s="1"/>
  <c r="AD354" i="4"/>
  <c r="AF354" i="4" s="1"/>
  <c r="P354" i="4" s="1"/>
  <c r="AE354" i="4"/>
  <c r="AG354" i="4" s="1"/>
  <c r="O354" i="4" s="1"/>
  <c r="AD372" i="4"/>
  <c r="AF372" i="4" s="1"/>
  <c r="P372" i="4" s="1"/>
  <c r="AE372" i="4"/>
  <c r="AG372" i="4" s="1"/>
  <c r="O372" i="4" s="1"/>
  <c r="AE438" i="4"/>
  <c r="AG438" i="4" s="1"/>
  <c r="O438" i="4" s="1"/>
  <c r="AD438" i="4"/>
  <c r="AF438" i="4" s="1"/>
  <c r="P438" i="4" s="1"/>
  <c r="AE359" i="4"/>
  <c r="AG359" i="4" s="1"/>
  <c r="O359" i="4" s="1"/>
  <c r="AD359" i="4"/>
  <c r="AF359" i="4" s="1"/>
  <c r="P359" i="4" s="1"/>
  <c r="AD465" i="4"/>
  <c r="AF465" i="4" s="1"/>
  <c r="P465" i="4" s="1"/>
  <c r="AE465" i="4"/>
  <c r="AG465" i="4" s="1"/>
  <c r="O465" i="4" s="1"/>
  <c r="AD401" i="4"/>
  <c r="AF401" i="4" s="1"/>
  <c r="P401" i="4" s="1"/>
  <c r="AE401" i="4"/>
  <c r="AG401" i="4" s="1"/>
  <c r="O401" i="4" s="1"/>
  <c r="AE494" i="4"/>
  <c r="AG494" i="4" s="1"/>
  <c r="O494" i="4" s="1"/>
  <c r="AD494" i="4"/>
  <c r="AF494" i="4" s="1"/>
  <c r="P494" i="4" s="1"/>
  <c r="AE393" i="4"/>
  <c r="AG393" i="4" s="1"/>
  <c r="O393" i="4" s="1"/>
  <c r="AD393" i="4"/>
  <c r="AF393" i="4" s="1"/>
  <c r="P393" i="4" s="1"/>
  <c r="AE345" i="4"/>
  <c r="AG345" i="4" s="1"/>
  <c r="O345" i="4" s="1"/>
  <c r="AD345" i="4"/>
  <c r="AF345" i="4" s="1"/>
  <c r="P345" i="4" s="1"/>
  <c r="AD344" i="4"/>
  <c r="AF344" i="4" s="1"/>
  <c r="P344" i="4" s="1"/>
  <c r="AE344" i="4"/>
  <c r="AG344" i="4" s="1"/>
  <c r="O344" i="4" s="1"/>
  <c r="AD101" i="4"/>
  <c r="AF101" i="4" s="1"/>
  <c r="P101" i="4" s="1"/>
  <c r="AE101" i="4"/>
  <c r="AG101" i="4" s="1"/>
  <c r="O101" i="4" s="1"/>
  <c r="AE364" i="4"/>
  <c r="AG364" i="4" s="1"/>
  <c r="O364" i="4" s="1"/>
  <c r="AD364" i="4"/>
  <c r="AF364" i="4" s="1"/>
  <c r="P364" i="4" s="1"/>
  <c r="AD116" i="4"/>
  <c r="AF116" i="4" s="1"/>
  <c r="P116" i="4" s="1"/>
  <c r="AE116" i="4"/>
  <c r="AG116" i="4" s="1"/>
  <c r="O116" i="4" s="1"/>
  <c r="AE230" i="4"/>
  <c r="AG230" i="4" s="1"/>
  <c r="O230" i="4" s="1"/>
  <c r="AD230" i="4"/>
  <c r="AF230" i="4" s="1"/>
  <c r="P230" i="4" s="1"/>
  <c r="AD173" i="4"/>
  <c r="AF173" i="4" s="1"/>
  <c r="P173" i="4" s="1"/>
  <c r="AE173" i="4"/>
  <c r="AG173" i="4" s="1"/>
  <c r="O173" i="4" s="1"/>
  <c r="AE487" i="4"/>
  <c r="AG487" i="4" s="1"/>
  <c r="O487" i="4" s="1"/>
  <c r="AD487" i="4"/>
  <c r="AF487" i="4" s="1"/>
  <c r="P487" i="4" s="1"/>
  <c r="AD493" i="4"/>
  <c r="AF493" i="4" s="1"/>
  <c r="P493" i="4" s="1"/>
  <c r="AE493" i="4"/>
  <c r="AG493" i="4" s="1"/>
  <c r="O493" i="4" s="1"/>
  <c r="AE164" i="4"/>
  <c r="AG164" i="4" s="1"/>
  <c r="O164" i="4" s="1"/>
  <c r="AD164" i="4"/>
  <c r="AF164" i="4" s="1"/>
  <c r="P164" i="4" s="1"/>
  <c r="AE152" i="4"/>
  <c r="AG152" i="4" s="1"/>
  <c r="O152" i="4" s="1"/>
  <c r="AD152" i="4"/>
  <c r="AF152" i="4" s="1"/>
  <c r="P152" i="4" s="1"/>
  <c r="AE431" i="4"/>
  <c r="AG431" i="4" s="1"/>
  <c r="O431" i="4" s="1"/>
  <c r="AD431" i="4"/>
  <c r="AF431" i="4" s="1"/>
  <c r="P431" i="4" s="1"/>
  <c r="AD7" i="4"/>
  <c r="AF7" i="4" s="1"/>
  <c r="P7" i="4" s="1"/>
  <c r="AE7" i="4"/>
  <c r="AG7" i="4" s="1"/>
  <c r="O7" i="4" s="1"/>
  <c r="AE115" i="4"/>
  <c r="AG115" i="4" s="1"/>
  <c r="O115" i="4" s="1"/>
  <c r="AD115" i="4"/>
  <c r="AF115" i="4" s="1"/>
  <c r="P115" i="4" s="1"/>
  <c r="AE114" i="4"/>
  <c r="AG114" i="4" s="1"/>
  <c r="O114" i="4" s="1"/>
  <c r="AD114" i="4"/>
  <c r="AF114" i="4" s="1"/>
  <c r="P114" i="4" s="1"/>
  <c r="AD186" i="4"/>
  <c r="AF186" i="4" s="1"/>
  <c r="P186" i="4" s="1"/>
  <c r="AE186" i="4"/>
  <c r="AG186" i="4" s="1"/>
  <c r="O186" i="4" s="1"/>
  <c r="AE146" i="4"/>
  <c r="AG146" i="4" s="1"/>
  <c r="O146" i="4" s="1"/>
  <c r="AD146" i="4"/>
  <c r="AF146" i="4" s="1"/>
  <c r="P146" i="4" s="1"/>
  <c r="AE339" i="4"/>
  <c r="AG339" i="4" s="1"/>
  <c r="O339" i="4" s="1"/>
  <c r="AD339" i="4"/>
  <c r="AF339" i="4" s="1"/>
  <c r="P339" i="4" s="1"/>
  <c r="AE207" i="4"/>
  <c r="AG207" i="4" s="1"/>
  <c r="O207" i="4" s="1"/>
  <c r="AD207" i="4"/>
  <c r="AF207" i="4" s="1"/>
  <c r="P207" i="4" s="1"/>
  <c r="AD185" i="4"/>
  <c r="AF185" i="4" s="1"/>
  <c r="P185" i="4" s="1"/>
  <c r="AE185" i="4"/>
  <c r="AG185" i="4" s="1"/>
  <c r="O185" i="4" s="1"/>
  <c r="AE154" i="4"/>
  <c r="AG154" i="4" s="1"/>
  <c r="O154" i="4" s="1"/>
  <c r="AD154" i="4"/>
  <c r="AF154" i="4" s="1"/>
  <c r="P154" i="4" s="1"/>
  <c r="AD42" i="4"/>
  <c r="AF42" i="4" s="1"/>
  <c r="P42" i="4" s="1"/>
  <c r="AE42" i="4"/>
  <c r="AG42" i="4" s="1"/>
  <c r="O42" i="4" s="1"/>
  <c r="AE233" i="4"/>
  <c r="AG233" i="4" s="1"/>
  <c r="O233" i="4" s="1"/>
  <c r="AD233" i="4"/>
  <c r="AF233" i="4" s="1"/>
  <c r="P233" i="4" s="1"/>
  <c r="AE323" i="4"/>
  <c r="AG323" i="4" s="1"/>
  <c r="O323" i="4" s="1"/>
  <c r="AD323" i="4"/>
  <c r="AF323" i="4" s="1"/>
  <c r="P323" i="4" s="1"/>
  <c r="AE213" i="4"/>
  <c r="AG213" i="4" s="1"/>
  <c r="O213" i="4" s="1"/>
  <c r="AD213" i="4"/>
  <c r="AF213" i="4" s="1"/>
  <c r="P213" i="4" s="1"/>
  <c r="AE258" i="4"/>
  <c r="AG258" i="4" s="1"/>
  <c r="O258" i="4" s="1"/>
  <c r="AD258" i="4"/>
  <c r="AF258" i="4" s="1"/>
  <c r="P258" i="4" s="1"/>
  <c r="AE277" i="4"/>
  <c r="AG277" i="4" s="1"/>
  <c r="O277" i="4" s="1"/>
  <c r="AD277" i="4"/>
  <c r="AF277" i="4" s="1"/>
  <c r="P277" i="4" s="1"/>
  <c r="AD141" i="4"/>
  <c r="AF141" i="4" s="1"/>
  <c r="P141" i="4" s="1"/>
  <c r="AE141" i="4"/>
  <c r="AG141" i="4" s="1"/>
  <c r="O141" i="4" s="1"/>
  <c r="AE151" i="4"/>
  <c r="AG151" i="4" s="1"/>
  <c r="O151" i="4" s="1"/>
  <c r="AD151" i="4"/>
  <c r="AF151" i="4" s="1"/>
  <c r="P151" i="4" s="1"/>
  <c r="AD256" i="4"/>
  <c r="AF256" i="4" s="1"/>
  <c r="P256" i="4" s="1"/>
  <c r="AE256" i="4"/>
  <c r="AG256" i="4" s="1"/>
  <c r="O256" i="4" s="1"/>
  <c r="AD444" i="4"/>
  <c r="AF444" i="4" s="1"/>
  <c r="P444" i="4" s="1"/>
  <c r="AE444" i="4"/>
  <c r="AG444" i="4" s="1"/>
  <c r="O444" i="4" s="1"/>
  <c r="AE365" i="4"/>
  <c r="AG365" i="4" s="1"/>
  <c r="O365" i="4" s="1"/>
  <c r="AD365" i="4"/>
  <c r="AF365" i="4" s="1"/>
  <c r="P365" i="4" s="1"/>
  <c r="AD283" i="4"/>
  <c r="AF283" i="4" s="1"/>
  <c r="P283" i="4" s="1"/>
  <c r="AE283" i="4"/>
  <c r="AG283" i="4" s="1"/>
  <c r="O283" i="4" s="1"/>
  <c r="AD381" i="4"/>
  <c r="AF381" i="4" s="1"/>
  <c r="P381" i="4" s="1"/>
  <c r="AE381" i="4"/>
  <c r="AG381" i="4" s="1"/>
  <c r="O381" i="4" s="1"/>
  <c r="AE306" i="4"/>
  <c r="AG306" i="4" s="1"/>
  <c r="O306" i="4" s="1"/>
  <c r="AD306" i="4"/>
  <c r="AF306" i="4" s="1"/>
  <c r="P306" i="4" s="1"/>
  <c r="AD419" i="4"/>
  <c r="AF419" i="4" s="1"/>
  <c r="P419" i="4" s="1"/>
  <c r="AE419" i="4"/>
  <c r="AG419" i="4" s="1"/>
  <c r="O419" i="4" s="1"/>
  <c r="AE193" i="4"/>
  <c r="AG193" i="4" s="1"/>
  <c r="O193" i="4" s="1"/>
  <c r="AD193" i="4"/>
  <c r="AF193" i="4" s="1"/>
  <c r="P193" i="4" s="1"/>
  <c r="AD476" i="4"/>
  <c r="AF476" i="4" s="1"/>
  <c r="P476" i="4" s="1"/>
  <c r="AE476" i="4"/>
  <c r="AG476" i="4" s="1"/>
  <c r="O476" i="4" s="1"/>
  <c r="AD483" i="4"/>
  <c r="AF483" i="4" s="1"/>
  <c r="P483" i="4" s="1"/>
  <c r="AE483" i="4"/>
  <c r="AG483" i="4" s="1"/>
  <c r="O483" i="4" s="1"/>
  <c r="AD429" i="4"/>
  <c r="AF429" i="4" s="1"/>
  <c r="P429" i="4" s="1"/>
  <c r="AE429" i="4"/>
  <c r="AG429" i="4" s="1"/>
  <c r="O429" i="4" s="1"/>
  <c r="AD490" i="4"/>
  <c r="AF490" i="4" s="1"/>
  <c r="P490" i="4" s="1"/>
  <c r="AE490" i="4"/>
  <c r="AG490" i="4" s="1"/>
  <c r="O490" i="4" s="1"/>
  <c r="AE39" i="4"/>
  <c r="AG39" i="4" s="1"/>
  <c r="O39" i="4" s="1"/>
  <c r="AD39" i="4"/>
  <c r="AF39" i="4" s="1"/>
  <c r="P39" i="4" s="1"/>
  <c r="AD162" i="4"/>
  <c r="AF162" i="4" s="1"/>
  <c r="P162" i="4" s="1"/>
  <c r="AE162" i="4"/>
  <c r="AG162" i="4" s="1"/>
  <c r="O162" i="4" s="1"/>
  <c r="AE308" i="4"/>
  <c r="AG308" i="4" s="1"/>
  <c r="O308" i="4" s="1"/>
  <c r="AD308" i="4"/>
  <c r="AF308" i="4" s="1"/>
  <c r="P308" i="4" s="1"/>
  <c r="AE285" i="4"/>
  <c r="AG285" i="4" s="1"/>
  <c r="O285" i="4" s="1"/>
  <c r="AD285" i="4"/>
  <c r="AF285" i="4" s="1"/>
  <c r="P285" i="4" s="1"/>
  <c r="AD221" i="4"/>
  <c r="AF221" i="4" s="1"/>
  <c r="P221" i="4" s="1"/>
  <c r="AE221" i="4"/>
  <c r="AG221" i="4" s="1"/>
  <c r="O221" i="4" s="1"/>
  <c r="AE38" i="4"/>
  <c r="AG38" i="4" s="1"/>
  <c r="O38" i="4" s="1"/>
  <c r="AD38" i="4"/>
  <c r="AF38" i="4" s="1"/>
  <c r="P38" i="4" s="1"/>
  <c r="AD105" i="4"/>
  <c r="AF105" i="4" s="1"/>
  <c r="P105" i="4" s="1"/>
  <c r="AE105" i="4"/>
  <c r="AG105" i="4" s="1"/>
  <c r="O105" i="4" s="1"/>
  <c r="AE474" i="4"/>
  <c r="AG474" i="4" s="1"/>
  <c r="O474" i="4" s="1"/>
  <c r="AD474" i="4"/>
  <c r="AF474" i="4" s="1"/>
  <c r="P474" i="4" s="1"/>
  <c r="AE411" i="4"/>
  <c r="AG411" i="4" s="1"/>
  <c r="O411" i="4" s="1"/>
  <c r="AD411" i="4"/>
  <c r="AF411" i="4" s="1"/>
  <c r="P411" i="4" s="1"/>
  <c r="AE61" i="4"/>
  <c r="AG61" i="4" s="1"/>
  <c r="O61" i="4" s="1"/>
  <c r="AD61" i="4"/>
  <c r="AF61" i="4" s="1"/>
  <c r="P61" i="4" s="1"/>
  <c r="AE235" i="4"/>
  <c r="AG235" i="4" s="1"/>
  <c r="O235" i="4" s="1"/>
  <c r="AD235" i="4"/>
  <c r="AF235" i="4" s="1"/>
  <c r="P235" i="4" s="1"/>
  <c r="AD473" i="4"/>
  <c r="AF473" i="4" s="1"/>
  <c r="P473" i="4" s="1"/>
  <c r="AE473" i="4"/>
  <c r="AG473" i="4" s="1"/>
  <c r="O473" i="4" s="1"/>
  <c r="AD153" i="4"/>
  <c r="AF153" i="4" s="1"/>
  <c r="P153" i="4" s="1"/>
  <c r="AE153" i="4"/>
  <c r="AG153" i="4" s="1"/>
  <c r="O153" i="4" s="1"/>
  <c r="AE62" i="4"/>
  <c r="AG62" i="4" s="1"/>
  <c r="O62" i="4" s="1"/>
  <c r="AD62" i="4"/>
  <c r="AF62" i="4" s="1"/>
  <c r="P62" i="4" s="1"/>
  <c r="AE320" i="4"/>
  <c r="AG320" i="4" s="1"/>
  <c r="O320" i="4" s="1"/>
  <c r="AD320" i="4"/>
  <c r="AF320" i="4" s="1"/>
  <c r="P320" i="4" s="1"/>
  <c r="AD243" i="4"/>
  <c r="AF243" i="4" s="1"/>
  <c r="P243" i="4" s="1"/>
  <c r="AE243" i="4"/>
  <c r="AG243" i="4" s="1"/>
  <c r="O243" i="4" s="1"/>
  <c r="AE123" i="4"/>
  <c r="AG123" i="4" s="1"/>
  <c r="O123" i="4" s="1"/>
  <c r="AD123" i="4"/>
  <c r="AF123" i="4" s="1"/>
  <c r="P123" i="4" s="1"/>
  <c r="AE196" i="4"/>
  <c r="AG196" i="4" s="1"/>
  <c r="O196" i="4" s="1"/>
  <c r="AD196" i="4"/>
  <c r="AF196" i="4" s="1"/>
  <c r="P196" i="4" s="1"/>
  <c r="AD341" i="4"/>
  <c r="AF341" i="4" s="1"/>
  <c r="P341" i="4" s="1"/>
  <c r="AE341" i="4"/>
  <c r="AG341" i="4" s="1"/>
  <c r="O341" i="4" s="1"/>
  <c r="AE81" i="4"/>
  <c r="AG81" i="4" s="1"/>
  <c r="O81" i="4" s="1"/>
  <c r="AD81" i="4"/>
  <c r="AF81" i="4" s="1"/>
  <c r="P81" i="4" s="1"/>
  <c r="AD500" i="4"/>
  <c r="AF500" i="4" s="1"/>
  <c r="P500" i="4" s="1"/>
  <c r="AE500" i="4"/>
  <c r="AG500" i="4" s="1"/>
  <c r="O500" i="4" s="1"/>
  <c r="AD392" i="4"/>
  <c r="AF392" i="4" s="1"/>
  <c r="P392" i="4" s="1"/>
  <c r="AE392" i="4"/>
  <c r="AG392" i="4" s="1"/>
  <c r="O392" i="4" s="1"/>
  <c r="AE324" i="4"/>
  <c r="AG324" i="4" s="1"/>
  <c r="O324" i="4" s="1"/>
  <c r="AD324" i="4"/>
  <c r="AF324" i="4" s="1"/>
  <c r="P324" i="4" s="1"/>
  <c r="AD248" i="4"/>
  <c r="AF248" i="4" s="1"/>
  <c r="P248" i="4" s="1"/>
  <c r="AE248" i="4"/>
  <c r="AG248" i="4" s="1"/>
  <c r="O248" i="4" s="1"/>
  <c r="AD129" i="4"/>
  <c r="AF129" i="4" s="1"/>
  <c r="P129" i="4" s="1"/>
  <c r="AE129" i="4"/>
  <c r="AG129" i="4" s="1"/>
  <c r="O129" i="4" s="1"/>
  <c r="AE60" i="4"/>
  <c r="AG60" i="4" s="1"/>
  <c r="O60" i="4" s="1"/>
  <c r="AD60" i="4"/>
  <c r="AF60" i="4" s="1"/>
  <c r="P60" i="4" s="1"/>
  <c r="AE178" i="4"/>
  <c r="AG178" i="4" s="1"/>
  <c r="O178" i="4" s="1"/>
  <c r="AD178" i="4"/>
  <c r="AF178" i="4" s="1"/>
  <c r="P178" i="4" s="1"/>
  <c r="AE295" i="4"/>
  <c r="AG295" i="4" s="1"/>
  <c r="O295" i="4" s="1"/>
  <c r="AD295" i="4"/>
  <c r="AF295" i="4" s="1"/>
  <c r="P295" i="4" s="1"/>
  <c r="AE352" i="4"/>
  <c r="AG352" i="4" s="1"/>
  <c r="O352" i="4" s="1"/>
  <c r="AD352" i="4"/>
  <c r="AF352" i="4" s="1"/>
  <c r="P352" i="4" s="1"/>
  <c r="AE18" i="4"/>
  <c r="AG18" i="4" s="1"/>
  <c r="O18" i="4" s="1"/>
  <c r="AD18" i="4"/>
  <c r="AF18" i="4" s="1"/>
  <c r="P18" i="4" s="1"/>
  <c r="AD10" i="4"/>
  <c r="AF10" i="4" s="1"/>
  <c r="P10" i="4" s="1"/>
  <c r="AE10" i="4"/>
  <c r="AG10" i="4" s="1"/>
  <c r="O10" i="4" s="1"/>
  <c r="AD137" i="4"/>
  <c r="AF137" i="4" s="1"/>
  <c r="P137" i="4" s="1"/>
  <c r="AE137" i="4"/>
  <c r="AG137" i="4" s="1"/>
  <c r="O137" i="4" s="1"/>
  <c r="AD437" i="4"/>
  <c r="AF437" i="4" s="1"/>
  <c r="P437" i="4" s="1"/>
  <c r="AE437" i="4"/>
  <c r="AG437" i="4" s="1"/>
  <c r="O437" i="4" s="1"/>
  <c r="AD28" i="4"/>
  <c r="AF28" i="4" s="1"/>
  <c r="P28" i="4" s="1"/>
  <c r="AE28" i="4"/>
  <c r="AG28" i="4" s="1"/>
  <c r="O28" i="4" s="1"/>
  <c r="AE179" i="4"/>
  <c r="AG179" i="4" s="1"/>
  <c r="O179" i="4" s="1"/>
  <c r="AD179" i="4"/>
  <c r="AF179" i="4" s="1"/>
  <c r="P179" i="4" s="1"/>
  <c r="AE50" i="4"/>
  <c r="AG50" i="4" s="1"/>
  <c r="O50" i="4" s="1"/>
  <c r="AD50" i="4"/>
  <c r="AF50" i="4" s="1"/>
  <c r="P50" i="4" s="1"/>
  <c r="AD176" i="4"/>
  <c r="AF176" i="4" s="1"/>
  <c r="P176" i="4" s="1"/>
  <c r="AE176" i="4"/>
  <c r="AG176" i="4" s="1"/>
  <c r="O176" i="4" s="1"/>
  <c r="AD36" i="4"/>
  <c r="AF36" i="4" s="1"/>
  <c r="P36" i="4" s="1"/>
  <c r="AE36" i="4"/>
  <c r="AG36" i="4" s="1"/>
  <c r="O36" i="4" s="1"/>
  <c r="AD321" i="4"/>
  <c r="AF321" i="4" s="1"/>
  <c r="P321" i="4" s="1"/>
  <c r="AE321" i="4"/>
  <c r="AG321" i="4" s="1"/>
  <c r="O321" i="4" s="1"/>
  <c r="AE22" i="4"/>
  <c r="AG22" i="4" s="1"/>
  <c r="O22" i="4" s="1"/>
  <c r="AD22" i="4"/>
  <c r="AF22" i="4" s="1"/>
  <c r="P22" i="4" s="1"/>
  <c r="AD24" i="4"/>
  <c r="AF24" i="4" s="1"/>
  <c r="P24" i="4" s="1"/>
  <c r="AE24" i="4"/>
  <c r="AG24" i="4" s="1"/>
  <c r="O24" i="4" s="1"/>
  <c r="AD33" i="4"/>
  <c r="AF33" i="4" s="1"/>
  <c r="P33" i="4" s="1"/>
  <c r="AE33" i="4"/>
  <c r="AG33" i="4" s="1"/>
  <c r="O33" i="4" s="1"/>
  <c r="AE383" i="4"/>
  <c r="AG383" i="4" s="1"/>
  <c r="O383" i="4" s="1"/>
  <c r="AD383" i="4"/>
  <c r="AF383" i="4" s="1"/>
  <c r="P383" i="4" s="1"/>
  <c r="AD246" i="4"/>
  <c r="AF246" i="4" s="1"/>
  <c r="P246" i="4" s="1"/>
  <c r="AE246" i="4"/>
  <c r="AG246" i="4" s="1"/>
  <c r="O246" i="4" s="1"/>
  <c r="AE416" i="4"/>
  <c r="AG416" i="4" s="1"/>
  <c r="O416" i="4" s="1"/>
  <c r="AD416" i="4"/>
  <c r="AF416" i="4" s="1"/>
  <c r="P416" i="4" s="1"/>
  <c r="AD330" i="4"/>
  <c r="AF330" i="4" s="1"/>
  <c r="P330" i="4" s="1"/>
  <c r="AE330" i="4"/>
  <c r="AG330" i="4" s="1"/>
  <c r="O330" i="4" s="1"/>
  <c r="AE4" i="4"/>
  <c r="AG4" i="4" s="1"/>
  <c r="O4" i="4" s="1"/>
  <c r="AD4" i="4"/>
  <c r="AF4" i="4" s="1"/>
  <c r="P4" i="4" s="1"/>
  <c r="AE472" i="4"/>
  <c r="AG472" i="4" s="1"/>
  <c r="O472" i="4" s="1"/>
  <c r="AD472" i="4"/>
  <c r="AF472" i="4" s="1"/>
  <c r="P472" i="4" s="1"/>
  <c r="AD197" i="4"/>
  <c r="AF197" i="4" s="1"/>
  <c r="P197" i="4" s="1"/>
  <c r="AE197" i="4"/>
  <c r="AG197" i="4" s="1"/>
  <c r="O197" i="4" s="1"/>
  <c r="AD229" i="4"/>
  <c r="AF229" i="4" s="1"/>
  <c r="P229" i="4" s="1"/>
  <c r="AE229" i="4"/>
  <c r="AG229" i="4" s="1"/>
  <c r="O229" i="4" s="1"/>
  <c r="AD194" i="4"/>
  <c r="AF194" i="4" s="1"/>
  <c r="P194" i="4" s="1"/>
  <c r="AE194" i="4"/>
  <c r="AG194" i="4" s="1"/>
  <c r="O194" i="4" s="1"/>
  <c r="AD374" i="4"/>
  <c r="AF374" i="4" s="1"/>
  <c r="P374" i="4" s="1"/>
  <c r="AE374" i="4"/>
  <c r="AG374" i="4" s="1"/>
  <c r="O374" i="4" s="1"/>
  <c r="AD434" i="4"/>
  <c r="AF434" i="4" s="1"/>
  <c r="P434" i="4" s="1"/>
  <c r="AE434" i="4"/>
  <c r="AG434" i="4" s="1"/>
  <c r="O434" i="4" s="1"/>
  <c r="AD122" i="4"/>
  <c r="AF122" i="4" s="1"/>
  <c r="P122" i="4" s="1"/>
  <c r="AE122" i="4"/>
  <c r="AG122" i="4" s="1"/>
  <c r="O122" i="4" s="1"/>
  <c r="AD386" i="4"/>
  <c r="AF386" i="4" s="1"/>
  <c r="P386" i="4" s="1"/>
  <c r="AE386" i="4"/>
  <c r="AG386" i="4" s="1"/>
  <c r="O386" i="4" s="1"/>
  <c r="AE410" i="4"/>
  <c r="AG410" i="4" s="1"/>
  <c r="O410" i="4" s="1"/>
  <c r="AD410" i="4"/>
  <c r="AF410" i="4" s="1"/>
  <c r="P410" i="4" s="1"/>
  <c r="AD414" i="4"/>
  <c r="AF414" i="4" s="1"/>
  <c r="P414" i="4" s="1"/>
  <c r="AE414" i="4"/>
  <c r="AG414" i="4" s="1"/>
  <c r="O414" i="4" s="1"/>
  <c r="AD91" i="4"/>
  <c r="AF91" i="4" s="1"/>
  <c r="P91" i="4" s="1"/>
  <c r="AE91" i="4"/>
  <c r="AG91" i="4" s="1"/>
  <c r="O91" i="4" s="1"/>
  <c r="AE117" i="4"/>
  <c r="AG117" i="4" s="1"/>
  <c r="O117" i="4" s="1"/>
  <c r="AD117" i="4"/>
  <c r="AF117" i="4" s="1"/>
  <c r="P117" i="4" s="1"/>
  <c r="AD107" i="4"/>
  <c r="AF107" i="4" s="1"/>
  <c r="P107" i="4" s="1"/>
  <c r="AE107" i="4"/>
  <c r="AG107" i="4" s="1"/>
  <c r="O107" i="4" s="1"/>
  <c r="AD183" i="4"/>
  <c r="AF183" i="4" s="1"/>
  <c r="P183" i="4" s="1"/>
  <c r="AE183" i="4"/>
  <c r="AG183" i="4" s="1"/>
  <c r="O183" i="4" s="1"/>
  <c r="AD441" i="4"/>
  <c r="AF441" i="4" s="1"/>
  <c r="P441" i="4" s="1"/>
  <c r="AE441" i="4"/>
  <c r="AG441" i="4" s="1"/>
  <c r="O441" i="4" s="1"/>
  <c r="AE273" i="4"/>
  <c r="AG273" i="4" s="1"/>
  <c r="O273" i="4" s="1"/>
  <c r="AD273" i="4"/>
  <c r="AF273" i="4" s="1"/>
  <c r="P273" i="4" s="1"/>
  <c r="AE485" i="4"/>
  <c r="AG485" i="4" s="1"/>
  <c r="O485" i="4" s="1"/>
  <c r="AD485" i="4"/>
  <c r="AF485" i="4" s="1"/>
  <c r="P485" i="4" s="1"/>
  <c r="AD52" i="4"/>
  <c r="AF52" i="4" s="1"/>
  <c r="P52" i="4" s="1"/>
  <c r="AE52" i="4"/>
  <c r="AG52" i="4" s="1"/>
  <c r="O52" i="4" s="1"/>
  <c r="AE17" i="4"/>
  <c r="AG17" i="4" s="1"/>
  <c r="O17" i="4" s="1"/>
  <c r="AD17" i="4"/>
  <c r="AF17" i="4" s="1"/>
  <c r="P17" i="4" s="1"/>
  <c r="AE224" i="4"/>
  <c r="AG224" i="4" s="1"/>
  <c r="O224" i="4" s="1"/>
  <c r="AD224" i="4"/>
  <c r="AF224" i="4" s="1"/>
  <c r="P224" i="4" s="1"/>
  <c r="AD502" i="4"/>
  <c r="AF502" i="4" s="1"/>
  <c r="P502" i="4" s="1"/>
  <c r="AE502" i="4"/>
  <c r="AG502" i="4" s="1"/>
  <c r="O502" i="4" s="1"/>
  <c r="AE400" i="4"/>
  <c r="AG400" i="4" s="1"/>
  <c r="O400" i="4" s="1"/>
  <c r="AD400" i="4"/>
  <c r="AF400" i="4" s="1"/>
  <c r="P400" i="4" s="1"/>
  <c r="AE451" i="4"/>
  <c r="AG451" i="4" s="1"/>
  <c r="O451" i="4" s="1"/>
  <c r="AD451" i="4"/>
  <c r="AF451" i="4" s="1"/>
  <c r="P451" i="4" s="1"/>
  <c r="AE76" i="4"/>
  <c r="AG76" i="4" s="1"/>
  <c r="O76" i="4" s="1"/>
  <c r="AD76" i="4"/>
  <c r="AF76" i="4" s="1"/>
  <c r="P76" i="4" s="1"/>
  <c r="AE378" i="4"/>
  <c r="AG378" i="4" s="1"/>
  <c r="O378" i="4" s="1"/>
  <c r="AD378" i="4"/>
  <c r="AF378" i="4" s="1"/>
  <c r="P378" i="4" s="1"/>
  <c r="AD27" i="4"/>
  <c r="AF27" i="4" s="1"/>
  <c r="P27" i="4" s="1"/>
  <c r="AE27" i="4"/>
  <c r="AG27" i="4" s="1"/>
  <c r="O27" i="4" s="1"/>
  <c r="AD395" i="4"/>
  <c r="AF395" i="4" s="1"/>
  <c r="P395" i="4" s="1"/>
  <c r="AE395" i="4"/>
  <c r="AG395" i="4" s="1"/>
  <c r="O395" i="4" s="1"/>
  <c r="AD41" i="4"/>
  <c r="AF41" i="4" s="1"/>
  <c r="P41" i="4" s="1"/>
  <c r="AE41" i="4"/>
  <c r="AG41" i="4" s="1"/>
  <c r="O41" i="4" s="1"/>
  <c r="AD20" i="4"/>
  <c r="AF20" i="4" s="1"/>
  <c r="P20" i="4" s="1"/>
  <c r="AE20" i="4"/>
  <c r="AG20" i="4" s="1"/>
  <c r="O20" i="4" s="1"/>
  <c r="AD77" i="4"/>
  <c r="AF77" i="4" s="1"/>
  <c r="P77" i="4" s="1"/>
  <c r="AE77" i="4"/>
  <c r="AG77" i="4" s="1"/>
  <c r="O77" i="4" s="1"/>
  <c r="AE127" i="4"/>
  <c r="AG127" i="4" s="1"/>
  <c r="O127" i="4" s="1"/>
  <c r="AD127" i="4"/>
  <c r="AF127" i="4" s="1"/>
  <c r="P127" i="4" s="1"/>
  <c r="AD110" i="4"/>
  <c r="AF110" i="4" s="1"/>
  <c r="P110" i="4" s="1"/>
  <c r="AE110" i="4"/>
  <c r="AG110" i="4" s="1"/>
  <c r="O110" i="4" s="1"/>
  <c r="AE498" i="4"/>
  <c r="AG498" i="4" s="1"/>
  <c r="O498" i="4" s="1"/>
  <c r="AD498" i="4"/>
  <c r="AF498" i="4" s="1"/>
  <c r="P498" i="4" s="1"/>
  <c r="AD205" i="4"/>
  <c r="AF205" i="4" s="1"/>
  <c r="P205" i="4" s="1"/>
  <c r="AE205" i="4"/>
  <c r="AG205" i="4" s="1"/>
  <c r="O205" i="4" s="1"/>
  <c r="AD121" i="4"/>
  <c r="AF121" i="4" s="1"/>
  <c r="P121" i="4" s="1"/>
  <c r="AE121" i="4"/>
  <c r="AG121" i="4" s="1"/>
  <c r="O121" i="4" s="1"/>
  <c r="AD458" i="4"/>
  <c r="AF458" i="4" s="1"/>
  <c r="P458" i="4" s="1"/>
  <c r="AE458" i="4"/>
  <c r="AG458" i="4" s="1"/>
  <c r="O458" i="4" s="1"/>
  <c r="AE109" i="4"/>
  <c r="AG109" i="4" s="1"/>
  <c r="O109" i="4" s="1"/>
  <c r="AD109" i="4"/>
  <c r="AF109" i="4" s="1"/>
  <c r="P109" i="4" s="1"/>
  <c r="AD288" i="4"/>
  <c r="AF288" i="4" s="1"/>
  <c r="P288" i="4" s="1"/>
  <c r="AE288" i="4"/>
  <c r="AG288" i="4" s="1"/>
  <c r="O288" i="4" s="1"/>
  <c r="AE118" i="4"/>
  <c r="AG118" i="4" s="1"/>
  <c r="O118" i="4" s="1"/>
  <c r="AD118" i="4"/>
  <c r="AF118" i="4" s="1"/>
  <c r="P118" i="4" s="1"/>
  <c r="AE385" i="4"/>
  <c r="AG385" i="4" s="1"/>
  <c r="O385" i="4" s="1"/>
  <c r="AD385" i="4"/>
  <c r="AF385" i="4" s="1"/>
  <c r="P385" i="4" s="1"/>
  <c r="AD353" i="4"/>
  <c r="AF353" i="4" s="1"/>
  <c r="P353" i="4" s="1"/>
  <c r="AE353" i="4"/>
  <c r="AG353" i="4" s="1"/>
  <c r="O353" i="4" s="1"/>
  <c r="AD480" i="4"/>
  <c r="AF480" i="4" s="1"/>
  <c r="P480" i="4" s="1"/>
  <c r="AE480" i="4"/>
  <c r="AG480" i="4" s="1"/>
  <c r="O480" i="4" s="1"/>
  <c r="AE368" i="4"/>
  <c r="AG368" i="4" s="1"/>
  <c r="O368" i="4" s="1"/>
  <c r="AD368" i="4"/>
  <c r="AF368" i="4" s="1"/>
  <c r="P368" i="4" s="1"/>
  <c r="AE228" i="4"/>
  <c r="AG228" i="4" s="1"/>
  <c r="O228" i="4" s="1"/>
  <c r="AD228" i="4"/>
  <c r="AF228" i="4" s="1"/>
  <c r="P228" i="4" s="1"/>
  <c r="AE297" i="4"/>
  <c r="AG297" i="4" s="1"/>
  <c r="O297" i="4" s="1"/>
  <c r="AD297" i="4"/>
  <c r="AF297" i="4" s="1"/>
  <c r="P297" i="4" s="1"/>
  <c r="AD188" i="4"/>
  <c r="AF188" i="4" s="1"/>
  <c r="P188" i="4" s="1"/>
  <c r="AE188" i="4"/>
  <c r="AG188" i="4" s="1"/>
  <c r="O188" i="4" s="1"/>
  <c r="AE88" i="4"/>
  <c r="AG88" i="4" s="1"/>
  <c r="O88" i="4" s="1"/>
  <c r="AD88" i="4"/>
  <c r="AF88" i="4" s="1"/>
  <c r="P88" i="4" s="1"/>
  <c r="AD302" i="4"/>
  <c r="AF302" i="4" s="1"/>
  <c r="P302" i="4" s="1"/>
  <c r="AE302" i="4"/>
  <c r="AG302" i="4" s="1"/>
  <c r="O302" i="4" s="1"/>
  <c r="AD391" i="4"/>
  <c r="AF391" i="4" s="1"/>
  <c r="P391" i="4" s="1"/>
  <c r="AE391" i="4"/>
  <c r="AG391" i="4" s="1"/>
  <c r="O391" i="4" s="1"/>
  <c r="AD189" i="4"/>
  <c r="AF189" i="4" s="1"/>
  <c r="P189" i="4" s="1"/>
  <c r="AE189" i="4"/>
  <c r="AG189" i="4" s="1"/>
  <c r="O189" i="4" s="1"/>
  <c r="AD201" i="4"/>
  <c r="AF201" i="4" s="1"/>
  <c r="P201" i="4" s="1"/>
  <c r="AE201" i="4"/>
  <c r="AG201" i="4" s="1"/>
  <c r="O201" i="4" s="1"/>
  <c r="AD89" i="4"/>
  <c r="AF89" i="4" s="1"/>
  <c r="P89" i="4" s="1"/>
  <c r="AE89" i="4"/>
  <c r="AG89" i="4" s="1"/>
  <c r="O89" i="4" s="1"/>
  <c r="AD491" i="4"/>
  <c r="AF491" i="4" s="1"/>
  <c r="P491" i="4" s="1"/>
  <c r="AE491" i="4"/>
  <c r="AG491" i="4" s="1"/>
  <c r="O491" i="4" s="1"/>
  <c r="AE56" i="4"/>
  <c r="AG56" i="4" s="1"/>
  <c r="O56" i="4" s="1"/>
  <c r="AD56" i="4"/>
  <c r="AF56" i="4" s="1"/>
  <c r="P56" i="4" s="1"/>
  <c r="AD128" i="4"/>
  <c r="AF128" i="4" s="1"/>
  <c r="P128" i="4" s="1"/>
  <c r="AE128" i="4"/>
  <c r="AG128" i="4" s="1"/>
  <c r="O128" i="4" s="1"/>
  <c r="AD469" i="4"/>
  <c r="AF469" i="4" s="1"/>
  <c r="P469" i="4" s="1"/>
  <c r="AE469" i="4"/>
  <c r="AG469" i="4" s="1"/>
  <c r="O469" i="4" s="1"/>
  <c r="AE503" i="4"/>
  <c r="AG503" i="4" s="1"/>
  <c r="O503" i="4" s="1"/>
  <c r="AD503" i="4"/>
  <c r="AF503" i="4" s="1"/>
  <c r="P503" i="4" s="1"/>
  <c r="AE358" i="4"/>
  <c r="AG358" i="4" s="1"/>
  <c r="O358" i="4" s="1"/>
  <c r="AD358" i="4"/>
  <c r="AF358" i="4" s="1"/>
  <c r="P358" i="4" s="1"/>
  <c r="AE199" i="4"/>
  <c r="AG199" i="4" s="1"/>
  <c r="O199" i="4" s="1"/>
  <c r="AD199" i="4"/>
  <c r="AF199" i="4" s="1"/>
  <c r="P199" i="4" s="1"/>
  <c r="AE361" i="4"/>
  <c r="AG361" i="4" s="1"/>
  <c r="O361" i="4" s="1"/>
  <c r="AD361" i="4"/>
  <c r="AF361" i="4" s="1"/>
  <c r="P361" i="4" s="1"/>
  <c r="AE272" i="4"/>
  <c r="AG272" i="4" s="1"/>
  <c r="O272" i="4" s="1"/>
  <c r="AD272" i="4"/>
  <c r="AF272" i="4" s="1"/>
  <c r="P272" i="4" s="1"/>
  <c r="AD25" i="4"/>
  <c r="AF25" i="4" s="1"/>
  <c r="P25" i="4" s="1"/>
  <c r="AE25" i="4"/>
  <c r="AG25" i="4" s="1"/>
  <c r="O25" i="4" s="1"/>
  <c r="AD126" i="4"/>
  <c r="AF126" i="4" s="1"/>
  <c r="P126" i="4" s="1"/>
  <c r="AE126" i="4"/>
  <c r="AG126" i="4" s="1"/>
  <c r="O126" i="4" s="1"/>
  <c r="AD406" i="4"/>
  <c r="AF406" i="4" s="1"/>
  <c r="P406" i="4" s="1"/>
  <c r="AE406" i="4"/>
  <c r="AG406" i="4" s="1"/>
  <c r="O406" i="4" s="1"/>
  <c r="AD99" i="4"/>
  <c r="AF99" i="4" s="1"/>
  <c r="P99" i="4" s="1"/>
  <c r="AE99" i="4"/>
  <c r="AG99" i="4" s="1"/>
  <c r="O99" i="4" s="1"/>
  <c r="AD195" i="4"/>
  <c r="AF195" i="4" s="1"/>
  <c r="P195" i="4" s="1"/>
  <c r="AE195" i="4"/>
  <c r="AG195" i="4" s="1"/>
  <c r="O195" i="4" s="1"/>
  <c r="AE90" i="4"/>
  <c r="AG90" i="4" s="1"/>
  <c r="O90" i="4" s="1"/>
  <c r="AD90" i="4"/>
  <c r="AF90" i="4" s="1"/>
  <c r="P90" i="4" s="1"/>
  <c r="AE40" i="4"/>
  <c r="AG40" i="4" s="1"/>
  <c r="O40" i="4" s="1"/>
  <c r="AD40" i="4"/>
  <c r="AF40" i="4" s="1"/>
  <c r="P40" i="4" s="1"/>
  <c r="AD322" i="4"/>
  <c r="AF322" i="4" s="1"/>
  <c r="P322" i="4" s="1"/>
  <c r="AE322" i="4"/>
  <c r="AG322" i="4" s="1"/>
  <c r="O322" i="4" s="1"/>
  <c r="AD9" i="4"/>
  <c r="AF9" i="4" s="1"/>
  <c r="P9" i="4" s="1"/>
  <c r="AE9" i="4"/>
  <c r="AG9" i="4" s="1"/>
  <c r="O9" i="4" s="1"/>
  <c r="AD217" i="4"/>
  <c r="AF217" i="4" s="1"/>
  <c r="P217" i="4" s="1"/>
  <c r="AE217" i="4"/>
  <c r="AG217" i="4" s="1"/>
  <c r="O217" i="4" s="1"/>
  <c r="AE168" i="4"/>
  <c r="AG168" i="4" s="1"/>
  <c r="O168" i="4" s="1"/>
  <c r="AD168" i="4"/>
  <c r="AF168" i="4" s="1"/>
  <c r="P168" i="4" s="1"/>
  <c r="AE489" i="4"/>
  <c r="AG489" i="4" s="1"/>
  <c r="O489" i="4" s="1"/>
  <c r="AD489" i="4"/>
  <c r="AF489" i="4" s="1"/>
  <c r="P489" i="4" s="1"/>
  <c r="AD408" i="4"/>
  <c r="AF408" i="4" s="1"/>
  <c r="P408" i="4" s="1"/>
  <c r="AE408" i="4"/>
  <c r="AG408" i="4" s="1"/>
  <c r="O408" i="4" s="1"/>
  <c r="AD202" i="4"/>
  <c r="AF202" i="4" s="1"/>
  <c r="P202" i="4" s="1"/>
  <c r="AE202" i="4"/>
  <c r="AG202" i="4" s="1"/>
  <c r="O202" i="4" s="1"/>
  <c r="AE311" i="4"/>
  <c r="AG311" i="4" s="1"/>
  <c r="O311" i="4" s="1"/>
  <c r="AD311" i="4"/>
  <c r="AF311" i="4" s="1"/>
  <c r="P311" i="4" s="1"/>
  <c r="AE403" i="4"/>
  <c r="AG403" i="4" s="1"/>
  <c r="O403" i="4" s="1"/>
  <c r="AD403" i="4"/>
  <c r="AF403" i="4" s="1"/>
  <c r="P403" i="4" s="1"/>
  <c r="AD335" i="4"/>
  <c r="AF335" i="4" s="1"/>
  <c r="P335" i="4" s="1"/>
  <c r="AE335" i="4"/>
  <c r="AG335" i="4" s="1"/>
  <c r="O335" i="4" s="1"/>
  <c r="AD155" i="4"/>
  <c r="AF155" i="4" s="1"/>
  <c r="P155" i="4" s="1"/>
  <c r="AE155" i="4"/>
  <c r="AG155" i="4" s="1"/>
  <c r="O155" i="4" s="1"/>
  <c r="AD237" i="4"/>
  <c r="AF237" i="4" s="1"/>
  <c r="P237" i="4" s="1"/>
  <c r="AE237" i="4"/>
  <c r="AG237" i="4" s="1"/>
  <c r="O237" i="4" s="1"/>
  <c r="AE134" i="4"/>
  <c r="AG134" i="4" s="1"/>
  <c r="O134" i="4" s="1"/>
  <c r="AD134" i="4"/>
  <c r="AF134" i="4" s="1"/>
  <c r="P134" i="4" s="1"/>
  <c r="AD209" i="4"/>
  <c r="AF209" i="4" s="1"/>
  <c r="P209" i="4" s="1"/>
  <c r="AE209" i="4"/>
  <c r="AG209" i="4" s="1"/>
  <c r="O209" i="4" s="1"/>
  <c r="AD54" i="4"/>
  <c r="AF54" i="4" s="1"/>
  <c r="P54" i="4" s="1"/>
  <c r="AE54" i="4"/>
  <c r="AG54" i="4" s="1"/>
  <c r="O54" i="4" s="1"/>
  <c r="AE187" i="4"/>
  <c r="AG187" i="4" s="1"/>
  <c r="O187" i="4" s="1"/>
  <c r="AD187" i="4"/>
  <c r="AF187" i="4" s="1"/>
  <c r="P187" i="4" s="1"/>
  <c r="AD379" i="4"/>
  <c r="AF379" i="4" s="1"/>
  <c r="P379" i="4" s="1"/>
  <c r="AE379" i="4"/>
  <c r="AG379" i="4" s="1"/>
  <c r="O379" i="4" s="1"/>
  <c r="AD337" i="4"/>
  <c r="AF337" i="4" s="1"/>
  <c r="P337" i="4" s="1"/>
  <c r="AE337" i="4"/>
  <c r="AG337" i="4" s="1"/>
  <c r="O337" i="4" s="1"/>
  <c r="AD357" i="4"/>
  <c r="AF357" i="4" s="1"/>
  <c r="P357" i="4" s="1"/>
  <c r="AE357" i="4"/>
  <c r="AG357" i="4" s="1"/>
  <c r="O357" i="4" s="1"/>
  <c r="AE377" i="4"/>
  <c r="AG377" i="4" s="1"/>
  <c r="O377" i="4" s="1"/>
  <c r="AD377" i="4"/>
  <c r="AF377" i="4" s="1"/>
  <c r="P377" i="4" s="1"/>
  <c r="AD82" i="4"/>
  <c r="AF82" i="4" s="1"/>
  <c r="P82" i="4" s="1"/>
  <c r="AE82" i="4"/>
  <c r="AG82" i="4" s="1"/>
  <c r="O82" i="4" s="1"/>
  <c r="AD271" i="4"/>
  <c r="AF271" i="4" s="1"/>
  <c r="P271" i="4" s="1"/>
  <c r="AE271" i="4"/>
  <c r="AG271" i="4" s="1"/>
  <c r="O271" i="4" s="1"/>
  <c r="AD461" i="4"/>
  <c r="AF461" i="4" s="1"/>
  <c r="P461" i="4" s="1"/>
  <c r="AE461" i="4"/>
  <c r="AG461" i="4" s="1"/>
  <c r="O461" i="4" s="1"/>
  <c r="AD389" i="4"/>
  <c r="AF389" i="4" s="1"/>
  <c r="P389" i="4" s="1"/>
  <c r="AE389" i="4"/>
  <c r="AG389" i="4" s="1"/>
  <c r="O389" i="4" s="1"/>
  <c r="AD8" i="4"/>
  <c r="AF8" i="4" s="1"/>
  <c r="P8" i="4" s="1"/>
  <c r="AE8" i="4"/>
  <c r="AG8" i="4" s="1"/>
  <c r="O8" i="4" s="1"/>
  <c r="AD492" i="4"/>
  <c r="AF492" i="4" s="1"/>
  <c r="P492" i="4" s="1"/>
  <c r="AE492" i="4"/>
  <c r="AG492" i="4" s="1"/>
  <c r="O492" i="4" s="1"/>
  <c r="AE14" i="4"/>
  <c r="AG14" i="4" s="1"/>
  <c r="O14" i="4" s="1"/>
  <c r="AD14" i="4"/>
  <c r="AF14" i="4" s="1"/>
  <c r="P14" i="4" s="1"/>
  <c r="AD163" i="4"/>
  <c r="AF163" i="4" s="1"/>
  <c r="P163" i="4" s="1"/>
  <c r="AE163" i="4"/>
  <c r="AG163" i="4" s="1"/>
  <c r="O163" i="4" s="1"/>
  <c r="AE166" i="4"/>
  <c r="AG166" i="4" s="1"/>
  <c r="O166" i="4" s="1"/>
  <c r="AD166" i="4"/>
  <c r="AF166" i="4" s="1"/>
  <c r="P166" i="4" s="1"/>
  <c r="AE310" i="4"/>
  <c r="AG310" i="4" s="1"/>
  <c r="O310" i="4" s="1"/>
  <c r="AD310" i="4"/>
  <c r="AF310" i="4" s="1"/>
  <c r="P310" i="4" s="1"/>
  <c r="AE191" i="4"/>
  <c r="AG191" i="4" s="1"/>
  <c r="O191" i="4" s="1"/>
  <c r="AD191" i="4"/>
  <c r="AF191" i="4" s="1"/>
  <c r="P191" i="4" s="1"/>
  <c r="AE222" i="4"/>
  <c r="AG222" i="4" s="1"/>
  <c r="O222" i="4" s="1"/>
  <c r="AD222" i="4"/>
  <c r="AF222" i="4" s="1"/>
  <c r="P222" i="4" s="1"/>
  <c r="AE398" i="4"/>
  <c r="AG398" i="4" s="1"/>
  <c r="O398" i="4" s="1"/>
  <c r="AD398" i="4"/>
  <c r="AF398" i="4" s="1"/>
  <c r="P398" i="4" s="1"/>
  <c r="AD44" i="4"/>
  <c r="AF44" i="4" s="1"/>
  <c r="P44" i="4" s="1"/>
  <c r="AE44" i="4"/>
  <c r="AG44" i="4" s="1"/>
  <c r="O44" i="4" s="1"/>
  <c r="AD29" i="4"/>
  <c r="AF29" i="4" s="1"/>
  <c r="P29" i="4" s="1"/>
  <c r="AE29" i="4"/>
  <c r="AG29" i="4" s="1"/>
  <c r="O29" i="4" s="1"/>
  <c r="AD355" i="4"/>
  <c r="AF355" i="4" s="1"/>
  <c r="P355" i="4" s="1"/>
  <c r="AE355" i="4"/>
  <c r="AG355" i="4" s="1"/>
  <c r="O355" i="4" s="1"/>
  <c r="AD190" i="4"/>
  <c r="AF190" i="4" s="1"/>
  <c r="P190" i="4" s="1"/>
  <c r="AE190" i="4"/>
  <c r="AG190" i="4" s="1"/>
  <c r="O190" i="4" s="1"/>
  <c r="AD433" i="4"/>
  <c r="AF433" i="4" s="1"/>
  <c r="P433" i="4" s="1"/>
  <c r="AE433" i="4"/>
  <c r="AG433" i="4" s="1"/>
  <c r="O433" i="4" s="1"/>
  <c r="AE257" i="4"/>
  <c r="AG257" i="4" s="1"/>
  <c r="O257" i="4" s="1"/>
  <c r="AD257" i="4"/>
  <c r="AF257" i="4" s="1"/>
  <c r="P257" i="4" s="1"/>
  <c r="AD43" i="4"/>
  <c r="AF43" i="4" s="1"/>
  <c r="P43" i="4" s="1"/>
  <c r="AE43" i="4"/>
  <c r="AG43" i="4" s="1"/>
  <c r="O43" i="4" s="1"/>
  <c r="AD157" i="4"/>
  <c r="AF157" i="4" s="1"/>
  <c r="P157" i="4" s="1"/>
  <c r="AE157" i="4"/>
  <c r="AG157" i="4" s="1"/>
  <c r="O157" i="4" s="1"/>
  <c r="AD125" i="4"/>
  <c r="AF125" i="4" s="1"/>
  <c r="P125" i="4" s="1"/>
  <c r="AE125" i="4"/>
  <c r="AG125" i="4" s="1"/>
  <c r="O125" i="4" s="1"/>
  <c r="AD68" i="4"/>
  <c r="AF68" i="4" s="1"/>
  <c r="P68" i="4" s="1"/>
  <c r="AE68" i="4"/>
  <c r="AG68" i="4" s="1"/>
  <c r="O68" i="4" s="1"/>
  <c r="AE72" i="4"/>
  <c r="AG72" i="4" s="1"/>
  <c r="O72" i="4" s="1"/>
  <c r="AD72" i="4"/>
  <c r="AF72" i="4" s="1"/>
  <c r="P72" i="4" s="1"/>
  <c r="AD135" i="4"/>
  <c r="AF135" i="4" s="1"/>
  <c r="P135" i="4" s="1"/>
  <c r="AE135" i="4"/>
  <c r="AG135" i="4" s="1"/>
  <c r="O135" i="4" s="1"/>
  <c r="AE192" i="4"/>
  <c r="AG192" i="4" s="1"/>
  <c r="O192" i="4" s="1"/>
  <c r="AD192" i="4"/>
  <c r="AF192" i="4" s="1"/>
  <c r="P192" i="4" s="1"/>
  <c r="AE432" i="4"/>
  <c r="AG432" i="4" s="1"/>
  <c r="O432" i="4" s="1"/>
  <c r="AD432" i="4"/>
  <c r="AF432" i="4" s="1"/>
  <c r="P432" i="4" s="1"/>
  <c r="AD427" i="4"/>
  <c r="AF427" i="4" s="1"/>
  <c r="P427" i="4" s="1"/>
  <c r="AE427" i="4"/>
  <c r="AG427" i="4" s="1"/>
  <c r="O427" i="4" s="1"/>
  <c r="AE325" i="4"/>
  <c r="AG325" i="4" s="1"/>
  <c r="O325" i="4" s="1"/>
  <c r="AD325" i="4"/>
  <c r="AF325" i="4" s="1"/>
  <c r="P325" i="4" s="1"/>
  <c r="AE298" i="4"/>
  <c r="AG298" i="4" s="1"/>
  <c r="O298" i="4" s="1"/>
  <c r="AD298" i="4"/>
  <c r="AF298" i="4" s="1"/>
  <c r="P298" i="4" s="1"/>
  <c r="AD286" i="4"/>
  <c r="AF286" i="4" s="1"/>
  <c r="P286" i="4" s="1"/>
  <c r="AE286" i="4"/>
  <c r="AG286" i="4" s="1"/>
  <c r="O286" i="4" s="1"/>
  <c r="AD94" i="4"/>
  <c r="AF94" i="4" s="1"/>
  <c r="P94" i="4" s="1"/>
  <c r="AE94" i="4"/>
  <c r="AG94" i="4" s="1"/>
  <c r="O94" i="4" s="1"/>
  <c r="AE281" i="4"/>
  <c r="AG281" i="4" s="1"/>
  <c r="O281" i="4" s="1"/>
  <c r="AD281" i="4"/>
  <c r="AF281" i="4" s="1"/>
  <c r="P281" i="4" s="1"/>
  <c r="AD245" i="4"/>
  <c r="AF245" i="4" s="1"/>
  <c r="P245" i="4" s="1"/>
  <c r="AE245" i="4"/>
  <c r="AG245" i="4" s="1"/>
  <c r="O245" i="4" s="1"/>
  <c r="AE275" i="4"/>
  <c r="AG275" i="4" s="1"/>
  <c r="O275" i="4" s="1"/>
  <c r="AD275" i="4"/>
  <c r="AF275" i="4" s="1"/>
  <c r="P275" i="4" s="1"/>
  <c r="AE139" i="4"/>
  <c r="AG139" i="4" s="1"/>
  <c r="O139" i="4" s="1"/>
  <c r="AD139" i="4"/>
  <c r="AF139" i="4" s="1"/>
  <c r="P139" i="4" s="1"/>
  <c r="AD412" i="4"/>
  <c r="AF412" i="4" s="1"/>
  <c r="P412" i="4" s="1"/>
  <c r="AE412" i="4"/>
  <c r="AG412" i="4" s="1"/>
  <c r="O412" i="4" s="1"/>
  <c r="AE370" i="4"/>
  <c r="AG370" i="4" s="1"/>
  <c r="O370" i="4" s="1"/>
  <c r="AD370" i="4"/>
  <c r="AF370" i="4" s="1"/>
  <c r="P370" i="4" s="1"/>
  <c r="AD504" i="4"/>
  <c r="AF504" i="4" s="1"/>
  <c r="P504" i="4" s="1"/>
  <c r="AE504" i="4"/>
  <c r="AG504" i="4" s="1"/>
  <c r="O504" i="4" s="1"/>
  <c r="AE475" i="4"/>
  <c r="AG475" i="4" s="1"/>
  <c r="O475" i="4" s="1"/>
  <c r="AD475" i="4"/>
  <c r="AF475" i="4" s="1"/>
  <c r="P475" i="4" s="1"/>
  <c r="AD59" i="4"/>
  <c r="AF59" i="4" s="1"/>
  <c r="P59" i="4" s="1"/>
  <c r="AE59" i="4"/>
  <c r="AG59" i="4" s="1"/>
  <c r="O59" i="4" s="1"/>
  <c r="AE452" i="4"/>
  <c r="AG452" i="4" s="1"/>
  <c r="O452" i="4" s="1"/>
  <c r="AD452" i="4"/>
  <c r="AF452" i="4" s="1"/>
  <c r="P452" i="4" s="1"/>
  <c r="AE459" i="4"/>
  <c r="AG459" i="4" s="1"/>
  <c r="O459" i="4" s="1"/>
  <c r="AD459" i="4"/>
  <c r="AF459" i="4" s="1"/>
  <c r="P459" i="4" s="1"/>
  <c r="AD15" i="4"/>
  <c r="AF15" i="4" s="1"/>
  <c r="P15" i="4" s="1"/>
  <c r="AE15" i="4"/>
  <c r="AG15" i="4" s="1"/>
  <c r="O15" i="4" s="1"/>
  <c r="AE261" i="4"/>
  <c r="AG261" i="4" s="1"/>
  <c r="O261" i="4" s="1"/>
  <c r="AD261" i="4"/>
  <c r="AF261" i="4" s="1"/>
  <c r="P261" i="4" s="1"/>
  <c r="AD260" i="4"/>
  <c r="AF260" i="4" s="1"/>
  <c r="P260" i="4" s="1"/>
  <c r="AE260" i="4"/>
  <c r="AG260" i="4" s="1"/>
  <c r="O260" i="4" s="1"/>
  <c r="AD148" i="4"/>
  <c r="AF148" i="4" s="1"/>
  <c r="P148" i="4" s="1"/>
  <c r="AE148" i="4"/>
  <c r="AG148" i="4" s="1"/>
  <c r="O148" i="4" s="1"/>
  <c r="AE276" i="4"/>
  <c r="AG276" i="4" s="1"/>
  <c r="O276" i="4" s="1"/>
  <c r="AD276" i="4"/>
  <c r="AF276" i="4" s="1"/>
  <c r="P276" i="4" s="1"/>
  <c r="AD420" i="4"/>
  <c r="AF420" i="4" s="1"/>
  <c r="P420" i="4" s="1"/>
  <c r="AE420" i="4"/>
  <c r="AG420" i="4" s="1"/>
  <c r="O420" i="4" s="1"/>
  <c r="AE98" i="4"/>
  <c r="AG98" i="4" s="1"/>
  <c r="O98" i="4" s="1"/>
  <c r="AD98" i="4"/>
  <c r="AF98" i="4" s="1"/>
  <c r="P98" i="4" s="1"/>
  <c r="AD362" i="4"/>
  <c r="AF362" i="4" s="1"/>
  <c r="P362" i="4" s="1"/>
  <c r="AE362" i="4"/>
  <c r="AG362" i="4" s="1"/>
  <c r="O362" i="4" s="1"/>
  <c r="AE57" i="4"/>
  <c r="AG57" i="4" s="1"/>
  <c r="O57" i="4" s="1"/>
  <c r="AD57" i="4"/>
  <c r="AF57" i="4" s="1"/>
  <c r="P57" i="4" s="1"/>
  <c r="AE442" i="4"/>
  <c r="AG442" i="4" s="1"/>
  <c r="O442" i="4" s="1"/>
  <c r="AD442" i="4"/>
  <c r="AF442" i="4" s="1"/>
  <c r="P442" i="4" s="1"/>
  <c r="AD296" i="4"/>
  <c r="AF296" i="4" s="1"/>
  <c r="P296" i="4" s="1"/>
  <c r="AE296" i="4"/>
  <c r="AG296" i="4" s="1"/>
  <c r="O296" i="4" s="1"/>
  <c r="AD165" i="4"/>
  <c r="AF165" i="4" s="1"/>
  <c r="P165" i="4" s="1"/>
  <c r="AE165" i="4"/>
  <c r="AG165" i="4" s="1"/>
  <c r="O165" i="4" s="1"/>
  <c r="AD111" i="4"/>
  <c r="AF111" i="4" s="1"/>
  <c r="P111" i="4" s="1"/>
  <c r="AE111" i="4"/>
  <c r="AG111" i="4" s="1"/>
  <c r="O111" i="4" s="1"/>
  <c r="AD284" i="4"/>
  <c r="AF284" i="4" s="1"/>
  <c r="P284" i="4" s="1"/>
  <c r="AE284" i="4"/>
  <c r="AG284" i="4" s="1"/>
  <c r="O284" i="4" s="1"/>
  <c r="AE279" i="4"/>
  <c r="AG279" i="4" s="1"/>
  <c r="O279" i="4" s="1"/>
  <c r="AD279" i="4"/>
  <c r="AF279" i="4" s="1"/>
  <c r="P279" i="4" s="1"/>
  <c r="AD181" i="4"/>
  <c r="AF181" i="4" s="1"/>
  <c r="P181" i="4" s="1"/>
  <c r="AE181" i="4"/>
  <c r="AG181" i="4" s="1"/>
  <c r="O181" i="4" s="1"/>
  <c r="AE428" i="4"/>
  <c r="AG428" i="4" s="1"/>
  <c r="O428" i="4" s="1"/>
  <c r="AD428" i="4"/>
  <c r="AF428" i="4" s="1"/>
  <c r="P428" i="4" s="1"/>
  <c r="AE356" i="4"/>
  <c r="AG356" i="4" s="1"/>
  <c r="O356" i="4" s="1"/>
  <c r="AD356" i="4"/>
  <c r="AF356" i="4" s="1"/>
  <c r="P356" i="4" s="1"/>
  <c r="AE203" i="4"/>
  <c r="AG203" i="4" s="1"/>
  <c r="O203" i="4" s="1"/>
  <c r="AD203" i="4"/>
  <c r="AF203" i="4" s="1"/>
  <c r="P203" i="4" s="1"/>
  <c r="AE170" i="4"/>
  <c r="AG170" i="4" s="1"/>
  <c r="O170" i="4" s="1"/>
  <c r="AD170" i="4"/>
  <c r="AF170" i="4" s="1"/>
  <c r="P170" i="4" s="1"/>
  <c r="AE214" i="4"/>
  <c r="AG214" i="4" s="1"/>
  <c r="O214" i="4" s="1"/>
  <c r="AD214" i="4"/>
  <c r="AF214" i="4" s="1"/>
  <c r="P214" i="4" s="1"/>
  <c r="AD259" i="4"/>
  <c r="AF259" i="4" s="1"/>
  <c r="P259" i="4" s="1"/>
  <c r="AE259" i="4"/>
  <c r="AG259" i="4" s="1"/>
  <c r="O259" i="4" s="1"/>
  <c r="AE247" i="4"/>
  <c r="AG247" i="4" s="1"/>
  <c r="O247" i="4" s="1"/>
  <c r="AD247" i="4"/>
  <c r="AF247" i="4" s="1"/>
  <c r="P247" i="4" s="1"/>
  <c r="AE132" i="4"/>
  <c r="AG132" i="4" s="1"/>
  <c r="O132" i="4" s="1"/>
  <c r="AD132" i="4"/>
  <c r="AF132" i="4" s="1"/>
  <c r="P132" i="4" s="1"/>
  <c r="AE96" i="4"/>
  <c r="AG96" i="4" s="1"/>
  <c r="O96" i="4" s="1"/>
  <c r="AD96" i="4"/>
  <c r="AF96" i="4" s="1"/>
  <c r="P96" i="4" s="1"/>
  <c r="AE430" i="4"/>
  <c r="AG430" i="4" s="1"/>
  <c r="O430" i="4" s="1"/>
  <c r="AD430" i="4"/>
  <c r="AF430" i="4" s="1"/>
  <c r="P430" i="4" s="1"/>
  <c r="AD292" i="4"/>
  <c r="AF292" i="4" s="1"/>
  <c r="P292" i="4" s="1"/>
  <c r="AE292" i="4"/>
  <c r="AG292" i="4" s="1"/>
  <c r="O292" i="4" s="1"/>
  <c r="AD484" i="4"/>
  <c r="AF484" i="4" s="1"/>
  <c r="P484" i="4" s="1"/>
  <c r="AE484" i="4"/>
  <c r="AG484" i="4" s="1"/>
  <c r="O484" i="4" s="1"/>
  <c r="AE421" i="4"/>
  <c r="AG421" i="4" s="1"/>
  <c r="O421" i="4" s="1"/>
  <c r="AD421" i="4"/>
  <c r="AF421" i="4" s="1"/>
  <c r="P421" i="4" s="1"/>
  <c r="AD316" i="4"/>
  <c r="AF316" i="4" s="1"/>
  <c r="P316" i="4" s="1"/>
  <c r="AE316" i="4"/>
  <c r="AG316" i="4" s="1"/>
  <c r="O316" i="4" s="1"/>
  <c r="AE301" i="4"/>
  <c r="AG301" i="4" s="1"/>
  <c r="O301" i="4" s="1"/>
  <c r="AD301" i="4"/>
  <c r="AF301" i="4" s="1"/>
  <c r="P301" i="4" s="1"/>
  <c r="AE326" i="4"/>
  <c r="AG326" i="4" s="1"/>
  <c r="O326" i="4" s="1"/>
  <c r="AD326" i="4"/>
  <c r="AF326" i="4" s="1"/>
  <c r="P326" i="4" s="1"/>
  <c r="AD336" i="4"/>
  <c r="AF336" i="4" s="1"/>
  <c r="P336" i="4" s="1"/>
  <c r="AE336" i="4"/>
  <c r="AG336" i="4" s="1"/>
  <c r="O336" i="4" s="1"/>
  <c r="AD455" i="4"/>
  <c r="AF455" i="4" s="1"/>
  <c r="P455" i="4" s="1"/>
  <c r="AE455" i="4"/>
  <c r="AG455" i="4" s="1"/>
  <c r="O455" i="4" s="1"/>
  <c r="AD453" i="4"/>
  <c r="AF453" i="4" s="1"/>
  <c r="P453" i="4" s="1"/>
  <c r="AE453" i="4"/>
  <c r="AG453" i="4" s="1"/>
  <c r="O453" i="4" s="1"/>
  <c r="AE343" i="4"/>
  <c r="AG343" i="4" s="1"/>
  <c r="O343" i="4" s="1"/>
  <c r="AD343" i="4"/>
  <c r="AF343" i="4" s="1"/>
  <c r="P343" i="4" s="1"/>
  <c r="AD342" i="4"/>
  <c r="AF342" i="4" s="1"/>
  <c r="P342" i="4" s="1"/>
  <c r="AE342" i="4"/>
  <c r="AG342" i="4" s="1"/>
  <c r="O342" i="4" s="1"/>
  <c r="AD462" i="4"/>
  <c r="AF462" i="4" s="1"/>
  <c r="P462" i="4" s="1"/>
  <c r="AE462" i="4"/>
  <c r="AG462" i="4" s="1"/>
  <c r="O462" i="4" s="1"/>
  <c r="AD16" i="4"/>
  <c r="AF16" i="4" s="1"/>
  <c r="P16" i="4" s="1"/>
  <c r="AE16" i="4"/>
  <c r="AG16" i="4" s="1"/>
  <c r="O16" i="4" s="1"/>
  <c r="AD367" i="4"/>
  <c r="AF367" i="4" s="1"/>
  <c r="P367" i="4" s="1"/>
  <c r="AE367" i="4"/>
  <c r="AG367" i="4" s="1"/>
  <c r="O367" i="4" s="1"/>
  <c r="AD468" i="4"/>
  <c r="AF468" i="4" s="1"/>
  <c r="P468" i="4" s="1"/>
  <c r="AE468" i="4"/>
  <c r="AG468" i="4" s="1"/>
  <c r="O468" i="4" s="1"/>
  <c r="AE198" i="4"/>
  <c r="AG198" i="4" s="1"/>
  <c r="O198" i="4" s="1"/>
  <c r="AD198" i="4"/>
  <c r="AF198" i="4" s="1"/>
  <c r="P198" i="4" s="1"/>
  <c r="AD348" i="4"/>
  <c r="AF348" i="4" s="1"/>
  <c r="P348" i="4" s="1"/>
  <c r="AE348" i="4"/>
  <c r="AG348" i="4" s="1"/>
  <c r="O348" i="4" s="1"/>
  <c r="AD34" i="4"/>
  <c r="AF34" i="4" s="1"/>
  <c r="P34" i="4" s="1"/>
  <c r="AE34" i="4"/>
  <c r="AG34" i="4" s="1"/>
  <c r="O34" i="4" s="1"/>
  <c r="AD404" i="4"/>
  <c r="AF404" i="4" s="1"/>
  <c r="P404" i="4" s="1"/>
  <c r="AE404" i="4"/>
  <c r="AG404" i="4" s="1"/>
  <c r="O404" i="4" s="1"/>
  <c r="AD211" i="4"/>
  <c r="AF211" i="4" s="1"/>
  <c r="P211" i="4" s="1"/>
  <c r="AE211" i="4"/>
  <c r="AG211" i="4" s="1"/>
  <c r="O211" i="4" s="1"/>
  <c r="AD73" i="4"/>
  <c r="AF73" i="4" s="1"/>
  <c r="P73" i="4" s="1"/>
  <c r="AE73" i="4"/>
  <c r="AG73" i="4" s="1"/>
  <c r="O73" i="4" s="1"/>
  <c r="AD216" i="4"/>
  <c r="AF216" i="4" s="1"/>
  <c r="P216" i="4" s="1"/>
  <c r="AE216" i="4"/>
  <c r="AG216" i="4" s="1"/>
  <c r="O216" i="4" s="1"/>
  <c r="AE87" i="4"/>
  <c r="AG87" i="4" s="1"/>
  <c r="O87" i="4" s="1"/>
  <c r="AD87" i="4"/>
  <c r="AF87" i="4" s="1"/>
  <c r="P87" i="4" s="1"/>
  <c r="AD239" i="4"/>
  <c r="AF239" i="4" s="1"/>
  <c r="P239" i="4" s="1"/>
  <c r="AE239" i="4"/>
  <c r="AG239" i="4" s="1"/>
  <c r="O239" i="4" s="1"/>
  <c r="AD454" i="4"/>
  <c r="AF454" i="4" s="1"/>
  <c r="P454" i="4" s="1"/>
  <c r="AE454" i="4"/>
  <c r="AG454" i="4" s="1"/>
  <c r="O454" i="4" s="1"/>
  <c r="AE218" i="4"/>
  <c r="AG218" i="4" s="1"/>
  <c r="O218" i="4" s="1"/>
  <c r="AD218" i="4"/>
  <c r="AF218" i="4" s="1"/>
  <c r="P218" i="4" s="1"/>
  <c r="AE30" i="4"/>
  <c r="AG30" i="4" s="1"/>
  <c r="O30" i="4" s="1"/>
  <c r="AD30" i="4"/>
  <c r="AF30" i="4" s="1"/>
  <c r="P30" i="4" s="1"/>
  <c r="AD242" i="4"/>
  <c r="AF242" i="4" s="1"/>
  <c r="P242" i="4" s="1"/>
  <c r="AE242" i="4"/>
  <c r="AG242" i="4" s="1"/>
  <c r="O242" i="4" s="1"/>
  <c r="AE177" i="4"/>
  <c r="AG177" i="4" s="1"/>
  <c r="O177" i="4" s="1"/>
  <c r="AD177" i="4"/>
  <c r="AF177" i="4" s="1"/>
  <c r="P177" i="4" s="1"/>
  <c r="AD477" i="4"/>
  <c r="AF477" i="4" s="1"/>
  <c r="P477" i="4" s="1"/>
  <c r="AE477" i="4"/>
  <c r="AG477" i="4" s="1"/>
  <c r="O477" i="4" s="1"/>
  <c r="AD425" i="4"/>
  <c r="AF425" i="4" s="1"/>
  <c r="P425" i="4" s="1"/>
  <c r="AE425" i="4"/>
  <c r="AG425" i="4" s="1"/>
  <c r="O425" i="4" s="1"/>
  <c r="AE220" i="4"/>
  <c r="AG220" i="4" s="1"/>
  <c r="O220" i="4" s="1"/>
  <c r="AD220" i="4"/>
  <c r="AF220" i="4" s="1"/>
  <c r="P220" i="4" s="1"/>
  <c r="AD382" i="4"/>
  <c r="AF382" i="4" s="1"/>
  <c r="P382" i="4" s="1"/>
  <c r="AE382" i="4"/>
  <c r="AG382" i="4" s="1"/>
  <c r="O382" i="4" s="1"/>
  <c r="AD238" i="4"/>
  <c r="AF238" i="4" s="1"/>
  <c r="P238" i="4" s="1"/>
  <c r="AE238" i="4"/>
  <c r="AG238" i="4" s="1"/>
  <c r="O238" i="4" s="1"/>
  <c r="AE160" i="4"/>
  <c r="AG160" i="4" s="1"/>
  <c r="O160" i="4" s="1"/>
  <c r="AD160" i="4"/>
  <c r="AF160" i="4" s="1"/>
  <c r="P160" i="4" s="1"/>
  <c r="AE388" i="4"/>
  <c r="AG388" i="4" s="1"/>
  <c r="O388" i="4" s="1"/>
  <c r="AD388" i="4"/>
  <c r="AF388" i="4" s="1"/>
  <c r="P388" i="4" s="1"/>
  <c r="AD75" i="4"/>
  <c r="AF75" i="4" s="1"/>
  <c r="P75" i="4" s="1"/>
  <c r="AE75" i="4"/>
  <c r="AG75" i="4" s="1"/>
  <c r="O75" i="4" s="1"/>
  <c r="AE45" i="4"/>
  <c r="AG45" i="4" s="1"/>
  <c r="O45" i="4" s="1"/>
  <c r="AD45" i="4"/>
  <c r="AF45" i="4" s="1"/>
  <c r="P45" i="4" s="1"/>
  <c r="AD332" i="4"/>
  <c r="AF332" i="4" s="1"/>
  <c r="P332" i="4" s="1"/>
  <c r="AE332" i="4"/>
  <c r="AG332" i="4" s="1"/>
  <c r="O332" i="4" s="1"/>
  <c r="AD234" i="4"/>
  <c r="AF234" i="4" s="1"/>
  <c r="P234" i="4" s="1"/>
  <c r="AE234" i="4"/>
  <c r="AG234" i="4" s="1"/>
  <c r="O234" i="4" s="1"/>
  <c r="AE144" i="4"/>
  <c r="AG144" i="4" s="1"/>
  <c r="O144" i="4" s="1"/>
  <c r="AD144" i="4"/>
  <c r="AF144" i="4" s="1"/>
  <c r="P144" i="4" s="1"/>
  <c r="AE19" i="4"/>
  <c r="AG19" i="4" s="1"/>
  <c r="O19" i="4" s="1"/>
  <c r="AD19" i="4"/>
  <c r="AF19" i="4" s="1"/>
  <c r="P19" i="4" s="1"/>
  <c r="AE95" i="4"/>
  <c r="AG95" i="4" s="1"/>
  <c r="O95" i="4" s="1"/>
  <c r="AD95" i="4"/>
  <c r="AF95" i="4" s="1"/>
  <c r="P95" i="4" s="1"/>
  <c r="AD463" i="4"/>
  <c r="AF463" i="4" s="1"/>
  <c r="P463" i="4" s="1"/>
  <c r="AE463" i="4"/>
  <c r="AG463" i="4" s="1"/>
  <c r="O463" i="4" s="1"/>
  <c r="AD481" i="4"/>
  <c r="AF481" i="4" s="1"/>
  <c r="P481" i="4" s="1"/>
  <c r="AE481" i="4"/>
  <c r="AG481" i="4" s="1"/>
  <c r="O481" i="4" s="1"/>
  <c r="AE269" i="4"/>
  <c r="AG269" i="4" s="1"/>
  <c r="O269" i="4" s="1"/>
  <c r="AD269" i="4"/>
  <c r="AF269" i="4" s="1"/>
  <c r="P269" i="4" s="1"/>
  <c r="AE366" i="4"/>
  <c r="AG366" i="4" s="1"/>
  <c r="O366" i="4" s="1"/>
  <c r="AD366" i="4"/>
  <c r="AF366" i="4" s="1"/>
  <c r="P366" i="4" s="1"/>
  <c r="AD204" i="4"/>
  <c r="AF204" i="4" s="1"/>
  <c r="P204" i="4" s="1"/>
  <c r="AE204" i="4"/>
  <c r="AG204" i="4" s="1"/>
  <c r="O204" i="4" s="1"/>
  <c r="AE268" i="4"/>
  <c r="AG268" i="4" s="1"/>
  <c r="O268" i="4" s="1"/>
  <c r="AD268" i="4"/>
  <c r="AF268" i="4" s="1"/>
  <c r="P268" i="4" s="1"/>
  <c r="AD413" i="4"/>
  <c r="AF413" i="4" s="1"/>
  <c r="P413" i="4" s="1"/>
  <c r="AE413" i="4"/>
  <c r="AG413" i="4" s="1"/>
  <c r="O413" i="4" s="1"/>
  <c r="AE439" i="4"/>
  <c r="AG439" i="4" s="1"/>
  <c r="O439" i="4" s="1"/>
  <c r="AD439" i="4"/>
  <c r="AF439" i="4" s="1"/>
  <c r="P439" i="4" s="1"/>
  <c r="AD443" i="4"/>
  <c r="AF443" i="4" s="1"/>
  <c r="P443" i="4" s="1"/>
  <c r="AE443" i="4"/>
  <c r="AG443" i="4" s="1"/>
  <c r="O443" i="4" s="1"/>
  <c r="AE293" i="4"/>
  <c r="AG293" i="4" s="1"/>
  <c r="O293" i="4" s="1"/>
  <c r="AD293" i="4"/>
  <c r="AF293" i="4" s="1"/>
  <c r="P293" i="4" s="1"/>
  <c r="AD240" i="4"/>
  <c r="AF240" i="4" s="1"/>
  <c r="P240" i="4" s="1"/>
  <c r="AE240" i="4"/>
  <c r="AG240" i="4" s="1"/>
  <c r="O240" i="4" s="1"/>
  <c r="AD78" i="4"/>
  <c r="AF78" i="4" s="1"/>
  <c r="P78" i="4" s="1"/>
  <c r="AE78" i="4"/>
  <c r="AG78" i="4" s="1"/>
  <c r="O78" i="4" s="1"/>
  <c r="AE264" i="4"/>
  <c r="AG264" i="4" s="1"/>
  <c r="O264" i="4" s="1"/>
  <c r="AD264" i="4"/>
  <c r="AF264" i="4" s="1"/>
  <c r="P264" i="4" s="1"/>
  <c r="AD106" i="4"/>
  <c r="AF106" i="4" s="1"/>
  <c r="P106" i="4" s="1"/>
  <c r="AE106" i="4"/>
  <c r="AG106" i="4" s="1"/>
  <c r="O106" i="4" s="1"/>
  <c r="AD426" i="4"/>
  <c r="AF426" i="4" s="1"/>
  <c r="P426" i="4" s="1"/>
  <c r="AE426" i="4"/>
  <c r="AG426" i="4" s="1"/>
  <c r="O426" i="4" s="1"/>
  <c r="AD55" i="4"/>
  <c r="AF55" i="4" s="1"/>
  <c r="P55" i="4" s="1"/>
  <c r="AE55" i="4"/>
  <c r="AG55" i="4" s="1"/>
  <c r="O55" i="4" s="1"/>
  <c r="AE394" i="4"/>
  <c r="AG394" i="4" s="1"/>
  <c r="O394" i="4" s="1"/>
  <c r="AD394" i="4"/>
  <c r="AF394" i="4" s="1"/>
  <c r="P394" i="4" s="1"/>
  <c r="AE329" i="4"/>
  <c r="AG329" i="4" s="1"/>
  <c r="O329" i="4" s="1"/>
  <c r="AD329" i="4"/>
  <c r="AF329" i="4" s="1"/>
  <c r="P329" i="4" s="1"/>
  <c r="AE244" i="4"/>
  <c r="AG244" i="4" s="1"/>
  <c r="O244" i="4" s="1"/>
  <c r="AD244" i="4"/>
  <c r="AF244" i="4" s="1"/>
  <c r="P244" i="4" s="1"/>
  <c r="AE171" i="4"/>
  <c r="AG171" i="4" s="1"/>
  <c r="O171" i="4" s="1"/>
  <c r="AD171" i="4"/>
  <c r="AF171" i="4" s="1"/>
  <c r="P171" i="4" s="1"/>
  <c r="AD149" i="4"/>
  <c r="AF149" i="4" s="1"/>
  <c r="P149" i="4" s="1"/>
  <c r="AE149" i="4"/>
  <c r="AG149" i="4" s="1"/>
  <c r="O149" i="4" s="1"/>
  <c r="AE405" i="4"/>
  <c r="AG405" i="4" s="1"/>
  <c r="O405" i="4" s="1"/>
  <c r="AD405" i="4"/>
  <c r="AF405" i="4" s="1"/>
  <c r="P405" i="4" s="1"/>
  <c r="AD482" i="4"/>
  <c r="AF482" i="4" s="1"/>
  <c r="P482" i="4" s="1"/>
  <c r="AE482" i="4"/>
  <c r="AG482" i="4" s="1"/>
  <c r="O482" i="4" s="1"/>
  <c r="AE290" i="4"/>
  <c r="AG290" i="4" s="1"/>
  <c r="O290" i="4" s="1"/>
  <c r="AD290" i="4"/>
  <c r="AF290" i="4" s="1"/>
  <c r="P290" i="4" s="1"/>
  <c r="AE108" i="4"/>
  <c r="AG108" i="4" s="1"/>
  <c r="O108" i="4" s="1"/>
  <c r="AD108" i="4"/>
  <c r="AF108" i="4" s="1"/>
  <c r="P108" i="4" s="1"/>
  <c r="AD499" i="4"/>
  <c r="AF499" i="4" s="1"/>
  <c r="P499" i="4" s="1"/>
  <c r="AE499" i="4"/>
  <c r="AG499" i="4" s="1"/>
  <c r="O499" i="4" s="1"/>
  <c r="AD471" i="4"/>
  <c r="AF471" i="4" s="1"/>
  <c r="P471" i="4" s="1"/>
  <c r="AE471" i="4"/>
  <c r="AG471" i="4" s="1"/>
  <c r="O471" i="4" s="1"/>
  <c r="AE37" i="4"/>
  <c r="AG37" i="4" s="1"/>
  <c r="O37" i="4" s="1"/>
  <c r="AD37" i="4"/>
  <c r="AF37" i="4" s="1"/>
  <c r="P37" i="4" s="1"/>
  <c r="AD231" i="4"/>
  <c r="AF231" i="4" s="1"/>
  <c r="P231" i="4" s="1"/>
  <c r="AE231" i="4"/>
  <c r="AG231" i="4" s="1"/>
  <c r="O231" i="4" s="1"/>
  <c r="AD360" i="4"/>
  <c r="AF360" i="4" s="1"/>
  <c r="P360" i="4" s="1"/>
  <c r="AE360" i="4"/>
  <c r="AG360" i="4" s="1"/>
  <c r="O360" i="4" s="1"/>
  <c r="AE440" i="4"/>
  <c r="AG440" i="4" s="1"/>
  <c r="O440" i="4" s="1"/>
  <c r="AD440" i="4"/>
  <c r="AF440" i="4" s="1"/>
  <c r="P440" i="4" s="1"/>
  <c r="AD338" i="4"/>
  <c r="AF338" i="4" s="1"/>
  <c r="P338" i="4" s="1"/>
  <c r="AE338" i="4"/>
  <c r="AG338" i="4" s="1"/>
  <c r="O338" i="4" s="1"/>
  <c r="AD305" i="4"/>
  <c r="AF305" i="4" s="1"/>
  <c r="P305" i="4" s="1"/>
  <c r="AE305" i="4"/>
  <c r="AG305" i="4" s="1"/>
  <c r="O305" i="4" s="1"/>
  <c r="AE21" i="4"/>
  <c r="AG21" i="4" s="1"/>
  <c r="O21" i="4" s="1"/>
  <c r="AD21" i="4"/>
  <c r="AF21" i="4" s="1"/>
  <c r="P21" i="4" s="1"/>
  <c r="AD136" i="4"/>
  <c r="AF136" i="4" s="1"/>
  <c r="P136" i="4" s="1"/>
  <c r="AE136" i="4"/>
  <c r="AG136" i="4" s="1"/>
  <c r="O136" i="4" s="1"/>
  <c r="AD175" i="4"/>
  <c r="AF175" i="4" s="1"/>
  <c r="P175" i="4" s="1"/>
  <c r="AE175" i="4"/>
  <c r="AG175" i="4" s="1"/>
  <c r="O175" i="4" s="1"/>
  <c r="AE387" i="4"/>
  <c r="AG387" i="4" s="1"/>
  <c r="O387" i="4" s="1"/>
  <c r="AD387" i="4"/>
  <c r="AF387" i="4" s="1"/>
  <c r="P387" i="4" s="1"/>
  <c r="AE423" i="4"/>
  <c r="AG423" i="4" s="1"/>
  <c r="O423" i="4" s="1"/>
  <c r="AD423" i="4"/>
  <c r="AF423" i="4" s="1"/>
  <c r="P423" i="4" s="1"/>
  <c r="F23" i="4" l="1"/>
  <c r="F22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Fagnani</author>
  </authors>
  <commentList>
    <comment ref="C20" authorId="0" shapeId="0" xr:uid="{FD6FF304-82E1-456B-96DC-586C962400C6}">
      <text>
        <r>
          <rPr>
            <sz val="9"/>
            <color indexed="81"/>
            <rFont val="Tahoma"/>
            <family val="2"/>
          </rPr>
          <t xml:space="preserve">Reference designators taken from TPS43061EVM-198. Reference designator in parenthesis signifies a difference on TPS43060EVM-199.
</t>
        </r>
      </text>
    </comment>
  </commentList>
</comments>
</file>

<file path=xl/sharedStrings.xml><?xml version="1.0" encoding="utf-8"?>
<sst xmlns="http://schemas.openxmlformats.org/spreadsheetml/2006/main" count="688" uniqueCount="464">
  <si>
    <t>Output Voltage</t>
  </si>
  <si>
    <t>A/V</t>
  </si>
  <si>
    <t>A</t>
  </si>
  <si>
    <t>V</t>
  </si>
  <si>
    <t>Kind</t>
  </si>
  <si>
    <t>Hz</t>
  </si>
  <si>
    <t>H</t>
  </si>
  <si>
    <t>F</t>
  </si>
  <si>
    <t>Units</t>
  </si>
  <si>
    <t>Value</t>
  </si>
  <si>
    <t>Ro</t>
  </si>
  <si>
    <t>dB</t>
  </si>
  <si>
    <t>W</t>
  </si>
  <si>
    <t>Sn</t>
  </si>
  <si>
    <t>Se</t>
  </si>
  <si>
    <t>Frequency</t>
  </si>
  <si>
    <t>Transconductance of error amplifier</t>
  </si>
  <si>
    <t>Output resistance of error amplifier</t>
  </si>
  <si>
    <t>Reference voltage</t>
  </si>
  <si>
    <t>Fco_target</t>
  </si>
  <si>
    <t>frhpz_mod</t>
  </si>
  <si>
    <t>fp_mod</t>
  </si>
  <si>
    <t>PM</t>
  </si>
  <si>
    <t>Vout</t>
  </si>
  <si>
    <t>Power Stage Design</t>
  </si>
  <si>
    <t>ABS(Total Gain)</t>
  </si>
  <si>
    <t>GM</t>
  </si>
  <si>
    <t>DCR</t>
  </si>
  <si>
    <t>Fco</t>
  </si>
  <si>
    <t>Ω</t>
  </si>
  <si>
    <t>Icrit</t>
  </si>
  <si>
    <t>Compensation Design</t>
  </si>
  <si>
    <t>Minimum on time</t>
  </si>
  <si>
    <t>Fm</t>
  </si>
  <si>
    <t>Iout</t>
  </si>
  <si>
    <t>fsw</t>
  </si>
  <si>
    <t>Duty Cycle</t>
  </si>
  <si>
    <t>Power Stage</t>
  </si>
  <si>
    <t>FP</t>
  </si>
  <si>
    <t>FZ</t>
  </si>
  <si>
    <t>FP2</t>
  </si>
  <si>
    <t>Output voltage</t>
  </si>
  <si>
    <t>sec</t>
  </si>
  <si>
    <t>MIN</t>
  </si>
  <si>
    <t>TYP</t>
  </si>
  <si>
    <t>MAX</t>
  </si>
  <si>
    <t>Input voltage</t>
  </si>
  <si>
    <t>Switching frequency</t>
  </si>
  <si>
    <t>Device Constants</t>
  </si>
  <si>
    <t>Cell Color Key</t>
  </si>
  <si>
    <t>Calculated</t>
  </si>
  <si>
    <t>User Input</t>
  </si>
  <si>
    <t>Design Specifications</t>
  </si>
  <si>
    <t>Vin</t>
  </si>
  <si>
    <t>Rea</t>
  </si>
  <si>
    <t>Vref</t>
  </si>
  <si>
    <t>Rdson</t>
  </si>
  <si>
    <t>Feature Components</t>
  </si>
  <si>
    <t>KPS_fco</t>
  </si>
  <si>
    <t>L</t>
  </si>
  <si>
    <t>Vripple</t>
  </si>
  <si>
    <t>dItran</t>
  </si>
  <si>
    <t>dVtran</t>
  </si>
  <si>
    <t>Inductor RMS current (Vin_min)</t>
  </si>
  <si>
    <t>Equivalent output resistance</t>
  </si>
  <si>
    <t>Pole of power stage</t>
  </si>
  <si>
    <t>Right half plane zero (RHPZ) of power stage</t>
  </si>
  <si>
    <t>Irms_cin</t>
  </si>
  <si>
    <t>Irms_cout</t>
  </si>
  <si>
    <t>Target crossover frequency</t>
  </si>
  <si>
    <t>Std. Resistors</t>
  </si>
  <si>
    <t>Capacitors</t>
  </si>
  <si>
    <t>Enter resistor value</t>
  </si>
  <si>
    <t>E6</t>
  </si>
  <si>
    <t>E96</t>
  </si>
  <si>
    <t>Cap value</t>
  </si>
  <si>
    <t>Closest E6 Value</t>
  </si>
  <si>
    <t>Closest E12 Value</t>
  </si>
  <si>
    <t>C values up to 10nF</t>
  </si>
  <si>
    <t>Closest E24 Value</t>
  </si>
  <si>
    <t>Closest E48 Value</t>
  </si>
  <si>
    <t>Closest E96 Value</t>
  </si>
  <si>
    <t>E12</t>
  </si>
  <si>
    <t>C values greater than 10nF</t>
  </si>
  <si>
    <t>E24</t>
  </si>
  <si>
    <t>E48</t>
  </si>
  <si>
    <t>Chosen compensation resistor</t>
  </si>
  <si>
    <t>Calculated and nearest STD value compensation capacitor</t>
  </si>
  <si>
    <t>Chosen compensation capacitor</t>
  </si>
  <si>
    <t>Calculated and nearest STD value high frequency roll off cap based on fco_target</t>
  </si>
  <si>
    <t>Calculated and nearest STD value high frequency roll off cap based on ESR zero of output capacitor</t>
  </si>
  <si>
    <t>Input capacitors must be rated to handle RMS current</t>
  </si>
  <si>
    <t>fzesr_mod</t>
  </si>
  <si>
    <t>This worksheet is designed for use with Microsoft Excel 2002 or later.  It is intended to assist circuit designers in their</t>
  </si>
  <si>
    <t>routine, day-to-day calculations.  Additional worksheets may be added as they are completed.</t>
  </si>
  <si>
    <t>Important:  Analysis Toolpak is needed to run small signal worksheet.   Go to Tools&gt;Add-Ins&gt; select Analysis Toolpak</t>
  </si>
  <si>
    <t>Disclaimer:</t>
  </si>
  <si>
    <t>This product is designed as an aid for customers of Texas Instruments.  No warranties, either express</t>
  </si>
  <si>
    <t>or implied, with respect to this software or its fitness for any particular purpose is made by Texas</t>
  </si>
  <si>
    <t>Instruments or the author.  The software is licensed solely on an "as is" basis.  The entire risk as to its</t>
  </si>
  <si>
    <t>quality and performance is with the user.</t>
  </si>
  <si>
    <t>All worksheets contain yellow user-input cells, blue calculated cells, and grey constants cells.</t>
  </si>
  <si>
    <t>Hide Sheet</t>
  </si>
  <si>
    <t>© 2012</t>
  </si>
  <si>
    <t>Schematic and Final Component List</t>
  </si>
  <si>
    <t>Ref. Des.</t>
  </si>
  <si>
    <t>Chosen top resistor in feedback voltage divider</t>
  </si>
  <si>
    <t>Chosen fsw set resistor</t>
  </si>
  <si>
    <t>Load transient output current change (50% Iout default)</t>
  </si>
  <si>
    <t>Load transient output voltage change (4% Vout default)</t>
  </si>
  <si>
    <t>Inductor current ripple fraction (typical values 0.2 to 0.4)</t>
  </si>
  <si>
    <t>Inductor Selection (L)</t>
  </si>
  <si>
    <t>Input Capacitor (CI)</t>
  </si>
  <si>
    <t>Output Capacitor (CO)</t>
  </si>
  <si>
    <t>RCOMP calc</t>
  </si>
  <si>
    <t>CCOMP calc</t>
  </si>
  <si>
    <t>CHF calc</t>
  </si>
  <si>
    <t>CHF calc ESR</t>
  </si>
  <si>
    <t xml:space="preserve">Inductor ripple with selected inductance (Vin_min, Vin_nom, Vin_max) </t>
  </si>
  <si>
    <t>Peak current and +20% for recommended minimum inductor saturation current rating</t>
  </si>
  <si>
    <t>DS Equation #</t>
  </si>
  <si>
    <t>n/a</t>
  </si>
  <si>
    <t>D</t>
  </si>
  <si>
    <t>Values and Minimum Recommended Ratings</t>
  </si>
  <si>
    <t>Minimum Cout for output voltage ripple specification</t>
  </si>
  <si>
    <t>Minimum Cout for load transient output voltage change specification (uses fco_target from compensation section)</t>
  </si>
  <si>
    <t>Output capacitors must be rated to handle RMS current (Vin_min)</t>
  </si>
  <si>
    <t>Pole from Rea and CCOMP</t>
  </si>
  <si>
    <t>Zero from RCOMP and CCOMP</t>
  </si>
  <si>
    <t>Chosen CHF (1E-12 is open)</t>
  </si>
  <si>
    <t>Values from Calculations</t>
  </si>
  <si>
    <t>Calculations for Plotting</t>
  </si>
  <si>
    <r>
      <t>C</t>
    </r>
    <r>
      <rPr>
        <vertAlign val="subscript"/>
        <sz val="12"/>
        <rFont val="Arial"/>
        <family val="2"/>
      </rPr>
      <t>COMP</t>
    </r>
  </si>
  <si>
    <r>
      <t>C</t>
    </r>
    <r>
      <rPr>
        <vertAlign val="subscript"/>
        <sz val="12"/>
        <rFont val="Arial"/>
        <family val="2"/>
      </rPr>
      <t>HF</t>
    </r>
  </si>
  <si>
    <r>
      <t>R</t>
    </r>
    <r>
      <rPr>
        <vertAlign val="subscript"/>
        <sz val="12"/>
        <rFont val="Arial"/>
        <family val="2"/>
      </rPr>
      <t>SH</t>
    </r>
  </si>
  <si>
    <r>
      <t>R</t>
    </r>
    <r>
      <rPr>
        <vertAlign val="subscript"/>
        <sz val="12"/>
        <rFont val="Arial"/>
        <family val="2"/>
      </rPr>
      <t>SL</t>
    </r>
  </si>
  <si>
    <r>
      <t>R</t>
    </r>
    <r>
      <rPr>
        <vertAlign val="subscript"/>
        <sz val="12"/>
        <rFont val="Arial"/>
        <family val="2"/>
      </rPr>
      <t>COMP</t>
    </r>
  </si>
  <si>
    <t>Co</t>
  </si>
  <si>
    <t>kHz</t>
  </si>
  <si>
    <t>Values for Plotting</t>
  </si>
  <si>
    <t>Radians</t>
  </si>
  <si>
    <t>Ccer</t>
  </si>
  <si>
    <t>Rcer</t>
  </si>
  <si>
    <t>M</t>
  </si>
  <si>
    <t>Gain Gvd CCM</t>
  </si>
  <si>
    <t>Phase Gvd CCM</t>
  </si>
  <si>
    <t>Acs</t>
  </si>
  <si>
    <t>Vsl</t>
  </si>
  <si>
    <t>m</t>
  </si>
  <si>
    <t>q0</t>
  </si>
  <si>
    <t>wn</t>
  </si>
  <si>
    <t>Zon(s)</t>
  </si>
  <si>
    <t>Zc(s)</t>
  </si>
  <si>
    <t>Zoff(s)</t>
  </si>
  <si>
    <t>Gvd_CCM(s)</t>
  </si>
  <si>
    <t>He(s)</t>
  </si>
  <si>
    <t>Ti(s)</t>
  </si>
  <si>
    <t>Gid(s)</t>
  </si>
  <si>
    <t>Gvc(s)</t>
  </si>
  <si>
    <t>Gain Gvc CCM</t>
  </si>
  <si>
    <t>Phase Gvc CCM</t>
  </si>
  <si>
    <t>Gea(s)</t>
  </si>
  <si>
    <t>Gain Gea</t>
  </si>
  <si>
    <t>Phase Gea</t>
  </si>
  <si>
    <t>Total Gain</t>
  </si>
  <si>
    <t>Total Phase</t>
  </si>
  <si>
    <t>ABS(Total Phase)</t>
  </si>
  <si>
    <t>ABS(Gvc Phase)</t>
  </si>
  <si>
    <t>Target PM</t>
  </si>
  <si>
    <t>*Data gathered by the Venable 350 System</t>
  </si>
  <si>
    <t>*Frequency (Hz)</t>
  </si>
  <si>
    <t>Gain (dB)</t>
  </si>
  <si>
    <t>Phase (Deg)</t>
  </si>
  <si>
    <t>Gvc</t>
  </si>
  <si>
    <t>Gea</t>
  </si>
  <si>
    <t>Total</t>
  </si>
  <si>
    <t>Type 3</t>
  </si>
  <si>
    <t>Cff</t>
  </si>
  <si>
    <t>Rff</t>
  </si>
  <si>
    <t>Cff calc</t>
  </si>
  <si>
    <t>Rff Calc</t>
  </si>
  <si>
    <t>aol</t>
  </si>
  <si>
    <t>gbw</t>
  </si>
  <si>
    <t>Risense</t>
  </si>
  <si>
    <r>
      <t>C</t>
    </r>
    <r>
      <rPr>
        <vertAlign val="subscript"/>
        <sz val="12"/>
        <color indexed="8"/>
        <rFont val="Arial"/>
        <family val="2"/>
      </rPr>
      <t>I</t>
    </r>
  </si>
  <si>
    <r>
      <t>C</t>
    </r>
    <r>
      <rPr>
        <vertAlign val="subscript"/>
        <sz val="12"/>
        <color indexed="8"/>
        <rFont val="Arial"/>
        <family val="2"/>
      </rPr>
      <t>O</t>
    </r>
  </si>
  <si>
    <r>
      <t>C</t>
    </r>
    <r>
      <rPr>
        <vertAlign val="subscript"/>
        <sz val="12"/>
        <color indexed="8"/>
        <rFont val="Arial"/>
        <family val="2"/>
      </rPr>
      <t>SS</t>
    </r>
  </si>
  <si>
    <r>
      <t>C</t>
    </r>
    <r>
      <rPr>
        <vertAlign val="subscript"/>
        <sz val="12"/>
        <color indexed="8"/>
        <rFont val="Arial"/>
        <family val="2"/>
      </rPr>
      <t>HF</t>
    </r>
  </si>
  <si>
    <r>
      <t>R</t>
    </r>
    <r>
      <rPr>
        <vertAlign val="subscript"/>
        <sz val="12"/>
        <color indexed="8"/>
        <rFont val="Arial"/>
        <family val="2"/>
      </rPr>
      <t>SH</t>
    </r>
  </si>
  <si>
    <r>
      <t>R</t>
    </r>
    <r>
      <rPr>
        <vertAlign val="subscript"/>
        <sz val="12"/>
        <color indexed="8"/>
        <rFont val="Arial"/>
        <family val="2"/>
      </rPr>
      <t>SL</t>
    </r>
  </si>
  <si>
    <t>Vin nom</t>
  </si>
  <si>
    <t>Vin min</t>
  </si>
  <si>
    <t>Vin max</t>
  </si>
  <si>
    <t>Minimum off time</t>
  </si>
  <si>
    <t>Dnom</t>
  </si>
  <si>
    <t>Duty cycle at nominal input voltage</t>
  </si>
  <si>
    <t>Duty cycle at minimum input voltage</t>
  </si>
  <si>
    <t>Duty cycle at maximum input voltage</t>
  </si>
  <si>
    <t>Dmax off time, Dmin on time</t>
  </si>
  <si>
    <t>Vcs min</t>
  </si>
  <si>
    <t>Rsense max</t>
  </si>
  <si>
    <t>P Rsense</t>
  </si>
  <si>
    <t>Iripple</t>
  </si>
  <si>
    <t>IL rms</t>
  </si>
  <si>
    <t>IL peak, Isat</t>
  </si>
  <si>
    <t>PL cond</t>
  </si>
  <si>
    <t>Minimum power rating for current sense resistor in normal operating conditions</t>
  </si>
  <si>
    <t>Selected sense resistor</t>
  </si>
  <si>
    <t>Cout min ripple</t>
  </si>
  <si>
    <t>Cout min transient</t>
  </si>
  <si>
    <t>Cout ESR max</t>
  </si>
  <si>
    <t>Estimated maximum Cout ESR to meet ripple specification</t>
  </si>
  <si>
    <t>Viripple</t>
  </si>
  <si>
    <t>Rdson hs</t>
  </si>
  <si>
    <t>Qg ls</t>
  </si>
  <si>
    <t>Rdson ls</t>
  </si>
  <si>
    <t>Phs cond</t>
  </si>
  <si>
    <t>Pls sw</t>
  </si>
  <si>
    <t>Pls cond</t>
  </si>
  <si>
    <t>Qg hs</t>
  </si>
  <si>
    <t>C</t>
  </si>
  <si>
    <t>Rg ls</t>
  </si>
  <si>
    <t>Rgd ls</t>
  </si>
  <si>
    <t>Idrive</t>
  </si>
  <si>
    <t>Vfboot</t>
  </si>
  <si>
    <t>Rg hs</t>
  </si>
  <si>
    <t>Forward voltage of internal or external boot diode</t>
  </si>
  <si>
    <t>Minimum Cin for input voltage ripple specification</t>
  </si>
  <si>
    <t>Rgd hs</t>
  </si>
  <si>
    <t>Vcc</t>
  </si>
  <si>
    <t>Vf body</t>
  </si>
  <si>
    <t>Phs dt</t>
  </si>
  <si>
    <t>tonmin</t>
  </si>
  <si>
    <t>toffmin</t>
  </si>
  <si>
    <t>PIC Iq</t>
  </si>
  <si>
    <t>Forward voltage of body diode</t>
  </si>
  <si>
    <t>Ven on</t>
  </si>
  <si>
    <t>Ien pup</t>
  </si>
  <si>
    <t>Ien hys</t>
  </si>
  <si>
    <t>Ven dis</t>
  </si>
  <si>
    <t>Iq</t>
  </si>
  <si>
    <t>DC Gain</t>
  </si>
  <si>
    <t>PIC gate drive</t>
  </si>
  <si>
    <t>tss</t>
  </si>
  <si>
    <t>Soft-start time</t>
  </si>
  <si>
    <t>Iss</t>
  </si>
  <si>
    <t>Current sense threshold max duty cycle</t>
  </si>
  <si>
    <t>Current sense threshold 0% to 40% duty cycle</t>
  </si>
  <si>
    <t>Internal regulator voltage</t>
  </si>
  <si>
    <t>Internal boot diode forward voltage</t>
  </si>
  <si>
    <t>EN rising threshold</t>
  </si>
  <si>
    <t>EN falling threshold</t>
  </si>
  <si>
    <t>EN pull up current source</t>
  </si>
  <si>
    <t>EN hysteresis current source</t>
  </si>
  <si>
    <t>Operationg non switching quiescent current</t>
  </si>
  <si>
    <t>Soft-start current source</t>
  </si>
  <si>
    <t>fco1</t>
  </si>
  <si>
    <t>fco2</t>
  </si>
  <si>
    <t>Modelled power stage gain at targeted fco</t>
  </si>
  <si>
    <t>Input power stage gain at targeted fco to calculate compensation components</t>
  </si>
  <si>
    <t>Pole from RCOMP and CHF</t>
  </si>
  <si>
    <t>Css calc</t>
  </si>
  <si>
    <t>Calculated and nearest standard value soft-start capacitor</t>
  </si>
  <si>
    <t>Chosen soft-start capacitor</t>
  </si>
  <si>
    <t>Calculated and nearest 1% STD value fsw set resistor</t>
  </si>
  <si>
    <t>Calculated and nearest 1% STD value top resistor for feedback voltage divider</t>
  </si>
  <si>
    <t>Bottom resistor for feedback voltage divider</t>
  </si>
  <si>
    <t>Calculated and nearest 1% STD value top resistor for UVLO divider</t>
  </si>
  <si>
    <t>Chosen top UVLO resistor</t>
  </si>
  <si>
    <t>Chosen bottom UVLO resistor</t>
  </si>
  <si>
    <t>Calculated and nearest 1% STD value bottom resistor for UVLO divider</t>
  </si>
  <si>
    <t>Co ESR</t>
  </si>
  <si>
    <t>Loop Response Results</t>
  </si>
  <si>
    <t>LDRV pull-up resistance</t>
  </si>
  <si>
    <t>Rldrv pd</t>
  </si>
  <si>
    <t>Rldrv pu</t>
  </si>
  <si>
    <t>Rhdrv pu</t>
  </si>
  <si>
    <t>Rhdrv pd</t>
  </si>
  <si>
    <t>LDRV pull-down resistance</t>
  </si>
  <si>
    <t>HDRV pull-up resistance</t>
  </si>
  <si>
    <t>HDRV pull-down resistance</t>
  </si>
  <si>
    <t>Recommended maximum target crossover frequency (frhpz)</t>
  </si>
  <si>
    <t>RCOMP</t>
  </si>
  <si>
    <t>CCOMP</t>
  </si>
  <si>
    <t>CHF</t>
  </si>
  <si>
    <t>TPS4306x Boost Equation Set from Datasheet</t>
  </si>
  <si>
    <t>Gate charge of selected FET</t>
  </si>
  <si>
    <t>Rdson of selected FET</t>
  </si>
  <si>
    <t>Gate resistance of selected FET</t>
  </si>
  <si>
    <t>Nominal input voltage</t>
  </si>
  <si>
    <t>Minimum input voltage</t>
  </si>
  <si>
    <t>Maximum input voltage</t>
  </si>
  <si>
    <t>LDRV series resistance</t>
  </si>
  <si>
    <t>HDRV series resistance</t>
  </si>
  <si>
    <t>Quiescent current power loss in IC</t>
  </si>
  <si>
    <t>Calculated turn off voltage with selected resistors</t>
  </si>
  <si>
    <t>Calculated turn on voltage with selected resistors</t>
  </si>
  <si>
    <t>DC gain of power stage</t>
  </si>
  <si>
    <t>ESR zero of output capacitor</t>
  </si>
  <si>
    <t>TPS43060</t>
  </si>
  <si>
    <t>TPS43061</t>
  </si>
  <si>
    <t>Part #</t>
  </si>
  <si>
    <t>Dmax</t>
  </si>
  <si>
    <t>Dmin</t>
  </si>
  <si>
    <t>Cboot</t>
  </si>
  <si>
    <t>Minimum bootstrap capacitor</t>
  </si>
  <si>
    <t>L min1</t>
  </si>
  <si>
    <t>L min2</t>
  </si>
  <si>
    <t>L min3</t>
  </si>
  <si>
    <t>Inductor current ripple target based on Kind and average current with minimum input voltage</t>
  </si>
  <si>
    <t>Vth</t>
  </si>
  <si>
    <t>Threshold Voltage</t>
  </si>
  <si>
    <t>Iripple target</t>
  </si>
  <si>
    <t>See Small Signal sheet for gain and phase graphs</t>
  </si>
  <si>
    <t>TPS4306x Boost Design Calculator</t>
  </si>
  <si>
    <t>Estimated gate drive power loss in IC including gate drive series resistance and gate resistance of FETs</t>
  </si>
  <si>
    <t>Estimated total gate drive power loss (not including gate resistance of FETs or external series gate drive resistance)</t>
  </si>
  <si>
    <t>Iin max</t>
  </si>
  <si>
    <t>trise, tfall</t>
  </si>
  <si>
    <t>Coss</t>
  </si>
  <si>
    <t>Qgd</t>
  </si>
  <si>
    <t>Select Device</t>
  </si>
  <si>
    <t>Time delay between DRV signals</t>
  </si>
  <si>
    <t>tnonoverlap</t>
  </si>
  <si>
    <t>Ilim typ</t>
  </si>
  <si>
    <t>Typical current limit with selected sense resistor</t>
  </si>
  <si>
    <t>Iout max</t>
  </si>
  <si>
    <t>*05:53PM Monday, October 01, 2012</t>
  </si>
  <si>
    <t>Ilim min</t>
  </si>
  <si>
    <t>*Data gathered by the 3120 System</t>
  </si>
  <si>
    <t>*09:58PM Tuesday, October 02, 2012</t>
  </si>
  <si>
    <t>*10:55AM Wednesday, October 03, 2012</t>
  </si>
  <si>
    <t>Minimum current limit with selected sense resistor</t>
  </si>
  <si>
    <t>Estimated Efficiency</t>
  </si>
  <si>
    <t>fsw max</t>
  </si>
  <si>
    <t>Ptot ls</t>
  </si>
  <si>
    <t>Ptot hs</t>
  </si>
  <si>
    <t>Vcs typ</t>
  </si>
  <si>
    <t>Ipsm</t>
  </si>
  <si>
    <t>Recommended maximum target crossover frequency (fsw)</t>
  </si>
  <si>
    <t>The calculator provides the small signal gain and phase for the final design. The small signal model currently supports CCM only.</t>
  </si>
  <si>
    <t>Vcsmax (0% duty cycle)</t>
  </si>
  <si>
    <t>Vcsmax (max duty cycle)</t>
  </si>
  <si>
    <t>Maximum average input current (assumes 100% efficiency)</t>
  </si>
  <si>
    <t>12,13</t>
  </si>
  <si>
    <t>Estimated critical output current to remain in CCM (Vin_min, Vin_nom, Vin_max)</t>
  </si>
  <si>
    <t>Estimated output current when pulse skipping begins (Vin_min, Vin_nom, Vin_max)</t>
  </si>
  <si>
    <t>Full load conduction losses in inductor (Vin_min, Vin_nom, Vin_max)</t>
  </si>
  <si>
    <t>This tool supports the TPS4306x datasheet (SLVSBP4)</t>
  </si>
  <si>
    <t>Typical over-current current sense voltage based on Figure 19 in datasheet</t>
  </si>
  <si>
    <t>Minimum over-current current sense voltage (10 mV below typical)</t>
  </si>
  <si>
    <t>Maximum output current with typical over-current sense voltage</t>
  </si>
  <si>
    <t>Maximum output current using minimum over-current sense voltage</t>
  </si>
  <si>
    <t>Maximum current sense resistor using Vcs min and 20% tolerance to account for efficiency and transients</t>
  </si>
  <si>
    <t>Output Capacitance</t>
  </si>
  <si>
    <t>Gate to dran charge</t>
  </si>
  <si>
    <t>Estimated switching losses</t>
  </si>
  <si>
    <t>Selected bootstrap capacitor</t>
  </si>
  <si>
    <t>Estimated full load conduction losses in FET (Vin_min)</t>
  </si>
  <si>
    <t>Estimated losses in low-side FET (Vin_min)</t>
  </si>
  <si>
    <t>Estimated max load conduction losses in FET (Vin_min)</t>
  </si>
  <si>
    <t>Estimated max load dead time losses in FET (Vin_min)</t>
  </si>
  <si>
    <t>Estimated losses in high-side FET (Vin_min)</t>
  </si>
  <si>
    <t>PIC VCC</t>
  </si>
  <si>
    <t>Estimated power loss in internal VCC regulator</t>
  </si>
  <si>
    <t>Selected FET</t>
  </si>
  <si>
    <t>Selected Dboot</t>
  </si>
  <si>
    <t>RHS calc</t>
  </si>
  <si>
    <t>RHS chosen</t>
  </si>
  <si>
    <t>Vstart</t>
  </si>
  <si>
    <t>Vstop</t>
  </si>
  <si>
    <t>fco_target</t>
  </si>
  <si>
    <t>Calculated and nearest 1% STD value compensation resistor based on estimation in data sheet</t>
  </si>
  <si>
    <t>Calculated and nearest 1% STD value compensation resistor based on small signal model in excel</t>
  </si>
  <si>
    <r>
      <t>R</t>
    </r>
    <r>
      <rPr>
        <vertAlign val="subscript"/>
        <sz val="12"/>
        <color indexed="8"/>
        <rFont val="Arial"/>
        <family val="2"/>
      </rPr>
      <t>T</t>
    </r>
  </si>
  <si>
    <r>
      <t>R</t>
    </r>
    <r>
      <rPr>
        <vertAlign val="subscript"/>
        <sz val="12"/>
        <color indexed="8"/>
        <rFont val="Arial"/>
        <family val="2"/>
      </rPr>
      <t>SENSE</t>
    </r>
  </si>
  <si>
    <r>
      <t>C</t>
    </r>
    <r>
      <rPr>
        <vertAlign val="subscript"/>
        <sz val="12"/>
        <color indexed="8"/>
        <rFont val="Arial"/>
        <family val="2"/>
      </rPr>
      <t>C</t>
    </r>
  </si>
  <si>
    <r>
      <t>R</t>
    </r>
    <r>
      <rPr>
        <vertAlign val="subscript"/>
        <sz val="12"/>
        <color indexed="8"/>
        <rFont val="Arial"/>
        <family val="2"/>
      </rPr>
      <t>C</t>
    </r>
  </si>
  <si>
    <t>3.6V</t>
  </si>
  <si>
    <t>CVcc</t>
  </si>
  <si>
    <r>
      <t>C</t>
    </r>
    <r>
      <rPr>
        <vertAlign val="subscript"/>
        <sz val="12"/>
        <color indexed="8"/>
        <rFont val="Arial"/>
        <family val="2"/>
      </rPr>
      <t>BOOT</t>
    </r>
  </si>
  <si>
    <r>
      <t>C</t>
    </r>
    <r>
      <rPr>
        <vertAlign val="subscript"/>
        <sz val="12"/>
        <color indexed="8"/>
        <rFont val="Arial"/>
        <family val="2"/>
      </rPr>
      <t>VCC</t>
    </r>
  </si>
  <si>
    <r>
      <t>Q</t>
    </r>
    <r>
      <rPr>
        <vertAlign val="subscript"/>
        <sz val="12"/>
        <color indexed="8"/>
        <rFont val="Arial"/>
        <family val="2"/>
      </rPr>
      <t>H</t>
    </r>
  </si>
  <si>
    <r>
      <t>Q</t>
    </r>
    <r>
      <rPr>
        <vertAlign val="subscript"/>
        <sz val="12"/>
        <color indexed="8"/>
        <rFont val="Arial"/>
        <family val="2"/>
      </rPr>
      <t>L</t>
    </r>
  </si>
  <si>
    <r>
      <t>D</t>
    </r>
    <r>
      <rPr>
        <vertAlign val="subscript"/>
        <sz val="12"/>
        <color indexed="8"/>
        <rFont val="Arial"/>
        <family val="2"/>
      </rPr>
      <t>BOOT</t>
    </r>
  </si>
  <si>
    <t>Input part number for selected low-side FET</t>
  </si>
  <si>
    <t>Input part number for selected high-side FET</t>
  </si>
  <si>
    <t>Total required gate drive current (must be less than 50mA Vcc minimum current limit)</t>
  </si>
  <si>
    <t>Input part number for selected external boot diode (TPS43060 only)</t>
  </si>
  <si>
    <t>EVM Ref. Des.</t>
  </si>
  <si>
    <t>C9</t>
  </si>
  <si>
    <t>C7</t>
  </si>
  <si>
    <t>C8</t>
  </si>
  <si>
    <t>C1</t>
  </si>
  <si>
    <t>C6</t>
  </si>
  <si>
    <t>D1</t>
  </si>
  <si>
    <t>L1</t>
  </si>
  <si>
    <t>Q1</t>
  </si>
  <si>
    <t>C13-C15 (C16)</t>
  </si>
  <si>
    <t>C2-C5, C16 (C17)</t>
  </si>
  <si>
    <t>Q1 (Q2)</t>
  </si>
  <si>
    <t>R16-R17 (R18)</t>
  </si>
  <si>
    <t>R7</t>
  </si>
  <si>
    <t>R5</t>
  </si>
  <si>
    <t>R8</t>
  </si>
  <si>
    <t>R9</t>
  </si>
  <si>
    <t>Low-side Boost FET (QL)</t>
  </si>
  <si>
    <t>Sense Resistor (RSENSE)</t>
  </si>
  <si>
    <t>High-side Synchronous FET (QH, CBOOT)</t>
  </si>
  <si>
    <t>IC (CVCC, DBOOT)</t>
  </si>
  <si>
    <t>Output Voltage (RSL, RSH)</t>
  </si>
  <si>
    <t>Soft-start (CSS)</t>
  </si>
  <si>
    <t>Adjustable UVLO (RUVLO_H, RUVLO_L)</t>
  </si>
  <si>
    <t>Compensation (RC, CC, CHF)</t>
  </si>
  <si>
    <r>
      <t>R</t>
    </r>
    <r>
      <rPr>
        <vertAlign val="subscript"/>
        <sz val="12"/>
        <color indexed="8"/>
        <rFont val="Arial"/>
        <family val="2"/>
      </rPr>
      <t>UVLOH</t>
    </r>
  </si>
  <si>
    <r>
      <t>R</t>
    </r>
    <r>
      <rPr>
        <vertAlign val="subscript"/>
        <sz val="12"/>
        <color indexed="8"/>
        <rFont val="Arial"/>
        <family val="2"/>
      </rPr>
      <t>UVLOL</t>
    </r>
  </si>
  <si>
    <t>Ruvloh calc</t>
  </si>
  <si>
    <t>Ruvlol calc</t>
  </si>
  <si>
    <t xml:space="preserve">     Value</t>
  </si>
  <si>
    <t>Devices Supported</t>
  </si>
  <si>
    <t>Constants</t>
  </si>
  <si>
    <t>V p-p</t>
  </si>
  <si>
    <t xml:space="preserve">  Description/Comments</t>
  </si>
  <si>
    <t>Output voltage ripple (1% Vout)</t>
  </si>
  <si>
    <t>Effective Cin min</t>
  </si>
  <si>
    <t>Chosen Cin</t>
  </si>
  <si>
    <t>Maximum Average Output current</t>
  </si>
  <si>
    <t>Optional adjustable UVLO turn on voltage</t>
  </si>
  <si>
    <t>Optional adjustable UVLO turn off voltage</t>
  </si>
  <si>
    <t>Input voltage ripple (1% Vin nom)</t>
  </si>
  <si>
    <t>Output capacitance selected (remember to include derating for ceramics)</t>
  </si>
  <si>
    <t>Input capacitance selected (remember to include derating for ceramics)</t>
  </si>
  <si>
    <t>Estimated duty cycle limits based on minimum on time and off time (assumes 100% efficiency)</t>
  </si>
  <si>
    <t>Minimum and maximum switching frequency based on duty cycle estimations</t>
  </si>
  <si>
    <t>RT calc</t>
  </si>
  <si>
    <t>RT chosen</t>
  </si>
  <si>
    <t>L chosen</t>
  </si>
  <si>
    <t>DC resistance (DCR) of selected inductor</t>
  </si>
  <si>
    <t>Selected inductance</t>
  </si>
  <si>
    <t>Rsense chosen</t>
  </si>
  <si>
    <t>Cout chosen</t>
  </si>
  <si>
    <t>ESR chosen</t>
  </si>
  <si>
    <t>ESR selected (if mixed output capacitors are used, use equivalent ESR of the non ceramic capacitors)</t>
  </si>
  <si>
    <t>Average gate drive current required</t>
  </si>
  <si>
    <t>Input selected VCC capacitor (0.47 µF to 10 µF recommended)</t>
  </si>
  <si>
    <t>RLS chosen</t>
  </si>
  <si>
    <t>Css chosen</t>
  </si>
  <si>
    <t>Ruvloh chosen</t>
  </si>
  <si>
    <t>Ruvlol chosen</t>
  </si>
  <si>
    <t>Power Good Resistor (RPG)</t>
  </si>
  <si>
    <t>RPG chosen</t>
  </si>
  <si>
    <t>Input selected value for optional power good pull up resistor (between 10k and 100k recommended)</t>
  </si>
  <si>
    <r>
      <t>R</t>
    </r>
    <r>
      <rPr>
        <vertAlign val="subscript"/>
        <sz val="12"/>
        <color indexed="8"/>
        <rFont val="Arial"/>
        <family val="2"/>
      </rPr>
      <t>PG</t>
    </r>
  </si>
  <si>
    <t>R1</t>
  </si>
  <si>
    <t xml:space="preserve">Minimum inductance calculated based on Iripple target (Vin_max) </t>
  </si>
  <si>
    <t xml:space="preserve">Minimum inductance calculated based on Iripple target (Vin_min) </t>
  </si>
  <si>
    <t xml:space="preserve">Minimum inductance calculated based on Iripple target (50% duty cycle) </t>
  </si>
  <si>
    <t>The calculator includes boost power stage design in CCM using the TPS43061EVM-198 design requirements as the original input.</t>
  </si>
  <si>
    <t>Leave the password blank to unlock the individual sheets or workbook.</t>
  </si>
  <si>
    <t>TPS4306x Boost Design Calculator Tool - Rev. B</t>
  </si>
  <si>
    <t>Rev. B</t>
  </si>
  <si>
    <t>Revision notes</t>
  </si>
  <si>
    <t>fixed typos in equations on the Boost Calculations tab in row 68, 69 and 74</t>
  </si>
  <si>
    <t>BSC059N04LS6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</si>
</sst>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#0.00E+0"/>
    <numFmt numFmtId="167" formatCode="0.000000"/>
    <numFmt numFmtId="168" formatCode="##0E+0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10"/>
      <color indexed="22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vertAlign val="subscript"/>
      <sz val="12"/>
      <name val="Arial"/>
      <family val="2"/>
    </font>
    <font>
      <vertAlign val="subscript"/>
      <sz val="12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9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9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79">
    <xf numFmtId="0" fontId="0" fillId="0" borderId="0" xfId="0"/>
    <xf numFmtId="0" fontId="0" fillId="2" borderId="0" xfId="0" applyFill="1"/>
    <xf numFmtId="0" fontId="6" fillId="2" borderId="0" xfId="3" applyFont="1" applyFill="1" applyProtection="1">
      <protection hidden="1"/>
    </xf>
    <xf numFmtId="0" fontId="1" fillId="2" borderId="0" xfId="3" applyFill="1" applyProtection="1">
      <protection hidden="1"/>
    </xf>
    <xf numFmtId="0" fontId="7" fillId="2" borderId="0" xfId="3" applyFont="1" applyFill="1" applyProtection="1">
      <protection hidden="1"/>
    </xf>
    <xf numFmtId="49" fontId="1" fillId="2" borderId="0" xfId="3" applyNumberFormat="1" applyFill="1" applyProtection="1">
      <protection hidden="1"/>
    </xf>
    <xf numFmtId="0" fontId="1" fillId="2" borderId="1" xfId="3" applyFill="1" applyBorder="1" applyProtection="1">
      <protection hidden="1"/>
    </xf>
    <xf numFmtId="0" fontId="9" fillId="3" borderId="2" xfId="3" applyFont="1" applyFill="1" applyBorder="1" applyProtection="1">
      <protection hidden="1"/>
    </xf>
    <xf numFmtId="1" fontId="8" fillId="2" borderId="0" xfId="3" applyNumberFormat="1" applyFont="1" applyFill="1" applyProtection="1">
      <protection hidden="1"/>
    </xf>
    <xf numFmtId="0" fontId="11" fillId="4" borderId="3" xfId="3" applyFont="1" applyFill="1" applyBorder="1" applyProtection="1">
      <protection hidden="1"/>
    </xf>
    <xf numFmtId="0" fontId="8" fillId="2" borderId="0" xfId="3" applyFont="1" applyFill="1" applyProtection="1">
      <protection hidden="1"/>
    </xf>
    <xf numFmtId="0" fontId="10" fillId="5" borderId="4" xfId="3" applyFont="1" applyFill="1" applyBorder="1" applyAlignment="1">
      <alignment horizontal="center" wrapText="1"/>
    </xf>
    <xf numFmtId="0" fontId="10" fillId="5" borderId="5" xfId="3" applyFont="1" applyFill="1" applyBorder="1" applyAlignment="1">
      <alignment horizontal="center" wrapText="1"/>
    </xf>
    <xf numFmtId="0" fontId="10" fillId="6" borderId="4" xfId="3" applyFont="1" applyFill="1" applyBorder="1" applyAlignment="1">
      <alignment horizontal="center" wrapText="1"/>
    </xf>
    <xf numFmtId="0" fontId="10" fillId="6" borderId="6" xfId="3" applyFont="1" applyFill="1" applyBorder="1" applyAlignment="1">
      <alignment horizontal="center" wrapText="1"/>
    </xf>
    <xf numFmtId="0" fontId="9" fillId="3" borderId="7" xfId="3" applyFont="1" applyFill="1" applyBorder="1" applyProtection="1">
      <protection hidden="1"/>
    </xf>
    <xf numFmtId="0" fontId="1" fillId="2" borderId="8" xfId="3" applyFill="1" applyBorder="1" applyProtection="1">
      <protection hidden="1"/>
    </xf>
    <xf numFmtId="0" fontId="11" fillId="4" borderId="9" xfId="3" applyFont="1" applyFill="1" applyBorder="1" applyProtection="1">
      <protection hidden="1"/>
    </xf>
    <xf numFmtId="1" fontId="12" fillId="2" borderId="0" xfId="3" applyNumberFormat="1" applyFont="1" applyFill="1" applyProtection="1">
      <protection hidden="1"/>
    </xf>
    <xf numFmtId="165" fontId="13" fillId="2" borderId="0" xfId="3" applyNumberFormat="1" applyFont="1" applyFill="1" applyAlignment="1" applyProtection="1">
      <alignment horizontal="center"/>
      <protection hidden="1"/>
    </xf>
    <xf numFmtId="2" fontId="12" fillId="2" borderId="0" xfId="3" applyNumberFormat="1" applyFont="1" applyFill="1" applyAlignment="1" applyProtection="1">
      <alignment horizontal="center"/>
      <protection hidden="1"/>
    </xf>
    <xf numFmtId="0" fontId="1" fillId="2" borderId="10" xfId="3" applyFill="1" applyBorder="1" applyProtection="1">
      <protection hidden="1"/>
    </xf>
    <xf numFmtId="0" fontId="11" fillId="4" borderId="11" xfId="3" applyFont="1" applyFill="1" applyBorder="1" applyProtection="1">
      <protection hidden="1"/>
    </xf>
    <xf numFmtId="0" fontId="14" fillId="2" borderId="0" xfId="3" applyFont="1" applyFill="1" applyProtection="1">
      <protection hidden="1"/>
    </xf>
    <xf numFmtId="0" fontId="15" fillId="2" borderId="0" xfId="3" applyFont="1" applyFill="1" applyAlignment="1" applyProtection="1">
      <alignment horizontal="center" wrapText="1"/>
      <protection hidden="1"/>
    </xf>
    <xf numFmtId="2" fontId="1" fillId="2" borderId="0" xfId="3" applyNumberFormat="1" applyFill="1" applyAlignment="1" applyProtection="1">
      <alignment horizontal="center"/>
      <protection hidden="1"/>
    </xf>
    <xf numFmtId="1" fontId="1" fillId="2" borderId="0" xfId="3" applyNumberFormat="1" applyFill="1"/>
    <xf numFmtId="0" fontId="1" fillId="2" borderId="12" xfId="3" applyFill="1" applyBorder="1" applyProtection="1">
      <protection hidden="1"/>
    </xf>
    <xf numFmtId="0" fontId="11" fillId="4" borderId="13" xfId="3" applyFont="1" applyFill="1" applyBorder="1" applyProtection="1">
      <protection hidden="1"/>
    </xf>
    <xf numFmtId="0" fontId="10" fillId="7" borderId="14" xfId="3" applyFont="1" applyFill="1" applyBorder="1" applyAlignment="1">
      <alignment horizontal="center" wrapText="1"/>
    </xf>
    <xf numFmtId="0" fontId="10" fillId="7" borderId="4" xfId="3" applyFont="1" applyFill="1" applyBorder="1" applyAlignment="1">
      <alignment horizontal="center" wrapText="1"/>
    </xf>
    <xf numFmtId="0" fontId="10" fillId="7" borderId="5" xfId="3" applyFont="1" applyFill="1" applyBorder="1" applyAlignment="1">
      <alignment horizontal="center" wrapText="1"/>
    </xf>
    <xf numFmtId="0" fontId="1" fillId="2" borderId="0" xfId="3" applyFill="1" applyAlignment="1" applyProtection="1">
      <alignment horizontal="center"/>
      <protection hidden="1"/>
    </xf>
    <xf numFmtId="0" fontId="1" fillId="2" borderId="0" xfId="3" applyFill="1" applyAlignment="1">
      <alignment wrapText="1"/>
    </xf>
    <xf numFmtId="0" fontId="1" fillId="2" borderId="0" xfId="3" applyFill="1" applyAlignment="1">
      <alignment horizontal="center"/>
    </xf>
    <xf numFmtId="0" fontId="11" fillId="2" borderId="0" xfId="3" applyFont="1" applyFill="1" applyProtection="1">
      <protection hidden="1"/>
    </xf>
    <xf numFmtId="0" fontId="1" fillId="2" borderId="0" xfId="3" applyFill="1"/>
    <xf numFmtId="49" fontId="16" fillId="4" borderId="4" xfId="3" applyNumberFormat="1" applyFont="1" applyFill="1" applyBorder="1" applyAlignment="1">
      <alignment horizontal="center" wrapText="1"/>
    </xf>
    <xf numFmtId="49" fontId="16" fillId="4" borderId="5" xfId="3" applyNumberFormat="1" applyFont="1" applyFill="1" applyBorder="1" applyAlignment="1">
      <alignment horizontal="center" wrapText="1"/>
    </xf>
    <xf numFmtId="0" fontId="17" fillId="2" borderId="0" xfId="3" applyFont="1" applyFill="1"/>
    <xf numFmtId="49" fontId="1" fillId="2" borderId="0" xfId="3" applyNumberFormat="1" applyFill="1"/>
    <xf numFmtId="49" fontId="16" fillId="4" borderId="6" xfId="3" applyNumberFormat="1" applyFont="1" applyFill="1" applyBorder="1" applyAlignment="1">
      <alignment horizontal="center" wrapText="1"/>
    </xf>
    <xf numFmtId="49" fontId="12" fillId="2" borderId="0" xfId="3" applyNumberFormat="1" applyFont="1" applyFill="1" applyProtection="1">
      <protection hidden="1"/>
    </xf>
    <xf numFmtId="0" fontId="12" fillId="2" borderId="0" xfId="3" applyFont="1" applyFill="1" applyProtection="1"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2" fillId="2" borderId="0" xfId="3" applyFont="1" applyFill="1"/>
    <xf numFmtId="48" fontId="9" fillId="3" borderId="15" xfId="3" applyNumberFormat="1" applyFont="1" applyFill="1" applyBorder="1" applyAlignment="1" applyProtection="1">
      <alignment horizontal="center"/>
      <protection hidden="1"/>
    </xf>
    <xf numFmtId="48" fontId="11" fillId="4" borderId="16" xfId="3" applyNumberFormat="1" applyFont="1" applyFill="1" applyBorder="1" applyAlignment="1" applyProtection="1">
      <alignment horizontal="center"/>
      <protection hidden="1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0" xfId="0" applyFill="1"/>
    <xf numFmtId="0" fontId="0" fillId="8" borderId="21" xfId="0" applyFill="1" applyBorder="1"/>
    <xf numFmtId="0" fontId="18" fillId="8" borderId="20" xfId="0" applyFont="1" applyFill="1" applyBorder="1"/>
    <xf numFmtId="0" fontId="18" fillId="8" borderId="0" xfId="0" applyFont="1" applyFill="1"/>
    <xf numFmtId="0" fontId="18" fillId="8" borderId="21" xfId="0" applyFont="1" applyFill="1" applyBorder="1"/>
    <xf numFmtId="0" fontId="19" fillId="8" borderId="20" xfId="0" applyFont="1" applyFill="1" applyBorder="1"/>
    <xf numFmtId="0" fontId="19" fillId="8" borderId="0" xfId="0" applyFont="1" applyFill="1"/>
    <xf numFmtId="0" fontId="19" fillId="8" borderId="21" xfId="0" applyFont="1" applyFill="1" applyBorder="1"/>
    <xf numFmtId="0" fontId="1" fillId="8" borderId="0" xfId="0" applyFont="1" applyFill="1"/>
    <xf numFmtId="0" fontId="0" fillId="9" borderId="0" xfId="0" applyFill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5" fillId="8" borderId="0" xfId="0" applyFont="1" applyFill="1"/>
    <xf numFmtId="0" fontId="0" fillId="8" borderId="26" xfId="0" applyFill="1" applyBorder="1"/>
    <xf numFmtId="0" fontId="0" fillId="8" borderId="15" xfId="0" applyFill="1" applyBorder="1"/>
    <xf numFmtId="0" fontId="0" fillId="8" borderId="27" xfId="0" applyFill="1" applyBorder="1"/>
    <xf numFmtId="0" fontId="0" fillId="8" borderId="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30" fillId="0" borderId="0" xfId="0" applyFont="1"/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49" fontId="30" fillId="0" borderId="0" xfId="0" applyNumberFormat="1" applyFont="1"/>
    <xf numFmtId="0" fontId="30" fillId="0" borderId="0" xfId="0" applyFont="1" applyAlignment="1">
      <alignment horizontal="right"/>
    </xf>
    <xf numFmtId="0" fontId="32" fillId="0" borderId="0" xfId="0" applyFont="1"/>
    <xf numFmtId="166" fontId="30" fillId="10" borderId="31" xfId="0" applyNumberFormat="1" applyFont="1" applyFill="1" applyBorder="1"/>
    <xf numFmtId="166" fontId="30" fillId="11" borderId="31" xfId="0" applyNumberFormat="1" applyFont="1" applyFill="1" applyBorder="1"/>
    <xf numFmtId="48" fontId="30" fillId="11" borderId="31" xfId="0" applyNumberFormat="1" applyFont="1" applyFill="1" applyBorder="1"/>
    <xf numFmtId="165" fontId="30" fillId="11" borderId="31" xfId="0" applyNumberFormat="1" applyFont="1" applyFill="1" applyBorder="1"/>
    <xf numFmtId="0" fontId="30" fillId="10" borderId="31" xfId="0" applyFont="1" applyFill="1" applyBorder="1" applyProtection="1">
      <protection locked="0"/>
    </xf>
    <xf numFmtId="164" fontId="30" fillId="10" borderId="31" xfId="0" applyNumberFormat="1" applyFont="1" applyFill="1" applyBorder="1" applyProtection="1">
      <protection locked="0"/>
    </xf>
    <xf numFmtId="1" fontId="30" fillId="10" borderId="31" xfId="0" applyNumberFormat="1" applyFont="1" applyFill="1" applyBorder="1" applyProtection="1">
      <protection locked="0"/>
    </xf>
    <xf numFmtId="165" fontId="30" fillId="10" borderId="31" xfId="0" applyNumberFormat="1" applyFont="1" applyFill="1" applyBorder="1" applyProtection="1">
      <protection locked="0"/>
    </xf>
    <xf numFmtId="0" fontId="31" fillId="12" borderId="31" xfId="0" applyFont="1" applyFill="1" applyBorder="1"/>
    <xf numFmtId="48" fontId="31" fillId="12" borderId="31" xfId="0" applyNumberFormat="1" applyFont="1" applyFill="1" applyBorder="1"/>
    <xf numFmtId="168" fontId="31" fillId="12" borderId="31" xfId="0" applyNumberFormat="1" applyFont="1" applyFill="1" applyBorder="1"/>
    <xf numFmtId="165" fontId="31" fillId="12" borderId="31" xfId="0" applyNumberFormat="1" applyFont="1" applyFill="1" applyBorder="1"/>
    <xf numFmtId="9" fontId="30" fillId="11" borderId="31" xfId="5" applyFont="1" applyFill="1" applyBorder="1" applyProtection="1"/>
    <xf numFmtId="48" fontId="30" fillId="10" borderId="31" xfId="0" applyNumberFormat="1" applyFont="1" applyFill="1" applyBorder="1" applyProtection="1">
      <protection locked="0"/>
    </xf>
    <xf numFmtId="0" fontId="30" fillId="11" borderId="31" xfId="3" applyFont="1" applyFill="1" applyBorder="1"/>
    <xf numFmtId="48" fontId="30" fillId="11" borderId="31" xfId="0" applyNumberFormat="1" applyFont="1" applyFill="1" applyBorder="1" applyAlignment="1">
      <alignment horizontal="right" readingOrder="1"/>
    </xf>
    <xf numFmtId="2" fontId="31" fillId="12" borderId="31" xfId="0" applyNumberFormat="1" applyFont="1" applyFill="1" applyBorder="1"/>
    <xf numFmtId="48" fontId="30" fillId="11" borderId="31" xfId="3" applyNumberFormat="1" applyFont="1" applyFill="1" applyBorder="1" applyAlignment="1">
      <alignment horizontal="center"/>
    </xf>
    <xf numFmtId="164" fontId="30" fillId="11" borderId="31" xfId="0" applyNumberFormat="1" applyFont="1" applyFill="1" applyBorder="1"/>
    <xf numFmtId="2" fontId="30" fillId="11" borderId="31" xfId="0" applyNumberFormat="1" applyFont="1" applyFill="1" applyBorder="1"/>
    <xf numFmtId="166" fontId="30" fillId="10" borderId="31" xfId="0" applyNumberFormat="1" applyFont="1" applyFill="1" applyBorder="1" applyProtection="1">
      <protection locked="0"/>
    </xf>
    <xf numFmtId="2" fontId="30" fillId="10" borderId="31" xfId="0" applyNumberFormat="1" applyFont="1" applyFill="1" applyBorder="1" applyProtection="1">
      <protection locked="0"/>
    </xf>
    <xf numFmtId="0" fontId="1" fillId="11" borderId="31" xfId="0" applyFont="1" applyFill="1" applyBorder="1" applyProtection="1">
      <protection hidden="1"/>
    </xf>
    <xf numFmtId="48" fontId="1" fillId="11" borderId="31" xfId="0" applyNumberFormat="1" applyFont="1" applyFill="1" applyBorder="1" applyProtection="1">
      <protection hidden="1"/>
    </xf>
    <xf numFmtId="165" fontId="1" fillId="11" borderId="31" xfId="0" applyNumberFormat="1" applyFont="1" applyFill="1" applyBorder="1" applyProtection="1">
      <protection hidden="1"/>
    </xf>
    <xf numFmtId="2" fontId="1" fillId="11" borderId="31" xfId="0" applyNumberFormat="1" applyFont="1" applyFill="1" applyBorder="1" applyProtection="1">
      <protection hidden="1"/>
    </xf>
    <xf numFmtId="164" fontId="31" fillId="12" borderId="31" xfId="0" applyNumberFormat="1" applyFont="1" applyFill="1" applyBorder="1"/>
    <xf numFmtId="0" fontId="1" fillId="0" borderId="0" xfId="2"/>
    <xf numFmtId="0" fontId="1" fillId="0" borderId="0" xfId="2" applyAlignment="1">
      <alignment horizontal="right"/>
    </xf>
    <xf numFmtId="0" fontId="23" fillId="0" borderId="0" xfId="2" applyFont="1" applyAlignment="1">
      <alignment horizontal="left"/>
    </xf>
    <xf numFmtId="0" fontId="1" fillId="0" borderId="0" xfId="2" applyAlignment="1">
      <alignment horizontal="left"/>
    </xf>
    <xf numFmtId="0" fontId="25" fillId="0" borderId="0" xfId="2" applyFont="1" applyAlignment="1">
      <alignment horizontal="center"/>
    </xf>
    <xf numFmtId="165" fontId="25" fillId="0" borderId="0" xfId="2" applyNumberFormat="1" applyFont="1" applyAlignment="1">
      <alignment horizontal="center"/>
    </xf>
    <xf numFmtId="11" fontId="1" fillId="0" borderId="0" xfId="2" applyNumberFormat="1" applyAlignment="1">
      <alignment horizontal="left"/>
    </xf>
    <xf numFmtId="2" fontId="1" fillId="0" borderId="0" xfId="2" applyNumberFormat="1" applyAlignment="1">
      <alignment horizontal="left"/>
    </xf>
    <xf numFmtId="0" fontId="30" fillId="11" borderId="31" xfId="0" applyFont="1" applyFill="1" applyBorder="1"/>
    <xf numFmtId="48" fontId="30" fillId="11" borderId="31" xfId="5" applyNumberFormat="1" applyFont="1" applyFill="1" applyBorder="1" applyProtection="1"/>
    <xf numFmtId="0" fontId="24" fillId="8" borderId="0" xfId="1" applyFill="1" applyAlignment="1" applyProtection="1"/>
    <xf numFmtId="0" fontId="33" fillId="13" borderId="31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9" fontId="30" fillId="10" borderId="31" xfId="5" applyFont="1" applyFill="1" applyBorder="1" applyProtection="1">
      <protection locked="0"/>
    </xf>
    <xf numFmtId="48" fontId="30" fillId="10" borderId="31" xfId="0" applyNumberFormat="1" applyFont="1" applyFill="1" applyBorder="1" applyAlignment="1" applyProtection="1">
      <alignment horizontal="right"/>
      <protection locked="0"/>
    </xf>
    <xf numFmtId="48" fontId="30" fillId="11" borderId="31" xfId="0" applyNumberFormat="1" applyFont="1" applyFill="1" applyBorder="1" applyAlignment="1">
      <alignment horizontal="right"/>
    </xf>
    <xf numFmtId="0" fontId="30" fillId="11" borderId="31" xfId="0" applyFont="1" applyFill="1" applyBorder="1" applyAlignment="1">
      <alignment horizontal="right"/>
    </xf>
    <xf numFmtId="165" fontId="30" fillId="11" borderId="31" xfId="0" applyNumberFormat="1" applyFont="1" applyFill="1" applyBorder="1" applyAlignment="1">
      <alignment horizontal="right"/>
    </xf>
    <xf numFmtId="0" fontId="33" fillId="13" borderId="33" xfId="0" applyFont="1" applyFill="1" applyBorder="1"/>
    <xf numFmtId="11" fontId="33" fillId="13" borderId="33" xfId="0" applyNumberFormat="1" applyFont="1" applyFill="1" applyBorder="1" applyAlignment="1">
      <alignment horizontal="left"/>
    </xf>
    <xf numFmtId="0" fontId="31" fillId="10" borderId="31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center"/>
    </xf>
    <xf numFmtId="0" fontId="31" fillId="11" borderId="31" xfId="0" applyFont="1" applyFill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0" fillId="0" borderId="31" xfId="0" applyFont="1" applyBorder="1" applyAlignment="1">
      <alignment horizontal="right"/>
    </xf>
    <xf numFmtId="48" fontId="30" fillId="0" borderId="31" xfId="0" applyNumberFormat="1" applyFont="1" applyBorder="1" applyAlignment="1">
      <alignment horizontal="right" readingOrder="1"/>
    </xf>
    <xf numFmtId="0" fontId="30" fillId="0" borderId="31" xfId="0" applyFont="1" applyBorder="1"/>
    <xf numFmtId="166" fontId="30" fillId="0" borderId="31" xfId="0" applyNumberFormat="1" applyFont="1" applyBorder="1"/>
    <xf numFmtId="165" fontId="30" fillId="0" borderId="31" xfId="0" applyNumberFormat="1" applyFont="1" applyBorder="1"/>
    <xf numFmtId="48" fontId="30" fillId="0" borderId="31" xfId="0" applyNumberFormat="1" applyFont="1" applyBorder="1"/>
    <xf numFmtId="2" fontId="30" fillId="0" borderId="31" xfId="0" applyNumberFormat="1" applyFont="1" applyBorder="1"/>
    <xf numFmtId="0" fontId="31" fillId="0" borderId="31" xfId="0" applyFont="1" applyBorder="1"/>
    <xf numFmtId="48" fontId="31" fillId="0" borderId="31" xfId="0" applyNumberFormat="1" applyFont="1" applyBorder="1"/>
    <xf numFmtId="0" fontId="34" fillId="14" borderId="0" xfId="0" applyFont="1" applyFill="1"/>
    <xf numFmtId="0" fontId="30" fillId="14" borderId="0" xfId="0" applyFont="1" applyFill="1"/>
    <xf numFmtId="0" fontId="33" fillId="14" borderId="0" xfId="0" applyFont="1" applyFill="1"/>
    <xf numFmtId="0" fontId="32" fillId="14" borderId="0" xfId="0" applyFont="1" applyFill="1" applyAlignment="1">
      <alignment horizontal="right"/>
    </xf>
    <xf numFmtId="0" fontId="33" fillId="14" borderId="0" xfId="0" applyFont="1" applyFill="1" applyAlignment="1">
      <alignment horizontal="right"/>
    </xf>
    <xf numFmtId="0" fontId="30" fillId="14" borderId="0" xfId="0" applyFont="1" applyFill="1" applyAlignment="1">
      <alignment horizontal="center"/>
    </xf>
    <xf numFmtId="49" fontId="30" fillId="14" borderId="0" xfId="0" applyNumberFormat="1" applyFont="1" applyFill="1"/>
    <xf numFmtId="11" fontId="30" fillId="14" borderId="0" xfId="0" applyNumberFormat="1" applyFont="1" applyFill="1"/>
    <xf numFmtId="0" fontId="31" fillId="14" borderId="0" xfId="0" applyFont="1" applyFill="1" applyAlignment="1">
      <alignment horizontal="right"/>
    </xf>
    <xf numFmtId="0" fontId="30" fillId="14" borderId="0" xfId="0" applyFont="1" applyFill="1" applyAlignment="1">
      <alignment horizontal="right"/>
    </xf>
    <xf numFmtId="0" fontId="32" fillId="14" borderId="0" xfId="0" applyFont="1" applyFill="1"/>
    <xf numFmtId="49" fontId="32" fillId="14" borderId="0" xfId="0" applyNumberFormat="1" applyFont="1" applyFill="1"/>
    <xf numFmtId="0" fontId="35" fillId="14" borderId="34" xfId="0" applyFont="1" applyFill="1" applyBorder="1" applyAlignment="1">
      <alignment horizontal="right"/>
    </xf>
    <xf numFmtId="0" fontId="30" fillId="14" borderId="31" xfId="0" applyFont="1" applyFill="1" applyBorder="1" applyAlignment="1">
      <alignment horizontal="right"/>
    </xf>
    <xf numFmtId="165" fontId="30" fillId="14" borderId="0" xfId="0" applyNumberFormat="1" applyFont="1" applyFill="1" applyAlignment="1">
      <alignment horizontal="right"/>
    </xf>
    <xf numFmtId="11" fontId="31" fillId="14" borderId="0" xfId="0" applyNumberFormat="1" applyFont="1" applyFill="1"/>
    <xf numFmtId="0" fontId="31" fillId="14" borderId="0" xfId="0" applyFont="1" applyFill="1" applyAlignment="1">
      <alignment horizontal="center"/>
    </xf>
    <xf numFmtId="0" fontId="31" fillId="14" borderId="0" xfId="0" applyFont="1" applyFill="1"/>
    <xf numFmtId="0" fontId="31" fillId="14" borderId="34" xfId="0" applyFont="1" applyFill="1" applyBorder="1"/>
    <xf numFmtId="0" fontId="30" fillId="14" borderId="34" xfId="0" applyFont="1" applyFill="1" applyBorder="1"/>
    <xf numFmtId="0" fontId="31" fillId="14" borderId="34" xfId="0" applyFont="1" applyFill="1" applyBorder="1" applyAlignment="1">
      <alignment horizontal="center"/>
    </xf>
    <xf numFmtId="11" fontId="31" fillId="14" borderId="34" xfId="0" applyNumberFormat="1" applyFont="1" applyFill="1" applyBorder="1"/>
    <xf numFmtId="165" fontId="30" fillId="14" borderId="0" xfId="0" applyNumberFormat="1" applyFont="1" applyFill="1"/>
    <xf numFmtId="48" fontId="30" fillId="14" borderId="0" xfId="0" applyNumberFormat="1" applyFont="1" applyFill="1"/>
    <xf numFmtId="0" fontId="30" fillId="14" borderId="34" xfId="0" applyFont="1" applyFill="1" applyBorder="1" applyAlignment="1">
      <alignment horizontal="center"/>
    </xf>
    <xf numFmtId="167" fontId="30" fillId="14" borderId="0" xfId="0" applyNumberFormat="1" applyFont="1" applyFill="1"/>
    <xf numFmtId="11" fontId="30" fillId="14" borderId="34" xfId="0" applyNumberFormat="1" applyFont="1" applyFill="1" applyBorder="1"/>
    <xf numFmtId="48" fontId="30" fillId="14" borderId="34" xfId="0" applyNumberFormat="1" applyFont="1" applyFill="1" applyBorder="1"/>
    <xf numFmtId="49" fontId="31" fillId="14" borderId="0" xfId="0" applyNumberFormat="1" applyFont="1" applyFill="1"/>
    <xf numFmtId="0" fontId="33" fillId="14" borderId="0" xfId="0" applyFont="1" applyFill="1" applyAlignment="1">
      <alignment horizontal="left"/>
    </xf>
    <xf numFmtId="0" fontId="33" fillId="14" borderId="0" xfId="0" applyFont="1" applyFill="1" applyAlignment="1">
      <alignment horizontal="center"/>
    </xf>
    <xf numFmtId="0" fontId="33" fillId="14" borderId="35" xfId="0" applyFont="1" applyFill="1" applyBorder="1"/>
    <xf numFmtId="0" fontId="33" fillId="14" borderId="36" xfId="0" applyFont="1" applyFill="1" applyBorder="1" applyAlignment="1">
      <alignment horizontal="center"/>
    </xf>
    <xf numFmtId="11" fontId="33" fillId="14" borderId="0" xfId="0" applyNumberFormat="1" applyFont="1" applyFill="1"/>
    <xf numFmtId="0" fontId="30" fillId="14" borderId="31" xfId="0" applyFont="1" applyFill="1" applyBorder="1" applyAlignment="1">
      <alignment horizontal="center"/>
    </xf>
    <xf numFmtId="0" fontId="35" fillId="0" borderId="31" xfId="0" applyFont="1" applyBorder="1" applyAlignment="1">
      <alignment horizontal="center"/>
    </xf>
    <xf numFmtId="11" fontId="30" fillId="0" borderId="31" xfId="0" applyNumberFormat="1" applyFont="1" applyBorder="1"/>
    <xf numFmtId="0" fontId="31" fillId="0" borderId="31" xfId="0" applyFont="1" applyBorder="1" applyAlignment="1">
      <alignment horizontal="right"/>
    </xf>
    <xf numFmtId="0" fontId="30" fillId="0" borderId="31" xfId="0" applyFont="1" applyBorder="1" applyAlignment="1">
      <alignment horizontal="center"/>
    </xf>
    <xf numFmtId="0" fontId="30" fillId="0" borderId="31" xfId="2" applyFont="1" applyBorder="1" applyAlignment="1">
      <alignment horizontal="right"/>
    </xf>
    <xf numFmtId="166" fontId="31" fillId="0" borderId="31" xfId="0" applyNumberFormat="1" applyFont="1" applyBorder="1"/>
    <xf numFmtId="0" fontId="30" fillId="0" borderId="31" xfId="2" applyFont="1" applyBorder="1"/>
    <xf numFmtId="166" fontId="30" fillId="0" borderId="31" xfId="0" applyNumberFormat="1" applyFont="1" applyBorder="1" applyAlignment="1">
      <alignment horizontal="center"/>
    </xf>
    <xf numFmtId="0" fontId="30" fillId="0" borderId="31" xfId="0" applyFont="1" applyBorder="1" applyAlignment="1">
      <alignment wrapText="1"/>
    </xf>
    <xf numFmtId="0" fontId="33" fillId="12" borderId="37" xfId="0" applyFont="1" applyFill="1" applyBorder="1" applyAlignment="1">
      <alignment horizontal="center"/>
    </xf>
    <xf numFmtId="0" fontId="33" fillId="12" borderId="38" xfId="0" applyFont="1" applyFill="1" applyBorder="1" applyAlignment="1">
      <alignment horizontal="center"/>
    </xf>
    <xf numFmtId="0" fontId="33" fillId="12" borderId="39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right"/>
    </xf>
    <xf numFmtId="0" fontId="30" fillId="12" borderId="31" xfId="0" applyFont="1" applyFill="1" applyBorder="1"/>
    <xf numFmtId="0" fontId="30" fillId="15" borderId="39" xfId="0" applyFont="1" applyFill="1" applyBorder="1"/>
    <xf numFmtId="0" fontId="31" fillId="15" borderId="40" xfId="0" applyFont="1" applyFill="1" applyBorder="1" applyAlignment="1">
      <alignment horizontal="center"/>
    </xf>
    <xf numFmtId="0" fontId="30" fillId="15" borderId="40" xfId="0" applyFont="1" applyFill="1" applyBorder="1"/>
    <xf numFmtId="0" fontId="30" fillId="15" borderId="40" xfId="0" applyFont="1" applyFill="1" applyBorder="1" applyAlignment="1">
      <alignment horizontal="center"/>
    </xf>
    <xf numFmtId="0" fontId="30" fillId="15" borderId="41" xfId="0" applyFont="1" applyFill="1" applyBorder="1"/>
    <xf numFmtId="49" fontId="30" fillId="15" borderId="37" xfId="0" applyNumberFormat="1" applyFont="1" applyFill="1" applyBorder="1"/>
    <xf numFmtId="0" fontId="30" fillId="15" borderId="42" xfId="0" applyFont="1" applyFill="1" applyBorder="1"/>
    <xf numFmtId="0" fontId="32" fillId="15" borderId="36" xfId="0" applyFont="1" applyFill="1" applyBorder="1"/>
    <xf numFmtId="0" fontId="32" fillId="15" borderId="42" xfId="0" applyFont="1" applyFill="1" applyBorder="1"/>
    <xf numFmtId="0" fontId="30" fillId="15" borderId="36" xfId="0" applyFont="1" applyFill="1" applyBorder="1"/>
    <xf numFmtId="0" fontId="31" fillId="15" borderId="41" xfId="0" applyFont="1" applyFill="1" applyBorder="1" applyAlignment="1">
      <alignment horizontal="center"/>
    </xf>
    <xf numFmtId="0" fontId="30" fillId="15" borderId="41" xfId="0" applyFont="1" applyFill="1" applyBorder="1" applyAlignment="1">
      <alignment horizontal="center"/>
    </xf>
    <xf numFmtId="0" fontId="30" fillId="15" borderId="0" xfId="0" applyFont="1" applyFill="1"/>
    <xf numFmtId="49" fontId="30" fillId="15" borderId="35" xfId="0" applyNumberFormat="1" applyFont="1" applyFill="1" applyBorder="1"/>
    <xf numFmtId="0" fontId="31" fillId="15" borderId="34" xfId="0" applyFont="1" applyFill="1" applyBorder="1" applyAlignment="1">
      <alignment horizontal="center"/>
    </xf>
    <xf numFmtId="0" fontId="30" fillId="15" borderId="34" xfId="0" applyFont="1" applyFill="1" applyBorder="1"/>
    <xf numFmtId="0" fontId="30" fillId="15" borderId="34" xfId="0" applyFont="1" applyFill="1" applyBorder="1" applyAlignment="1">
      <alignment horizontal="center"/>
    </xf>
    <xf numFmtId="49" fontId="33" fillId="15" borderId="0" xfId="0" applyNumberFormat="1" applyFont="1" applyFill="1"/>
    <xf numFmtId="49" fontId="32" fillId="15" borderId="35" xfId="0" applyNumberFormat="1" applyFont="1" applyFill="1" applyBorder="1"/>
    <xf numFmtId="49" fontId="30" fillId="15" borderId="36" xfId="0" applyNumberFormat="1" applyFont="1" applyFill="1" applyBorder="1"/>
    <xf numFmtId="0" fontId="30" fillId="15" borderId="35" xfId="0" applyFont="1" applyFill="1" applyBorder="1"/>
    <xf numFmtId="11" fontId="31" fillId="15" borderId="0" xfId="0" applyNumberFormat="1" applyFont="1" applyFill="1"/>
    <xf numFmtId="11" fontId="31" fillId="15" borderId="36" xfId="0" applyNumberFormat="1" applyFont="1" applyFill="1" applyBorder="1"/>
    <xf numFmtId="0" fontId="31" fillId="15" borderId="36" xfId="0" applyFont="1" applyFill="1" applyBorder="1"/>
    <xf numFmtId="49" fontId="31" fillId="15" borderId="35" xfId="0" applyNumberFormat="1" applyFont="1" applyFill="1" applyBorder="1"/>
    <xf numFmtId="11" fontId="30" fillId="15" borderId="36" xfId="0" applyNumberFormat="1" applyFont="1" applyFill="1" applyBorder="1"/>
    <xf numFmtId="165" fontId="30" fillId="15" borderId="36" xfId="0" applyNumberFormat="1" applyFont="1" applyFill="1" applyBorder="1"/>
    <xf numFmtId="0" fontId="31" fillId="15" borderId="0" xfId="0" applyFont="1" applyFill="1"/>
    <xf numFmtId="0" fontId="33" fillId="15" borderId="0" xfId="0" applyFont="1" applyFill="1"/>
    <xf numFmtId="0" fontId="33" fillId="15" borderId="36" xfId="0" applyFont="1" applyFill="1" applyBorder="1"/>
    <xf numFmtId="9" fontId="30" fillId="0" borderId="31" xfId="5" applyFont="1" applyFill="1" applyBorder="1" applyAlignment="1" applyProtection="1">
      <alignment horizontal="right" readingOrder="1"/>
    </xf>
    <xf numFmtId="0" fontId="1" fillId="14" borderId="0" xfId="0" applyFont="1" applyFill="1" applyProtection="1">
      <protection hidden="1"/>
    </xf>
    <xf numFmtId="0" fontId="1" fillId="14" borderId="0" xfId="0" applyFont="1" applyFill="1" applyAlignment="1" applyProtection="1">
      <alignment horizontal="right"/>
      <protection hidden="1"/>
    </xf>
    <xf numFmtId="48" fontId="1" fillId="14" borderId="0" xfId="0" applyNumberFormat="1" applyFont="1" applyFill="1" applyProtection="1">
      <protection hidden="1"/>
    </xf>
    <xf numFmtId="0" fontId="1" fillId="14" borderId="0" xfId="0" applyFont="1" applyFill="1" applyAlignment="1">
      <alignment horizontal="right"/>
    </xf>
    <xf numFmtId="0" fontId="4" fillId="14" borderId="0" xfId="0" applyFont="1" applyFill="1" applyAlignment="1" applyProtection="1">
      <alignment horizontal="center"/>
      <protection hidden="1"/>
    </xf>
    <xf numFmtId="165" fontId="1" fillId="14" borderId="0" xfId="0" applyNumberFormat="1" applyFont="1" applyFill="1" applyProtection="1">
      <protection hidden="1"/>
    </xf>
    <xf numFmtId="11" fontId="1" fillId="11" borderId="31" xfId="0" applyNumberFormat="1" applyFont="1" applyFill="1" applyBorder="1" applyProtection="1">
      <protection hidden="1"/>
    </xf>
    <xf numFmtId="0" fontId="36" fillId="14" borderId="0" xfId="0" applyFont="1" applyFill="1" applyProtection="1">
      <protection hidden="1"/>
    </xf>
    <xf numFmtId="0" fontId="37" fillId="14" borderId="0" xfId="0" applyFont="1" applyFill="1" applyProtection="1">
      <protection hidden="1"/>
    </xf>
    <xf numFmtId="48" fontId="36" fillId="14" borderId="0" xfId="0" applyNumberFormat="1" applyFont="1" applyFill="1" applyProtection="1">
      <protection hidden="1"/>
    </xf>
    <xf numFmtId="166" fontId="36" fillId="14" borderId="0" xfId="0" applyNumberFormat="1" applyFont="1" applyFill="1" applyProtection="1">
      <protection hidden="1"/>
    </xf>
    <xf numFmtId="0" fontId="36" fillId="14" borderId="0" xfId="0" quotePrefix="1" applyFont="1" applyFill="1" applyProtection="1">
      <protection hidden="1"/>
    </xf>
    <xf numFmtId="0" fontId="38" fillId="14" borderId="0" xfId="4" applyFont="1" applyFill="1" applyProtection="1">
      <protection hidden="1"/>
    </xf>
    <xf numFmtId="11" fontId="36" fillId="14" borderId="0" xfId="0" applyNumberFormat="1" applyFont="1" applyFill="1" applyProtection="1">
      <protection hidden="1"/>
    </xf>
    <xf numFmtId="11" fontId="38" fillId="14" borderId="0" xfId="4" applyNumberFormat="1" applyFont="1" applyFill="1" applyProtection="1">
      <protection hidden="1"/>
    </xf>
    <xf numFmtId="0" fontId="36" fillId="14" borderId="0" xfId="0" applyFont="1" applyFill="1" applyAlignment="1" applyProtection="1">
      <alignment horizontal="right"/>
      <protection hidden="1"/>
    </xf>
    <xf numFmtId="1" fontId="36" fillId="14" borderId="0" xfId="0" applyNumberFormat="1" applyFont="1" applyFill="1" applyProtection="1">
      <protection hidden="1"/>
    </xf>
    <xf numFmtId="48" fontId="36" fillId="14" borderId="0" xfId="3" applyNumberFormat="1" applyFont="1" applyFill="1" applyAlignment="1">
      <alignment horizontal="center"/>
    </xf>
    <xf numFmtId="0" fontId="36" fillId="14" borderId="0" xfId="3" applyFont="1" applyFill="1"/>
    <xf numFmtId="165" fontId="36" fillId="14" borderId="0" xfId="0" applyNumberFormat="1" applyFont="1" applyFill="1" applyProtection="1">
      <protection hidden="1"/>
    </xf>
    <xf numFmtId="0" fontId="36" fillId="14" borderId="0" xfId="0" applyFont="1" applyFill="1" applyAlignment="1">
      <alignment horizontal="right"/>
    </xf>
    <xf numFmtId="1" fontId="36" fillId="14" borderId="0" xfId="0" applyNumberFormat="1" applyFont="1" applyFill="1"/>
    <xf numFmtId="166" fontId="36" fillId="14" borderId="0" xfId="0" applyNumberFormat="1" applyFont="1" applyFill="1"/>
    <xf numFmtId="0" fontId="27" fillId="2" borderId="0" xfId="0" applyFont="1" applyFill="1"/>
    <xf numFmtId="0" fontId="1" fillId="2" borderId="0" xfId="0" applyFont="1" applyFill="1"/>
    <xf numFmtId="0" fontId="28" fillId="2" borderId="0" xfId="0" applyFont="1" applyFill="1"/>
    <xf numFmtId="0" fontId="31" fillId="10" borderId="31" xfId="0" applyFont="1" applyFill="1" applyBorder="1" applyAlignment="1" applyProtection="1">
      <alignment horizontal="center"/>
      <protection locked="0"/>
    </xf>
    <xf numFmtId="0" fontId="1" fillId="10" borderId="31" xfId="0" applyFont="1" applyFill="1" applyBorder="1" applyProtection="1">
      <protection locked="0"/>
    </xf>
    <xf numFmtId="11" fontId="1" fillId="10" borderId="31" xfId="0" applyNumberFormat="1" applyFont="1" applyFill="1" applyBorder="1" applyProtection="1">
      <protection locked="0"/>
    </xf>
    <xf numFmtId="48" fontId="1" fillId="10" borderId="31" xfId="0" applyNumberFormat="1" applyFont="1" applyFill="1" applyBorder="1" applyProtection="1">
      <protection locked="0"/>
    </xf>
    <xf numFmtId="165" fontId="1" fillId="10" borderId="31" xfId="0" applyNumberFormat="1" applyFont="1" applyFill="1" applyBorder="1" applyProtection="1">
      <protection locked="0"/>
    </xf>
    <xf numFmtId="166" fontId="1" fillId="11" borderId="31" xfId="0" applyNumberFormat="1" applyFont="1" applyFill="1" applyBorder="1" applyProtection="1">
      <protection hidden="1"/>
    </xf>
    <xf numFmtId="164" fontId="1" fillId="11" borderId="31" xfId="0" applyNumberFormat="1" applyFont="1" applyFill="1" applyBorder="1" applyProtection="1">
      <protection hidden="1"/>
    </xf>
    <xf numFmtId="48" fontId="1" fillId="11" borderId="38" xfId="0" applyNumberFormat="1" applyFont="1" applyFill="1" applyBorder="1" applyProtection="1">
      <protection hidden="1"/>
    </xf>
    <xf numFmtId="48" fontId="0" fillId="10" borderId="31" xfId="0" applyNumberFormat="1" applyFill="1" applyBorder="1" applyAlignment="1" applyProtection="1">
      <alignment horizontal="right"/>
      <protection locked="0"/>
    </xf>
    <xf numFmtId="0" fontId="33" fillId="13" borderId="33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0" fontId="35" fillId="14" borderId="34" xfId="0" applyFont="1" applyFill="1" applyBorder="1" applyAlignment="1">
      <alignment horizontal="center"/>
    </xf>
    <xf numFmtId="0" fontId="30" fillId="14" borderId="33" xfId="0" applyFont="1" applyFill="1" applyBorder="1" applyAlignment="1">
      <alignment horizontal="left"/>
    </xf>
    <xf numFmtId="0" fontId="30" fillId="14" borderId="40" xfId="0" applyFont="1" applyFill="1" applyBorder="1" applyAlignment="1">
      <alignment horizontal="left"/>
    </xf>
    <xf numFmtId="0" fontId="30" fillId="14" borderId="32" xfId="0" applyFont="1" applyFill="1" applyBorder="1" applyAlignment="1">
      <alignment horizontal="left"/>
    </xf>
    <xf numFmtId="0" fontId="33" fillId="13" borderId="40" xfId="0" applyFont="1" applyFill="1" applyBorder="1" applyAlignment="1">
      <alignment horizontal="left"/>
    </xf>
    <xf numFmtId="0" fontId="35" fillId="14" borderId="41" xfId="0" applyFont="1" applyFill="1" applyBorder="1" applyAlignment="1">
      <alignment horizontal="left"/>
    </xf>
    <xf numFmtId="0" fontId="35" fillId="14" borderId="37" xfId="0" applyFont="1" applyFill="1" applyBorder="1" applyAlignment="1">
      <alignment horizontal="left"/>
    </xf>
    <xf numFmtId="11" fontId="33" fillId="13" borderId="33" xfId="0" applyNumberFormat="1" applyFont="1" applyFill="1" applyBorder="1" applyAlignment="1">
      <alignment horizontal="left"/>
    </xf>
    <xf numFmtId="11" fontId="33" fillId="13" borderId="40" xfId="0" applyNumberFormat="1" applyFont="1" applyFill="1" applyBorder="1" applyAlignment="1">
      <alignment horizontal="left"/>
    </xf>
    <xf numFmtId="0" fontId="4" fillId="14" borderId="0" xfId="0" applyFont="1" applyFill="1" applyAlignment="1" applyProtection="1">
      <alignment horizontal="left"/>
      <protection hidden="1"/>
    </xf>
    <xf numFmtId="0" fontId="4" fillId="14" borderId="0" xfId="0" applyFont="1" applyFill="1" applyAlignment="1" applyProtection="1">
      <alignment horizontal="center" wrapText="1"/>
      <protection hidden="1"/>
    </xf>
    <xf numFmtId="0" fontId="4" fillId="14" borderId="0" xfId="0" applyFont="1" applyFill="1" applyAlignment="1" applyProtection="1">
      <alignment horizontal="center"/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0" fillId="5" borderId="43" xfId="3" applyFont="1" applyFill="1" applyBorder="1" applyAlignment="1">
      <alignment horizontal="center" wrapText="1"/>
    </xf>
    <xf numFmtId="0" fontId="10" fillId="5" borderId="14" xfId="3" applyFont="1" applyFill="1" applyBorder="1" applyAlignment="1">
      <alignment horizontal="center" wrapText="1"/>
    </xf>
    <xf numFmtId="0" fontId="10" fillId="6" borderId="44" xfId="3" applyFont="1" applyFill="1" applyBorder="1" applyAlignment="1">
      <alignment horizontal="center" wrapText="1"/>
    </xf>
    <xf numFmtId="0" fontId="10" fillId="6" borderId="45" xfId="3" applyFont="1" applyFill="1" applyBorder="1" applyAlignment="1">
      <alignment horizontal="center" wrapText="1"/>
    </xf>
    <xf numFmtId="0" fontId="10" fillId="7" borderId="43" xfId="3" applyFont="1" applyFill="1" applyBorder="1" applyAlignment="1">
      <alignment horizontal="center" wrapText="1"/>
    </xf>
    <xf numFmtId="0" fontId="10" fillId="7" borderId="14" xfId="3" applyFont="1" applyFill="1" applyBorder="1" applyAlignment="1">
      <alignment horizontal="center" wrapText="1"/>
    </xf>
    <xf numFmtId="49" fontId="16" fillId="4" borderId="43" xfId="3" applyNumberFormat="1" applyFont="1" applyFill="1" applyBorder="1" applyAlignment="1">
      <alignment horizontal="center" wrapText="1"/>
    </xf>
    <xf numFmtId="49" fontId="16" fillId="4" borderId="0" xfId="3" applyNumberFormat="1" applyFont="1" applyFill="1" applyAlignment="1">
      <alignment horizontal="center" wrapText="1"/>
    </xf>
  </cellXfs>
  <cellStyles count="9">
    <cellStyle name="Hyperlink" xfId="1" builtinId="8"/>
    <cellStyle name="Normal" xfId="0" builtinId="0"/>
    <cellStyle name="Normal 2" xfId="2" xr:uid="{D200BB36-5171-46C9-B4B7-82691AD91247}"/>
    <cellStyle name="Normal 3" xfId="3" xr:uid="{A233A991-EB55-4A28-875E-F46ED4381263}"/>
    <cellStyle name="Normal 4" xfId="4" xr:uid="{8666F8F2-8FCB-41CC-AA8C-C8F96EF5C951}"/>
    <cellStyle name="Percent" xfId="5" builtinId="5"/>
    <cellStyle name="Percent 2" xfId="6" xr:uid="{FB8BB9EA-9DC2-40A9-9C3E-17DC19BA32C1}"/>
    <cellStyle name="Percent 3" xfId="7" xr:uid="{7107731C-9CCA-4A0F-97CC-B58794DDCE00}"/>
    <cellStyle name="Percent 4" xfId="8" xr:uid="{65A707E2-B8F1-4D74-8B21-AA86610B6A86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CCM 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30.295589365932347</c:v>
                </c:pt>
                <c:pt idx="1">
                  <c:v>30.295580047044549</c:v>
                </c:pt>
                <c:pt idx="2">
                  <c:v>30.295570300214912</c:v>
                </c:pt>
                <c:pt idx="3">
                  <c:v>30.295560105792759</c:v>
                </c:pt>
                <c:pt idx="4">
                  <c:v>30.295549443224768</c:v>
                </c:pt>
                <c:pt idx="5">
                  <c:v>30.295538291014136</c:v>
                </c:pt>
                <c:pt idx="6">
                  <c:v>30.29552662667701</c:v>
                </c:pt>
                <c:pt idx="7">
                  <c:v>30.295514426697302</c:v>
                </c:pt>
                <c:pt idx="8">
                  <c:v>30.295501666479101</c:v>
                </c:pt>
                <c:pt idx="9">
                  <c:v>30.295488320297306</c:v>
                </c:pt>
                <c:pt idx="10">
                  <c:v>30.295474361245816</c:v>
                </c:pt>
                <c:pt idx="11">
                  <c:v>30.295459761183157</c:v>
                </c:pt>
                <c:pt idx="12">
                  <c:v>30.295444490675827</c:v>
                </c:pt>
                <c:pt idx="13">
                  <c:v>30.295428518939111</c:v>
                </c:pt>
                <c:pt idx="14">
                  <c:v>30.295411813774997</c:v>
                </c:pt>
                <c:pt idx="15">
                  <c:v>30.295394341507375</c:v>
                </c:pt>
                <c:pt idx="16">
                  <c:v>30.295376066913818</c:v>
                </c:pt>
                <c:pt idx="17">
                  <c:v>30.295356953155363</c:v>
                </c:pt>
                <c:pt idx="18">
                  <c:v>30.295336961701636</c:v>
                </c:pt>
                <c:pt idx="19">
                  <c:v>30.295316052253732</c:v>
                </c:pt>
                <c:pt idx="20">
                  <c:v>30.295294182662676</c:v>
                </c:pt>
                <c:pt idx="21">
                  <c:v>30.295271308844598</c:v>
                </c:pt>
                <c:pt idx="22">
                  <c:v>30.295247384692352</c:v>
                </c:pt>
                <c:pt idx="23">
                  <c:v>30.295222361982226</c:v>
                </c:pt>
                <c:pt idx="24">
                  <c:v>30.29519619027711</c:v>
                </c:pt>
                <c:pt idx="25">
                  <c:v>30.295168816824681</c:v>
                </c:pt>
                <c:pt idx="26">
                  <c:v>30.295140186451501</c:v>
                </c:pt>
                <c:pt idx="27">
                  <c:v>30.295110241451862</c:v>
                </c:pt>
                <c:pt idx="28">
                  <c:v>30.295078921471482</c:v>
                </c:pt>
                <c:pt idx="29">
                  <c:v>30.295046163386267</c:v>
                </c:pt>
                <c:pt idx="30">
                  <c:v>30.295011901174949</c:v>
                </c:pt>
                <c:pt idx="31">
                  <c:v>30.294976065786678</c:v>
                </c:pt>
                <c:pt idx="32">
                  <c:v>30.294938585001674</c:v>
                </c:pt>
                <c:pt idx="33">
                  <c:v>30.294899383286168</c:v>
                </c:pt>
                <c:pt idx="34">
                  <c:v>30.294858381640218</c:v>
                </c:pt>
                <c:pt idx="35">
                  <c:v>30.294815497439096</c:v>
                </c:pt>
                <c:pt idx="36">
                  <c:v>30.29477064426689</c:v>
                </c:pt>
                <c:pt idx="37">
                  <c:v>30.294723731742806</c:v>
                </c:pt>
                <c:pt idx="38">
                  <c:v>30.294674665339109</c:v>
                </c:pt>
                <c:pt idx="39">
                  <c:v>30.29462334619188</c:v>
                </c:pt>
                <c:pt idx="40">
                  <c:v>30.294569670901264</c:v>
                </c:pt>
                <c:pt idx="41">
                  <c:v>30.294513531324284</c:v>
                </c:pt>
                <c:pt idx="42">
                  <c:v>30.294454814357326</c:v>
                </c:pt>
                <c:pt idx="43">
                  <c:v>30.294393401708803</c:v>
                </c:pt>
                <c:pt idx="44">
                  <c:v>30.294329169661669</c:v>
                </c:pt>
                <c:pt idx="45">
                  <c:v>30.294261988824807</c:v>
                </c:pt>
                <c:pt idx="46">
                  <c:v>30.294191723872714</c:v>
                </c:pt>
                <c:pt idx="47">
                  <c:v>30.294118233274805</c:v>
                </c:pt>
                <c:pt idx="48">
                  <c:v>30.29404136901023</c:v>
                </c:pt>
                <c:pt idx="49">
                  <c:v>30.293960976271133</c:v>
                </c:pt>
                <c:pt idx="50">
                  <c:v>30.293876893152344</c:v>
                </c:pt>
                <c:pt idx="51">
                  <c:v>30.29378895032589</c:v>
                </c:pt>
                <c:pt idx="52">
                  <c:v>30.293696970701816</c:v>
                </c:pt>
                <c:pt idx="53">
                  <c:v>30.293600769072604</c:v>
                </c:pt>
                <c:pt idx="54">
                  <c:v>30.293500151742343</c:v>
                </c:pt>
                <c:pt idx="55">
                  <c:v>30.29339491613824</c:v>
                </c:pt>
                <c:pt idx="56">
                  <c:v>30.293284850404504</c:v>
                </c:pt>
                <c:pt idx="57">
                  <c:v>30.293169732978249</c:v>
                </c:pt>
                <c:pt idx="58">
                  <c:v>30.293049332145387</c:v>
                </c:pt>
                <c:pt idx="59">
                  <c:v>30.292923405577234</c:v>
                </c:pt>
                <c:pt idx="60">
                  <c:v>30.292791699845214</c:v>
                </c:pt>
                <c:pt idx="61">
                  <c:v>30.292653949913486</c:v>
                </c:pt>
                <c:pt idx="62">
                  <c:v>30.292509878609529</c:v>
                </c:pt>
                <c:pt idx="63">
                  <c:v>30.292359196069697</c:v>
                </c:pt>
                <c:pt idx="64">
                  <c:v>30.292201599159668</c:v>
                </c:pt>
                <c:pt idx="65">
                  <c:v>30.292036770869402</c:v>
                </c:pt>
                <c:pt idx="66">
                  <c:v>30.29186437967974</c:v>
                </c:pt>
                <c:pt idx="67">
                  <c:v>30.291684078900936</c:v>
                </c:pt>
                <c:pt idx="68">
                  <c:v>30.291495505980805</c:v>
                </c:pt>
                <c:pt idx="69">
                  <c:v>30.291298281782165</c:v>
                </c:pt>
                <c:pt idx="70">
                  <c:v>30.291092009826947</c:v>
                </c:pt>
                <c:pt idx="71">
                  <c:v>30.290876275506605</c:v>
                </c:pt>
                <c:pt idx="72">
                  <c:v>30.290650645256598</c:v>
                </c:pt>
                <c:pt idx="73">
                  <c:v>30.290414665694051</c:v>
                </c:pt>
                <c:pt idx="74">
                  <c:v>30.290167862716039</c:v>
                </c:pt>
                <c:pt idx="75">
                  <c:v>30.289909740557643</c:v>
                </c:pt>
                <c:pt idx="76">
                  <c:v>30.289639780807448</c:v>
                </c:pt>
                <c:pt idx="77">
                  <c:v>30.289357441379202</c:v>
                </c:pt>
                <c:pt idx="78">
                  <c:v>30.289062155436341</c:v>
                </c:pt>
                <c:pt idx="79">
                  <c:v>30.288753330269458</c:v>
                </c:pt>
                <c:pt idx="80">
                  <c:v>30.28843034612273</c:v>
                </c:pt>
                <c:pt idx="81">
                  <c:v>30.288092554968244</c:v>
                </c:pt>
                <c:pt idx="82">
                  <c:v>30.287739279225136</c:v>
                </c:pt>
                <c:pt idx="83">
                  <c:v>30.28736981042206</c:v>
                </c:pt>
                <c:pt idx="84">
                  <c:v>30.286983407799262</c:v>
                </c:pt>
                <c:pt idx="85">
                  <c:v>30.286579296849769</c:v>
                </c:pt>
                <c:pt idx="86">
                  <c:v>30.286156667794089</c:v>
                </c:pt>
                <c:pt idx="87">
                  <c:v>30.285714673988771</c:v>
                </c:pt>
                <c:pt idx="88">
                  <c:v>30.285252430263256</c:v>
                </c:pt>
                <c:pt idx="89">
                  <c:v>30.284769011184022</c:v>
                </c:pt>
                <c:pt idx="90">
                  <c:v>30.284263449241475</c:v>
                </c:pt>
                <c:pt idx="91">
                  <c:v>30.283734732957601</c:v>
                </c:pt>
                <c:pt idx="92">
                  <c:v>30.283181804909695</c:v>
                </c:pt>
                <c:pt idx="93">
                  <c:v>30.282603559667916</c:v>
                </c:pt>
                <c:pt idx="94">
                  <c:v>30.281998841641947</c:v>
                </c:pt>
                <c:pt idx="95">
                  <c:v>30.28136644283471</c:v>
                </c:pt>
                <c:pt idx="96">
                  <c:v>30.280705100496476</c:v>
                </c:pt>
                <c:pt idx="97">
                  <c:v>30.280013494678553</c:v>
                </c:pt>
                <c:pt idx="98">
                  <c:v>30.279290245680105</c:v>
                </c:pt>
                <c:pt idx="99">
                  <c:v>30.278533911384422</c:v>
                </c:pt>
                <c:pt idx="100">
                  <c:v>30.277742984481179</c:v>
                </c:pt>
                <c:pt idx="101">
                  <c:v>30.276915889568258</c:v>
                </c:pt>
                <c:pt idx="102">
                  <c:v>30.276050980130126</c:v>
                </c:pt>
                <c:pt idx="103">
                  <c:v>30.275146535386895</c:v>
                </c:pt>
                <c:pt idx="104">
                  <c:v>30.27420075700951</c:v>
                </c:pt>
                <c:pt idx="105">
                  <c:v>30.27321176569497</c:v>
                </c:pt>
                <c:pt idx="106">
                  <c:v>30.272177597598628</c:v>
                </c:pt>
                <c:pt idx="107">
                  <c:v>30.271096200614018</c:v>
                </c:pt>
                <c:pt idx="108">
                  <c:v>30.269965430499482</c:v>
                </c:pt>
                <c:pt idx="109">
                  <c:v>30.268783046841364</c:v>
                </c:pt>
                <c:pt idx="110">
                  <c:v>30.267546708850976</c:v>
                </c:pt>
                <c:pt idx="111">
                  <c:v>30.266253970987901</c:v>
                </c:pt>
                <c:pt idx="112">
                  <c:v>30.264902278403273</c:v>
                </c:pt>
                <c:pt idx="113">
                  <c:v>30.263488962197741</c:v>
                </c:pt>
                <c:pt idx="114">
                  <c:v>30.262011234486714</c:v>
                </c:pt>
                <c:pt idx="115">
                  <c:v>30.260466183266818</c:v>
                </c:pt>
                <c:pt idx="116">
                  <c:v>30.258850767076705</c:v>
                </c:pt>
                <c:pt idx="117">
                  <c:v>30.257161809446536</c:v>
                </c:pt>
                <c:pt idx="118">
                  <c:v>30.255395993126989</c:v>
                </c:pt>
                <c:pt idx="119">
                  <c:v>30.253549854093691</c:v>
                </c:pt>
                <c:pt idx="120">
                  <c:v>30.251619775318346</c:v>
                </c:pt>
                <c:pt idx="121">
                  <c:v>30.249601980301005</c:v>
                </c:pt>
                <c:pt idx="122">
                  <c:v>30.24749252635473</c:v>
                </c:pt>
                <c:pt idx="123">
                  <c:v>30.245287297638491</c:v>
                </c:pt>
                <c:pt idx="124">
                  <c:v>30.242981997929203</c:v>
                </c:pt>
                <c:pt idx="125">
                  <c:v>30.240572143127373</c:v>
                </c:pt>
                <c:pt idx="126">
                  <c:v>30.238053053489939</c:v>
                </c:pt>
                <c:pt idx="127">
                  <c:v>30.235419845583323</c:v>
                </c:pt>
                <c:pt idx="128">
                  <c:v>30.232667423952041</c:v>
                </c:pt>
                <c:pt idx="129">
                  <c:v>30.229790472494919</c:v>
                </c:pt>
                <c:pt idx="130">
                  <c:v>30.226783445546236</c:v>
                </c:pt>
                <c:pt idx="131">
                  <c:v>30.223640558653901</c:v>
                </c:pt>
                <c:pt idx="132">
                  <c:v>30.220355779052859</c:v>
                </c:pt>
                <c:pt idx="133">
                  <c:v>30.21692281582796</c:v>
                </c:pt>
                <c:pt idx="134">
                  <c:v>30.213335109763676</c:v>
                </c:pt>
                <c:pt idx="135">
                  <c:v>30.209585822878072</c:v>
                </c:pt>
                <c:pt idx="136">
                  <c:v>30.205667827639346</c:v>
                </c:pt>
                <c:pt idx="137">
                  <c:v>30.201573695863662</c:v>
                </c:pt>
                <c:pt idx="138">
                  <c:v>30.19729568729565</c:v>
                </c:pt>
                <c:pt idx="139">
                  <c:v>30.192825737871154</c:v>
                </c:pt>
                <c:pt idx="140">
                  <c:v>30.188155447667391</c:v>
                </c:pt>
                <c:pt idx="141">
                  <c:v>30.183276068542174</c:v>
                </c:pt>
                <c:pt idx="142">
                  <c:v>30.178178491469964</c:v>
                </c:pt>
                <c:pt idx="143">
                  <c:v>30.172853233581115</c:v>
                </c:pt>
                <c:pt idx="144">
                  <c:v>30.167290424914182</c:v>
                </c:pt>
                <c:pt idx="145">
                  <c:v>30.161479794893467</c:v>
                </c:pt>
                <c:pt idx="146">
                  <c:v>30.155410658543822</c:v>
                </c:pt>
                <c:pt idx="147">
                  <c:v>30.149071902462161</c:v>
                </c:pt>
                <c:pt idx="148">
                  <c:v>30.142451970561609</c:v>
                </c:pt>
                <c:pt idx="149">
                  <c:v>30.135538849612477</c:v>
                </c:pt>
                <c:pt idx="150">
                  <c:v>30.128320054604881</c:v>
                </c:pt>
                <c:pt idx="151">
                  <c:v>30.120782613961381</c:v>
                </c:pt>
                <c:pt idx="152">
                  <c:v>30.112913054632131</c:v>
                </c:pt>
                <c:pt idx="153">
                  <c:v>30.104697387109553</c:v>
                </c:pt>
                <c:pt idx="154">
                  <c:v>30.096121090401681</c:v>
                </c:pt>
                <c:pt idx="155">
                  <c:v>30.087169097010865</c:v>
                </c:pt>
                <c:pt idx="156">
                  <c:v>30.077825777966531</c:v>
                </c:pt>
                <c:pt idx="157">
                  <c:v>30.06807492796705</c:v>
                </c:pt>
                <c:pt idx="158">
                  <c:v>30.057899750690858</c:v>
                </c:pt>
                <c:pt idx="159">
                  <c:v>30.047282844342575</c:v>
                </c:pt>
                <c:pt idx="160">
                  <c:v>30.036206187505606</c:v>
                </c:pt>
                <c:pt idx="161">
                  <c:v>30.024651125377744</c:v>
                </c:pt>
                <c:pt idx="162">
                  <c:v>30.012598356475777</c:v>
                </c:pt>
                <c:pt idx="163">
                  <c:v>30.000027919896656</c:v>
                </c:pt>
                <c:pt idx="164">
                  <c:v>29.986919183233788</c:v>
                </c:pt>
                <c:pt idx="165">
                  <c:v>29.973250831251899</c:v>
                </c:pt>
                <c:pt idx="166">
                  <c:v>29.959000855430361</c:v>
                </c:pt>
                <c:pt idx="167">
                  <c:v>29.944146544492639</c:v>
                </c:pt>
                <c:pt idx="168">
                  <c:v>29.928664476046979</c:v>
                </c:pt>
                <c:pt idx="169">
                  <c:v>29.912530509467608</c:v>
                </c:pt>
                <c:pt idx="170">
                  <c:v>29.895719780156472</c:v>
                </c:pt>
                <c:pt idx="171">
                  <c:v>29.878206695327712</c:v>
                </c:pt>
                <c:pt idx="172">
                  <c:v>29.859964931466614</c:v>
                </c:pt>
                <c:pt idx="173">
                  <c:v>29.840967433617919</c:v>
                </c:pt>
                <c:pt idx="174">
                  <c:v>29.821186416665483</c:v>
                </c:pt>
                <c:pt idx="175">
                  <c:v>29.800593368767867</c:v>
                </c:pt>
                <c:pt idx="176">
                  <c:v>29.779159057119905</c:v>
                </c:pt>
                <c:pt idx="177">
                  <c:v>29.756853536210834</c:v>
                </c:pt>
                <c:pt idx="178">
                  <c:v>29.733646158753633</c:v>
                </c:pt>
                <c:pt idx="179">
                  <c:v>29.709505589458395</c:v>
                </c:pt>
                <c:pt idx="180">
                  <c:v>29.68439982182279</c:v>
                </c:pt>
                <c:pt idx="181">
                  <c:v>29.658296198109234</c:v>
                </c:pt>
                <c:pt idx="182">
                  <c:v>29.631161432675057</c:v>
                </c:pt>
                <c:pt idx="183">
                  <c:v>29.60296163881322</c:v>
                </c:pt>
                <c:pt idx="184">
                  <c:v>29.573662359257202</c:v>
                </c:pt>
                <c:pt idx="185">
                  <c:v>29.543228600487303</c:v>
                </c:pt>
                <c:pt idx="186">
                  <c:v>29.511624870967776</c:v>
                </c:pt>
                <c:pt idx="187">
                  <c:v>29.478815223425805</c:v>
                </c:pt>
                <c:pt idx="188">
                  <c:v>29.444763301265628</c:v>
                </c:pt>
                <c:pt idx="189">
                  <c:v>29.409432389192354</c:v>
                </c:pt>
                <c:pt idx="190">
                  <c:v>29.372785468092914</c:v>
                </c:pt>
                <c:pt idx="191">
                  <c:v>29.334785274199881</c:v>
                </c:pt>
                <c:pt idx="192">
                  <c:v>29.295394362530494</c:v>
                </c:pt>
                <c:pt idx="193">
                  <c:v>29.254575174566252</c:v>
                </c:pt>
                <c:pt idx="194">
                  <c:v>29.212290110099453</c:v>
                </c:pt>
                <c:pt idx="195">
                  <c:v>29.168501603142076</c:v>
                </c:pt>
                <c:pt idx="196">
                  <c:v>29.12317220174911</c:v>
                </c:pt>
                <c:pt idx="197">
                  <c:v>29.076264651571918</c:v>
                </c:pt>
                <c:pt idx="198">
                  <c:v>29.027741982912659</c:v>
                </c:pt>
                <c:pt idx="199">
                  <c:v>28.977567601010612</c:v>
                </c:pt>
                <c:pt idx="200">
                  <c:v>28.925705379246459</c:v>
                </c:pt>
                <c:pt idx="201">
                  <c:v>28.872119754907267</c:v>
                </c:pt>
                <c:pt idx="202">
                  <c:v>28.816775827113034</c:v>
                </c:pt>
                <c:pt idx="203">
                  <c:v>28.759639456464573</c:v>
                </c:pt>
                <c:pt idx="204">
                  <c:v>28.700677365930893</c:v>
                </c:pt>
                <c:pt idx="205">
                  <c:v>28.639857242459431</c:v>
                </c:pt>
                <c:pt idx="206">
                  <c:v>28.577147838757785</c:v>
                </c:pt>
                <c:pt idx="207">
                  <c:v>28.512519074664642</c:v>
                </c:pt>
                <c:pt idx="208">
                  <c:v>28.445942137505988</c:v>
                </c:pt>
                <c:pt idx="209">
                  <c:v>28.377389580807453</c:v>
                </c:pt>
                <c:pt idx="210">
                  <c:v>28.306835420725314</c:v>
                </c:pt>
                <c:pt idx="211">
                  <c:v>28.234255229547294</c:v>
                </c:pt>
                <c:pt idx="212">
                  <c:v>28.159626225614687</c:v>
                </c:pt>
                <c:pt idx="213">
                  <c:v>28.082927359025994</c:v>
                </c:pt>
                <c:pt idx="214">
                  <c:v>28.004139392493212</c:v>
                </c:pt>
                <c:pt idx="215">
                  <c:v>27.923244976746386</c:v>
                </c:pt>
                <c:pt idx="216">
                  <c:v>27.840228719910151</c:v>
                </c:pt>
                <c:pt idx="217">
                  <c:v>27.75507725031386</c:v>
                </c:pt>
                <c:pt idx="218">
                  <c:v>27.667779272240093</c:v>
                </c:pt>
                <c:pt idx="219">
                  <c:v>27.578325614167788</c:v>
                </c:pt>
                <c:pt idx="220">
                  <c:v>27.486709269123967</c:v>
                </c:pt>
                <c:pt idx="221">
                  <c:v>27.39292542681849</c:v>
                </c:pt>
                <c:pt idx="222">
                  <c:v>27.296971497306394</c:v>
                </c:pt>
                <c:pt idx="223">
                  <c:v>27.198847125990756</c:v>
                </c:pt>
                <c:pt idx="224">
                  <c:v>27.098554199854412</c:v>
                </c:pt>
                <c:pt idx="225">
                  <c:v>26.996096844882874</c:v>
                </c:pt>
                <c:pt idx="226">
                  <c:v>26.891481414718832</c:v>
                </c:pt>
                <c:pt idx="227">
                  <c:v>26.784716470661554</c:v>
                </c:pt>
                <c:pt idx="228">
                  <c:v>26.675812753199629</c:v>
                </c:pt>
                <c:pt idx="229">
                  <c:v>26.564783145337451</c:v>
                </c:pt>
                <c:pt idx="230">
                  <c:v>26.451642628041657</c:v>
                </c:pt>
                <c:pt idx="231">
                  <c:v>26.336408228197268</c:v>
                </c:pt>
                <c:pt idx="232">
                  <c:v>26.219098959521261</c:v>
                </c:pt>
                <c:pt idx="233">
                  <c:v>26.099735756931608</c:v>
                </c:pt>
                <c:pt idx="234">
                  <c:v>25.978341404914289</c:v>
                </c:pt>
                <c:pt idx="235">
                  <c:v>25.854940460470253</c:v>
                </c:pt>
                <c:pt idx="236">
                  <c:v>25.729559171250958</c:v>
                </c:pt>
                <c:pt idx="237">
                  <c:v>25.602225389515606</c:v>
                </c:pt>
                <c:pt idx="238">
                  <c:v>25.472968482558066</c:v>
                </c:pt>
                <c:pt idx="239">
                  <c:v>25.341819240256683</c:v>
                </c:pt>
                <c:pt idx="240">
                  <c:v>25.208809780402056</c:v>
                </c:pt>
                <c:pt idx="241">
                  <c:v>25.073973452449799</c:v>
                </c:pt>
                <c:pt idx="242">
                  <c:v>24.937344740332325</c:v>
                </c:pt>
                <c:pt idx="243">
                  <c:v>24.798959164942424</c:v>
                </c:pt>
                <c:pt idx="244">
                  <c:v>24.658853186879664</c:v>
                </c:pt>
                <c:pt idx="245">
                  <c:v>24.517064110019451</c:v>
                </c:pt>
                <c:pt idx="246">
                  <c:v>24.37362998642929</c:v>
                </c:pt>
                <c:pt idx="247">
                  <c:v>24.228589523123564</c:v>
                </c:pt>
                <c:pt idx="248">
                  <c:v>24.081981991106844</c:v>
                </c:pt>
                <c:pt idx="249">
                  <c:v>23.933847137114142</c:v>
                </c:pt>
                <c:pt idx="250">
                  <c:v>23.78422509841339</c:v>
                </c:pt>
                <c:pt idx="251">
                  <c:v>23.633156320996761</c:v>
                </c:pt>
                <c:pt idx="252">
                  <c:v>23.480681481436481</c:v>
                </c:pt>
                <c:pt idx="253">
                  <c:v>23.326841412645457</c:v>
                </c:pt>
                <c:pt idx="254">
                  <c:v>23.171677033738092</c:v>
                </c:pt>
                <c:pt idx="255">
                  <c:v>23.015229284145249</c:v>
                </c:pt>
                <c:pt idx="256">
                  <c:v>22.857539062101768</c:v>
                </c:pt>
                <c:pt idx="257">
                  <c:v>22.698647167586561</c:v>
                </c:pt>
                <c:pt idx="258">
                  <c:v>22.53859424976142</c:v>
                </c:pt>
                <c:pt idx="259">
                  <c:v>22.377420758924295</c:v>
                </c:pt>
                <c:pt idx="260">
                  <c:v>22.215166902960718</c:v>
                </c:pt>
                <c:pt idx="261">
                  <c:v>22.05187260825468</c:v>
                </c:pt>
                <c:pt idx="262">
                  <c:v>21.887577484994392</c:v>
                </c:pt>
                <c:pt idx="263">
                  <c:v>21.722320796785404</c:v>
                </c:pt>
                <c:pt idx="264">
                  <c:v>21.556141434470199</c:v>
                </c:pt>
                <c:pt idx="265">
                  <c:v>21.389077894033178</c:v>
                </c:pt>
                <c:pt idx="266">
                  <c:v>21.221168258458157</c:v>
                </c:pt>
                <c:pt idx="267">
                  <c:v>21.052450183394829</c:v>
                </c:pt>
                <c:pt idx="268">
                  <c:v>20.882960886480735</c:v>
                </c:pt>
                <c:pt idx="269">
                  <c:v>20.712737140160328</c:v>
                </c:pt>
                <c:pt idx="270">
                  <c:v>20.541815267835464</c:v>
                </c:pt>
                <c:pt idx="271">
                  <c:v>20.370231143178252</c:v>
                </c:pt>
                <c:pt idx="272">
                  <c:v>20.198020192439191</c:v>
                </c:pt>
                <c:pt idx="273">
                  <c:v>20.025217399577539</c:v>
                </c:pt>
                <c:pt idx="274">
                  <c:v>19.851857314046242</c:v>
                </c:pt>
                <c:pt idx="275">
                  <c:v>19.677974061060578</c:v>
                </c:pt>
                <c:pt idx="276">
                  <c:v>19.503601354188614</c:v>
                </c:pt>
                <c:pt idx="277">
                  <c:v>19.328772510098617</c:v>
                </c:pt>
                <c:pt idx="278">
                  <c:v>19.153520465303945</c:v>
                </c:pt>
                <c:pt idx="279">
                  <c:v>18.977877794754722</c:v>
                </c:pt>
                <c:pt idx="280">
                  <c:v>18.801876732121052</c:v>
                </c:pt>
                <c:pt idx="281">
                  <c:v>18.62554919162671</c:v>
                </c:pt>
                <c:pt idx="282">
                  <c:v>18.44892679128926</c:v>
                </c:pt>
                <c:pt idx="283">
                  <c:v>18.272040877432193</c:v>
                </c:pt>
                <c:pt idx="284">
                  <c:v>18.094922550336673</c:v>
                </c:pt>
                <c:pt idx="285">
                  <c:v>17.917602690905191</c:v>
                </c:pt>
                <c:pt idx="286">
                  <c:v>17.740111988214231</c:v>
                </c:pt>
                <c:pt idx="287">
                  <c:v>17.562480967836265</c:v>
                </c:pt>
                <c:pt idx="288">
                  <c:v>17.384740020814636</c:v>
                </c:pt>
                <c:pt idx="289">
                  <c:v>17.206919433177994</c:v>
                </c:pt>
                <c:pt idx="290">
                  <c:v>17.029049415884128</c:v>
                </c:pt>
                <c:pt idx="291">
                  <c:v>16.851160135083738</c:v>
                </c:pt>
                <c:pt idx="292">
                  <c:v>16.67328174259746</c:v>
                </c:pt>
                <c:pt idx="293">
                  <c:v>16.495444406499445</c:v>
                </c:pt>
                <c:pt idx="294">
                  <c:v>16.317678341702958</c:v>
                </c:pt>
                <c:pt idx="295">
                  <c:v>16.14001384044014</c:v>
                </c:pt>
                <c:pt idx="296">
                  <c:v>15.962481302532565</c:v>
                </c:pt>
                <c:pt idx="297">
                  <c:v>15.785111265341712</c:v>
                </c:pt>
                <c:pt idx="298">
                  <c:v>15.60793443329336</c:v>
                </c:pt>
                <c:pt idx="299">
                  <c:v>15.430981706862338</c:v>
                </c:pt>
                <c:pt idx="300">
                  <c:v>15.254284210905499</c:v>
                </c:pt>
                <c:pt idx="301">
                  <c:v>15.077873322224526</c:v>
                </c:pt>
                <c:pt idx="302">
                  <c:v>14.901780696239879</c:v>
                </c:pt>
                <c:pt idx="303">
                  <c:v>14.726038292649907</c:v>
                </c:pt>
                <c:pt idx="304">
                  <c:v>14.550678399949151</c:v>
                </c:pt>
                <c:pt idx="305">
                  <c:v>14.37573365867128</c:v>
                </c:pt>
                <c:pt idx="306">
                  <c:v>14.201237083221157</c:v>
                </c:pt>
                <c:pt idx="307">
                  <c:v>14.027222082153692</c:v>
                </c:pt>
                <c:pt idx="308">
                  <c:v>13.853722476754047</c:v>
                </c:pt>
                <c:pt idx="309">
                  <c:v>13.680772517768363</c:v>
                </c:pt>
                <c:pt idx="310">
                  <c:v>13.5084069001306</c:v>
                </c:pt>
                <c:pt idx="311">
                  <c:v>13.336660775526353</c:v>
                </c:pt>
                <c:pt idx="312">
                  <c:v>13.165569762632884</c:v>
                </c:pt>
                <c:pt idx="313">
                  <c:v>12.995169954868837</c:v>
                </c:pt>
                <c:pt idx="314">
                  <c:v>12.825497925488962</c:v>
                </c:pt>
                <c:pt idx="315">
                  <c:v>12.656590729853512</c:v>
                </c:pt>
                <c:pt idx="316">
                  <c:v>12.488485904706668</c:v>
                </c:pt>
                <c:pt idx="317">
                  <c:v>12.321221464294103</c:v>
                </c:pt>
                <c:pt idx="318">
                  <c:v>12.154835893158955</c:v>
                </c:pt>
                <c:pt idx="319">
                  <c:v>11.989368135451349</c:v>
                </c:pt>
                <c:pt idx="320">
                  <c:v>11.824857580601982</c:v>
                </c:pt>
                <c:pt idx="321">
                  <c:v>11.661344045208033</c:v>
                </c:pt>
                <c:pt idx="322">
                  <c:v>11.498867750999009</c:v>
                </c:pt>
                <c:pt idx="323">
                  <c:v>11.337469298753655</c:v>
                </c:pt>
                <c:pt idx="324">
                  <c:v>11.177189638061868</c:v>
                </c:pt>
                <c:pt idx="325">
                  <c:v>11.018070032833247</c:v>
                </c:pt>
                <c:pt idx="326">
                  <c:v>10.860152022483561</c:v>
                </c:pt>
                <c:pt idx="327">
                  <c:v>10.703477378743727</c:v>
                </c:pt>
                <c:pt idx="328">
                  <c:v>10.548088058066362</c:v>
                </c:pt>
                <c:pt idx="329">
                  <c:v>10.394026149629845</c:v>
                </c:pt>
                <c:pt idx="330">
                  <c:v>10.241333818972294</c:v>
                </c:pt>
                <c:pt idx="331">
                  <c:v>10.090053247319013</c:v>
                </c:pt>
                <c:pt idx="332">
                  <c:v>9.9402265667021812</c:v>
                </c:pt>
                <c:pt idx="333">
                  <c:v>9.7918957910096474</c:v>
                </c:pt>
                <c:pt idx="334">
                  <c:v>9.6451027431417966</c:v>
                </c:pt>
                <c:pt idx="335">
                  <c:v>9.4998889784887499</c:v>
                </c:pt>
                <c:pt idx="336">
                  <c:v>9.3562957049938849</c:v>
                </c:pt>
                <c:pt idx="337">
                  <c:v>9.2143637001021954</c:v>
                </c:pt>
                <c:pt idx="338">
                  <c:v>9.0741332249424804</c:v>
                </c:pt>
                <c:pt idx="339">
                  <c:v>8.9356439361333493</c:v>
                </c:pt>
                <c:pt idx="340">
                  <c:v>8.798934795644028</c:v>
                </c:pt>
                <c:pt idx="341">
                  <c:v>8.66404397918682</c:v>
                </c:pt>
                <c:pt idx="342">
                  <c:v>8.5310087836505328</c:v>
                </c:pt>
                <c:pt idx="343">
                  <c:v>8.3998655341254054</c:v>
                </c:pt>
                <c:pt idx="344">
                  <c:v>8.2706494911013824</c:v>
                </c:pt>
                <c:pt idx="345">
                  <c:v>8.1433947584469468</c:v>
                </c:pt>
                <c:pt idx="346">
                  <c:v>8.0181341928042276</c:v>
                </c:pt>
                <c:pt idx="347">
                  <c:v>7.8948993150498872</c:v>
                </c:pt>
                <c:pt idx="348">
                  <c:v>7.7737202244834549</c:v>
                </c:pt>
                <c:pt idx="349">
                  <c:v>7.6546255164137031</c:v>
                </c:pt>
                <c:pt idx="350">
                  <c:v>7.5376422038054445</c:v>
                </c:pt>
                <c:pt idx="351">
                  <c:v>7.4227956436457179</c:v>
                </c:pt>
                <c:pt idx="352">
                  <c:v>7.3101094686685375</c:v>
                </c:pt>
                <c:pt idx="353">
                  <c:v>7.1996055250522328</c:v>
                </c:pt>
                <c:pt idx="354">
                  <c:v>7.0913038166750439</c:v>
                </c:pt>
                <c:pt idx="355">
                  <c:v>6.9852224564711927</c:v>
                </c:pt>
                <c:pt idx="356">
                  <c:v>6.8813776253855359</c:v>
                </c:pt>
                <c:pt idx="357">
                  <c:v>6.7797835393739083</c:v>
                </c:pt>
                <c:pt idx="358">
                  <c:v>6.68045242483264</c:v>
                </c:pt>
                <c:pt idx="359">
                  <c:v>6.5833945027835528</c:v>
                </c:pt>
                <c:pt idx="360">
                  <c:v>6.4886179820678569</c:v>
                </c:pt>
                <c:pt idx="361">
                  <c:v>6.3961290617338893</c:v>
                </c:pt>
                <c:pt idx="362">
                  <c:v>6.305931942729516</c:v>
                </c:pt>
                <c:pt idx="363">
                  <c:v>6.2180288489357602</c:v>
                </c:pt>
                <c:pt idx="364">
                  <c:v>6.1324200575055201</c:v>
                </c:pt>
                <c:pt idx="365">
                  <c:v>6.0491039383931398</c:v>
                </c:pt>
                <c:pt idx="366">
                  <c:v>5.9680770028959031</c:v>
                </c:pt>
                <c:pt idx="367">
                  <c:v>5.8893339609558115</c:v>
                </c:pt>
                <c:pt idx="368">
                  <c:v>5.8128677869086811</c:v>
                </c:pt>
                <c:pt idx="369">
                  <c:v>5.7386697933069852</c:v>
                </c:pt>
                <c:pt idx="370">
                  <c:v>5.6667297123940923</c:v>
                </c:pt>
                <c:pt idx="371">
                  <c:v>5.5970357847565753</c:v>
                </c:pt>
                <c:pt idx="372">
                  <c:v>5.5295748546462473</c:v>
                </c:pt>
                <c:pt idx="373">
                  <c:v>5.4643324714289125</c:v>
                </c:pt>
                <c:pt idx="374">
                  <c:v>5.4012929965966494</c:v>
                </c:pt>
                <c:pt idx="375">
                  <c:v>5.3404397157594543</c:v>
                </c:pt>
                <c:pt idx="376">
                  <c:v>5.2817549550311584</c:v>
                </c:pt>
                <c:pt idx="377">
                  <c:v>5.2252202012138751</c:v>
                </c:pt>
                <c:pt idx="378">
                  <c:v>5.1708162252037653</c:v>
                </c:pt>
                <c:pt idx="379">
                  <c:v>5.1185232080446603</c:v>
                </c:pt>
                <c:pt idx="380">
                  <c:v>5.068320869083629</c:v>
                </c:pt>
                <c:pt idx="381">
                  <c:v>5.0201885957055392</c:v>
                </c:pt>
                <c:pt idx="382">
                  <c:v>4.9741055741534144</c:v>
                </c:pt>
                <c:pt idx="383">
                  <c:v>4.9300509209860399</c:v>
                </c:pt>
                <c:pt idx="384">
                  <c:v>4.8880038147539686</c:v>
                </c:pt>
                <c:pt idx="385">
                  <c:v>4.8479436275287888</c:v>
                </c:pt>
                <c:pt idx="386">
                  <c:v>4.8098500559600001</c:v>
                </c:pt>
                <c:pt idx="387">
                  <c:v>4.7737032515875324</c:v>
                </c:pt>
                <c:pt idx="388">
                  <c:v>4.7394839501860142</c:v>
                </c:pt>
                <c:pt idx="389">
                  <c:v>4.707173599967617</c:v>
                </c:pt>
                <c:pt idx="390">
                  <c:v>4.6767544885232928</c:v>
                </c:pt>
                <c:pt idx="391">
                  <c:v>4.6482098684326463</c:v>
                </c:pt>
                <c:pt idx="392">
                  <c:v>4.6215240815232441</c:v>
                </c:pt>
                <c:pt idx="393">
                  <c:v>4.5966826818105568</c:v>
                </c:pt>
                <c:pt idx="394">
                  <c:v>4.5736725571986554</c:v>
                </c:pt>
                <c:pt idx="395">
                  <c:v>4.5524820500686953</c:v>
                </c:pt>
                <c:pt idx="396">
                  <c:v>4.5331010769274025</c:v>
                </c:pt>
                <c:pt idx="397">
                  <c:v>4.5155212473336084</c:v>
                </c:pt>
                <c:pt idx="398">
                  <c:v>4.4997359823606189</c:v>
                </c:pt>
                <c:pt idx="399">
                  <c:v>4.4857406328959879</c:v>
                </c:pt>
                <c:pt idx="400">
                  <c:v>4.4735325981151544</c:v>
                </c:pt>
                <c:pt idx="401">
                  <c:v>4.463111444506052</c:v>
                </c:pt>
                <c:pt idx="402">
                  <c:v>4.4544790258552531</c:v>
                </c:pt>
                <c:pt idx="403">
                  <c:v>4.4476396046407549</c:v>
                </c:pt>
                <c:pt idx="404">
                  <c:v>4.4425999753086352</c:v>
                </c:pt>
                <c:pt idx="405">
                  <c:v>4.4393695899424293</c:v>
                </c:pt>
                <c:pt idx="406">
                  <c:v>4.4379606868644581</c:v>
                </c:pt>
                <c:pt idx="407">
                  <c:v>4.438388422734576</c:v>
                </c:pt>
                <c:pt idx="408">
                  <c:v>4.4406710087420018</c:v>
                </c:pt>
                <c:pt idx="409">
                  <c:v>4.4448298515093869</c:v>
                </c:pt>
                <c:pt idx="410">
                  <c:v>4.4508896993543212</c:v>
                </c:pt>
                <c:pt idx="411">
                  <c:v>4.458878794573141</c:v>
                </c:pt>
                <c:pt idx="412">
                  <c:v>4.4688290324344822</c:v>
                </c:pt>
                <c:pt idx="413">
                  <c:v>4.4807761275832831</c:v>
                </c:pt>
                <c:pt idx="414">
                  <c:v>4.494759788570569</c:v>
                </c:pt>
                <c:pt idx="415">
                  <c:v>4.5108239012274538</c:v>
                </c:pt>
                <c:pt idx="416">
                  <c:v>4.5290167216047115</c:v>
                </c:pt>
                <c:pt idx="417">
                  <c:v>4.5493910791820307</c:v>
                </c:pt>
                <c:pt idx="418">
                  <c:v>4.5720045910308418</c:v>
                </c:pt>
                <c:pt idx="419">
                  <c:v>4.5969198875705679</c:v>
                </c:pt>
                <c:pt idx="420">
                  <c:v>4.6242048504927666</c:v>
                </c:pt>
                <c:pt idx="421">
                  <c:v>4.6539328633312191</c:v>
                </c:pt>
                <c:pt idx="422">
                  <c:v>4.6861830750270714</c:v>
                </c:pt>
                <c:pt idx="423">
                  <c:v>4.7210406766485082</c:v>
                </c:pt>
                <c:pt idx="424">
                  <c:v>4.7585971911813658</c:v>
                </c:pt>
                <c:pt idx="425">
                  <c:v>4.7989507759720738</c:v>
                </c:pt>
                <c:pt idx="426">
                  <c:v>4.8422065369671845</c:v>
                </c:pt>
                <c:pt idx="427">
                  <c:v>4.8884768533172176</c:v>
                </c:pt>
                <c:pt idx="428">
                  <c:v>4.9378817101534551</c:v>
                </c:pt>
                <c:pt idx="429">
                  <c:v>4.9905490363700808</c:v>
                </c:pt>
                <c:pt idx="430">
                  <c:v>5.0466150429578915</c:v>
                </c:pt>
                <c:pt idx="431">
                  <c:v>5.1062245557820871</c:v>
                </c:pt>
                <c:pt idx="432">
                  <c:v>5.1695313345555913</c:v>
                </c:pt>
                <c:pt idx="433">
                  <c:v>5.2366983669739673</c:v>
                </c:pt>
                <c:pt idx="434">
                  <c:v>5.307898123400788</c:v>
                </c:pt>
                <c:pt idx="435">
                  <c:v>5.3833127528501095</c:v>
                </c:pt>
                <c:pt idx="436">
                  <c:v>5.463134195022735</c:v>
                </c:pt>
                <c:pt idx="437">
                  <c:v>5.5475641754000886</c:v>
                </c:pt>
                <c:pt idx="438">
                  <c:v>5.6368140403845732</c:v>
                </c:pt>
                <c:pt idx="439">
                  <c:v>5.7311043764995002</c:v>
                </c:pt>
                <c:pt idx="440">
                  <c:v>5.8306643408833834</c:v>
                </c:pt>
                <c:pt idx="441">
                  <c:v>5.9357306085757946</c:v>
                </c:pt>
                <c:pt idx="442">
                  <c:v>6.0465458139559223</c:v>
                </c:pt>
                <c:pt idx="443">
                  <c:v>6.1633563272894412</c:v>
                </c:pt>
                <c:pt idx="444">
                  <c:v>6.2864091602644265</c:v>
                </c:pt>
                <c:pt idx="445">
                  <c:v>6.4159477336793724</c:v>
                </c:pt>
                <c:pt idx="446">
                  <c:v>6.5522061623362768</c:v>
                </c:pt>
                <c:pt idx="447">
                  <c:v>6.6954016122205031</c:v>
                </c:pt>
                <c:pt idx="448">
                  <c:v>6.8457241579836783</c:v>
                </c:pt>
                <c:pt idx="449">
                  <c:v>7.0033234089421557</c:v>
                </c:pt>
                <c:pt idx="450">
                  <c:v>7.1682909738992304</c:v>
                </c:pt>
                <c:pt idx="451">
                  <c:v>7.3406375955803602</c:v>
                </c:pt>
                <c:pt idx="452">
                  <c:v>7.5202635057242055</c:v>
                </c:pt>
                <c:pt idx="453">
                  <c:v>7.7069202436371365</c:v>
                </c:pt>
                <c:pt idx="454">
                  <c:v>7.9001618758775809</c:v>
                </c:pt>
                <c:pt idx="455">
                  <c:v>8.099283319691315</c:v>
                </c:pt>
                <c:pt idx="456">
                  <c:v>8.3032434343006987</c:v>
                </c:pt>
                <c:pt idx="457">
                  <c:v>8.5105709223434562</c:v>
                </c:pt>
                <c:pt idx="458">
                  <c:v>8.7192522350801482</c:v>
                </c:pt>
                <c:pt idx="459">
                  <c:v>8.9266031308281857</c:v>
                </c:pt>
                <c:pt idx="460">
                  <c:v>9.129130003006674</c:v>
                </c:pt>
                <c:pt idx="461">
                  <c:v>9.3223943411904298</c:v>
                </c:pt>
                <c:pt idx="462">
                  <c:v>9.500904192101304</c:v>
                </c:pt>
                <c:pt idx="463">
                  <c:v>9.6580696741538912</c:v>
                </c:pt>
                <c:pt idx="464">
                  <c:v>9.7862726274767837</c:v>
                </c:pt>
                <c:pt idx="465">
                  <c:v>9.8771069332785437</c:v>
                </c:pt>
                <c:pt idx="466">
                  <c:v>9.921835788606499</c:v>
                </c:pt>
                <c:pt idx="467">
                  <c:v>9.9120747221170316</c:v>
                </c:pt>
                <c:pt idx="468">
                  <c:v>9.840641718138766</c:v>
                </c:pt>
                <c:pt idx="469">
                  <c:v>9.7024343270302502</c:v>
                </c:pt>
                <c:pt idx="470">
                  <c:v>9.4951354017082075</c:v>
                </c:pt>
                <c:pt idx="471">
                  <c:v>9.2195567163210832</c:v>
                </c:pt>
                <c:pt idx="472">
                  <c:v>8.879518894272298</c:v>
                </c:pt>
                <c:pt idx="473">
                  <c:v>8.4813037525604233</c:v>
                </c:pt>
                <c:pt idx="474">
                  <c:v>8.0328352544414621</c:v>
                </c:pt>
                <c:pt idx="475">
                  <c:v>7.5427939125618142</c:v>
                </c:pt>
                <c:pt idx="476">
                  <c:v>7.0198391821363035</c:v>
                </c:pt>
                <c:pt idx="477">
                  <c:v>6.4720386975647131</c:v>
                </c:pt>
                <c:pt idx="478">
                  <c:v>5.9065254374613971</c:v>
                </c:pt>
                <c:pt idx="479">
                  <c:v>5.3293510933325692</c:v>
                </c:pt>
                <c:pt idx="480">
                  <c:v>4.7454813442628749</c:v>
                </c:pt>
                <c:pt idx="481">
                  <c:v>4.1588784022035421</c:v>
                </c:pt>
                <c:pt idx="482">
                  <c:v>3.5726270424966886</c:v>
                </c:pt>
                <c:pt idx="483">
                  <c:v>2.9890739945430251</c:v>
                </c:pt>
                <c:pt idx="484">
                  <c:v>2.4099625704448426</c:v>
                </c:pt>
                <c:pt idx="485">
                  <c:v>1.8365532406480014</c:v>
                </c:pt>
                <c:pt idx="486">
                  <c:v>1.2697266099206153</c:v>
                </c:pt>
                <c:pt idx="487">
                  <c:v>0.71006859522115007</c:v>
                </c:pt>
                <c:pt idx="488">
                  <c:v>0.15793932191695173</c:v>
                </c:pt>
                <c:pt idx="489">
                  <c:v>-0.3864720414053468</c:v>
                </c:pt>
                <c:pt idx="490">
                  <c:v>-0.92310415776350374</c:v>
                </c:pt>
                <c:pt idx="491">
                  <c:v>-1.451989913548648</c:v>
                </c:pt>
                <c:pt idx="492">
                  <c:v>-1.9732304165979622</c:v>
                </c:pt>
                <c:pt idx="493">
                  <c:v>-2.4869750023473798</c:v>
                </c:pt>
                <c:pt idx="494">
                  <c:v>-2.9934059460239046</c:v>
                </c:pt>
                <c:pt idx="495">
                  <c:v>-3.4927268387959569</c:v>
                </c:pt>
                <c:pt idx="496">
                  <c:v>-3.9851538039528087</c:v>
                </c:pt>
                <c:pt idx="497">
                  <c:v>-4.4709089071253381</c:v>
                </c:pt>
                <c:pt idx="498">
                  <c:v>-4.9502152570195079</c:v>
                </c:pt>
                <c:pt idx="499">
                  <c:v>-5.4232934057450111</c:v>
                </c:pt>
                <c:pt idx="500">
                  <c:v>-5.9011914570054742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2-463D-81A0-68F554CF810C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52.646785885625391</c:v>
                </c:pt>
                <c:pt idx="1">
                  <c:v>52.451911498745176</c:v>
                </c:pt>
                <c:pt idx="2">
                  <c:v>52.257033616382756</c:v>
                </c:pt>
                <c:pt idx="3">
                  <c:v>52.062152489378867</c:v>
                </c:pt>
                <c:pt idx="4">
                  <c:v>51.867268362054602</c:v>
                </c:pt>
                <c:pt idx="5">
                  <c:v>51.672381472702099</c:v>
                </c:pt>
                <c:pt idx="6">
                  <c:v>51.477492054062338</c:v>
                </c:pt>
                <c:pt idx="7">
                  <c:v>51.282600333792345</c:v>
                </c:pt>
                <c:pt idx="8">
                  <c:v>51.087706534921892</c:v>
                </c:pt>
                <c:pt idx="9">
                  <c:v>50.89281087630134</c:v>
                </c:pt>
                <c:pt idx="10">
                  <c:v>50.697913573041198</c:v>
                </c:pt>
                <c:pt idx="11">
                  <c:v>50.50301483694362</c:v>
                </c:pt>
                <c:pt idx="12">
                  <c:v>50.308114876928158</c:v>
                </c:pt>
                <c:pt idx="13">
                  <c:v>50.113213899450798</c:v>
                </c:pt>
                <c:pt idx="14">
                  <c:v>49.918312108919174</c:v>
                </c:pt>
                <c:pt idx="15">
                  <c:v>49.723409708102672</c:v>
                </c:pt>
                <c:pt idx="16">
                  <c:v>49.528506898539533</c:v>
                </c:pt>
                <c:pt idx="17">
                  <c:v>49.333603880942135</c:v>
                </c:pt>
                <c:pt idx="18">
                  <c:v>49.138700855599467</c:v>
                </c:pt>
                <c:pt idx="19">
                  <c:v>48.943798022779816</c:v>
                </c:pt>
                <c:pt idx="20">
                  <c:v>48.748895583132317</c:v>
                </c:pt>
                <c:pt idx="21">
                  <c:v>48.553993738089972</c:v>
                </c:pt>
                <c:pt idx="22">
                  <c:v>48.359092690274252</c:v>
                </c:pt>
                <c:pt idx="23">
                  <c:v>48.164192643901288</c:v>
                </c:pt>
                <c:pt idx="24">
                  <c:v>47.969293805191796</c:v>
                </c:pt>
                <c:pt idx="25">
                  <c:v>47.774396382784623</c:v>
                </c:pt>
                <c:pt idx="26">
                  <c:v>47.579500588155213</c:v>
                </c:pt>
                <c:pt idx="27">
                  <c:v>47.384606636039678</c:v>
                </c:pt>
                <c:pt idx="28">
                  <c:v>47.189714744864823</c:v>
                </c:pt>
                <c:pt idx="29">
                  <c:v>46.994825137186119</c:v>
                </c:pt>
                <c:pt idx="30">
                  <c:v>46.799938040132986</c:v>
                </c:pt>
                <c:pt idx="31">
                  <c:v>46.605053685864029</c:v>
                </c:pt>
                <c:pt idx="32">
                  <c:v>46.410172312031058</c:v>
                </c:pt>
                <c:pt idx="33">
                  <c:v>46.215294162254736</c:v>
                </c:pt>
                <c:pt idx="34">
                  <c:v>46.020419486611431</c:v>
                </c:pt>
                <c:pt idx="35">
                  <c:v>45.825548542133134</c:v>
                </c:pt>
                <c:pt idx="36">
                  <c:v>45.630681593320531</c:v>
                </c:pt>
                <c:pt idx="37">
                  <c:v>45.435818912671166</c:v>
                </c:pt>
                <c:pt idx="38">
                  <c:v>45.240960781222547</c:v>
                </c:pt>
                <c:pt idx="39">
                  <c:v>45.046107489113297</c:v>
                </c:pt>
                <c:pt idx="40">
                  <c:v>44.851259336160211</c:v>
                </c:pt>
                <c:pt idx="41">
                  <c:v>44.656416632455638</c:v>
                </c:pt>
                <c:pt idx="42">
                  <c:v>44.461579698984522</c:v>
                </c:pt>
                <c:pt idx="43">
                  <c:v>44.26674886826229</c:v>
                </c:pt>
                <c:pt idx="44">
                  <c:v>44.07192448499552</c:v>
                </c:pt>
                <c:pt idx="45">
                  <c:v>43.87710690676608</c:v>
                </c:pt>
                <c:pt idx="46">
                  <c:v>43.682296504740108</c:v>
                </c:pt>
                <c:pt idx="47">
                  <c:v>43.487493664403807</c:v>
                </c:pt>
                <c:pt idx="48">
                  <c:v>43.292698786326454</c:v>
                </c:pt>
                <c:pt idx="49">
                  <c:v>43.09791228695218</c:v>
                </c:pt>
                <c:pt idx="50">
                  <c:v>42.903134599423474</c:v>
                </c:pt>
                <c:pt idx="51">
                  <c:v>42.708366174435369</c:v>
                </c:pt>
                <c:pt idx="52">
                  <c:v>42.513607481124481</c:v>
                </c:pt>
                <c:pt idx="53">
                  <c:v>42.31885900799238</c:v>
                </c:pt>
                <c:pt idx="54">
                  <c:v>42.124121263866812</c:v>
                </c:pt>
                <c:pt idx="55">
                  <c:v>41.929394778901049</c:v>
                </c:pt>
                <c:pt idx="56">
                  <c:v>41.734680105614032</c:v>
                </c:pt>
                <c:pt idx="57">
                  <c:v>41.539977819972719</c:v>
                </c:pt>
                <c:pt idx="58">
                  <c:v>41.3452885225188</c:v>
                </c:pt>
                <c:pt idx="59">
                  <c:v>41.150612839542354</c:v>
                </c:pt>
                <c:pt idx="60">
                  <c:v>40.955951424302896</c:v>
                </c:pt>
                <c:pt idx="61">
                  <c:v>40.761304958301224</c:v>
                </c:pt>
                <c:pt idx="62">
                  <c:v>40.566674152605053</c:v>
                </c:pt>
                <c:pt idx="63">
                  <c:v>40.372059749228114</c:v>
                </c:pt>
                <c:pt idx="64">
                  <c:v>40.177462522567431</c:v>
                </c:pt>
                <c:pt idx="65">
                  <c:v>39.982883280900595</c:v>
                </c:pt>
                <c:pt idx="66">
                  <c:v>39.788322867944927</c:v>
                </c:pt>
                <c:pt idx="67">
                  <c:v>39.593782164481453</c:v>
                </c:pt>
                <c:pt idx="68">
                  <c:v>39.39926209004701</c:v>
                </c:pt>
                <c:pt idx="69">
                  <c:v>39.204763604696126</c:v>
                </c:pt>
                <c:pt idx="70">
                  <c:v>39.010287710836359</c:v>
                </c:pt>
                <c:pt idx="71">
                  <c:v>38.815835455139663</c:v>
                </c:pt>
                <c:pt idx="72">
                  <c:v>38.621407930532222</c:v>
                </c:pt>
                <c:pt idx="73">
                  <c:v>38.42700627826769</c:v>
                </c:pt>
                <c:pt idx="74">
                  <c:v>38.232631690084325</c:v>
                </c:pt>
                <c:pt idx="75">
                  <c:v>38.038285410451408</c:v>
                </c:pt>
                <c:pt idx="76">
                  <c:v>37.843968738907193</c:v>
                </c:pt>
                <c:pt idx="77">
                  <c:v>37.64968303249254</c:v>
                </c:pt>
                <c:pt idx="78">
                  <c:v>37.455429708281983</c:v>
                </c:pt>
                <c:pt idx="79">
                  <c:v>37.261210246018734</c:v>
                </c:pt>
                <c:pt idx="80">
                  <c:v>37.067026190853412</c:v>
                </c:pt>
                <c:pt idx="81">
                  <c:v>36.872879156194301</c:v>
                </c:pt>
                <c:pt idx="82">
                  <c:v>36.678770826668583</c:v>
                </c:pt>
                <c:pt idx="83">
                  <c:v>36.484702961202373</c:v>
                </c:pt>
                <c:pt idx="84">
                  <c:v>36.290677396218932</c:v>
                </c:pt>
                <c:pt idx="85">
                  <c:v>36.096696048964247</c:v>
                </c:pt>
                <c:pt idx="86">
                  <c:v>35.902760920957746</c:v>
                </c:pt>
                <c:pt idx="87">
                  <c:v>35.708874101577635</c:v>
                </c:pt>
                <c:pt idx="88">
                  <c:v>35.51503777177976</c:v>
                </c:pt>
                <c:pt idx="89">
                  <c:v>35.321254207957736</c:v>
                </c:pt>
                <c:pt idx="90">
                  <c:v>35.127525785945188</c:v>
                </c:pt>
                <c:pt idx="91">
                  <c:v>34.93385498516551</c:v>
                </c:pt>
                <c:pt idx="92">
                  <c:v>34.740244392931885</c:v>
                </c:pt>
                <c:pt idx="93">
                  <c:v>34.546696708901102</c:v>
                </c:pt>
                <c:pt idx="94">
                  <c:v>34.353214749684312</c:v>
                </c:pt>
                <c:pt idx="95">
                  <c:v>34.159801453619053</c:v>
                </c:pt>
                <c:pt idx="96">
                  <c:v>33.966459885702861</c:v>
                </c:pt>
                <c:pt idx="97">
                  <c:v>33.773193242694205</c:v>
                </c:pt>
                <c:pt idx="98">
                  <c:v>33.580004858380754</c:v>
                </c:pt>
                <c:pt idx="99">
                  <c:v>33.386898209017751</c:v>
                </c:pt>
                <c:pt idx="100">
                  <c:v>33.193876918939097</c:v>
                </c:pt>
                <c:pt idx="101">
                  <c:v>33.00094476634024</c:v>
                </c:pt>
                <c:pt idx="102">
                  <c:v>32.808105689235511</c:v>
                </c:pt>
                <c:pt idx="103">
                  <c:v>32.615363791589346</c:v>
                </c:pt>
                <c:pt idx="104">
                  <c:v>32.422723349620298</c:v>
                </c:pt>
                <c:pt idx="105">
                  <c:v>32.230188818276766</c:v>
                </c:pt>
                <c:pt idx="106">
                  <c:v>32.037764837884595</c:v>
                </c:pt>
                <c:pt idx="107">
                  <c:v>31.845456240958541</c:v>
                </c:pt>
                <c:pt idx="108">
                  <c:v>31.653268059180252</c:v>
                </c:pt>
                <c:pt idx="109">
                  <c:v>31.461205530532069</c:v>
                </c:pt>
                <c:pt idx="110">
                  <c:v>31.269274106583293</c:v>
                </c:pt>
                <c:pt idx="111">
                  <c:v>31.07747945992136</c:v>
                </c:pt>
                <c:pt idx="112">
                  <c:v>30.885827491718107</c:v>
                </c:pt>
                <c:pt idx="113">
                  <c:v>30.694324339420341</c:v>
                </c:pt>
                <c:pt idx="114">
                  <c:v>30.502976384554174</c:v>
                </c:pt>
                <c:pt idx="115">
                  <c:v>30.311790260625997</c:v>
                </c:pt>
                <c:pt idx="116">
                  <c:v>30.120772861107245</c:v>
                </c:pt>
                <c:pt idx="117">
                  <c:v>29.92993134748227</c:v>
                </c:pt>
                <c:pt idx="118">
                  <c:v>29.739273157338374</c:v>
                </c:pt>
                <c:pt idx="119">
                  <c:v>29.548806012476298</c:v>
                </c:pt>
                <c:pt idx="120">
                  <c:v>29.358537927013227</c:v>
                </c:pt>
                <c:pt idx="121">
                  <c:v>29.168477215450679</c:v>
                </c:pt>
                <c:pt idx="122">
                  <c:v>28.978632500672781</c:v>
                </c:pt>
                <c:pt idx="123">
                  <c:v>28.78901272184185</c:v>
                </c:pt>
                <c:pt idx="124">
                  <c:v>28.599627142149625</c:v>
                </c:pt>
                <c:pt idx="125">
                  <c:v>28.410485356381816</c:v>
                </c:pt>
                <c:pt idx="126">
                  <c:v>28.221597298248646</c:v>
                </c:pt>
                <c:pt idx="127">
                  <c:v>28.032973247429457</c:v>
                </c:pt>
                <c:pt idx="128">
                  <c:v>27.844623836275808</c:v>
                </c:pt>
                <c:pt idx="129">
                  <c:v>27.656560056110717</c:v>
                </c:pt>
                <c:pt idx="130">
                  <c:v>27.468793263060306</c:v>
                </c:pt>
                <c:pt idx="131">
                  <c:v>27.281335183344314</c:v>
                </c:pt>
                <c:pt idx="132">
                  <c:v>27.094197917951377</c:v>
                </c:pt>
                <c:pt idx="133">
                  <c:v>26.907393946615539</c:v>
                </c:pt>
                <c:pt idx="134">
                  <c:v>26.72093613100747</c:v>
                </c:pt>
                <c:pt idx="135">
                  <c:v>26.534837717046269</c:v>
                </c:pt>
                <c:pt idx="136">
                  <c:v>26.349112336233787</c:v>
                </c:pt>
                <c:pt idx="137">
                  <c:v>26.163774005905264</c:v>
                </c:pt>
                <c:pt idx="138">
                  <c:v>25.978837128287168</c:v>
                </c:pt>
                <c:pt idx="139">
                  <c:v>25.794316488243652</c:v>
                </c:pt>
                <c:pt idx="140">
                  <c:v>25.610227249592175</c:v>
                </c:pt>
                <c:pt idx="141">
                  <c:v>25.426584949858235</c:v>
                </c:pt>
                <c:pt idx="142">
                  <c:v>25.243405493339203</c:v>
                </c:pt>
                <c:pt idx="143">
                  <c:v>25.060705142338087</c:v>
                </c:pt>
                <c:pt idx="144">
                  <c:v>24.878500506427645</c:v>
                </c:pt>
                <c:pt idx="145">
                  <c:v>24.696808529600389</c:v>
                </c:pt>
                <c:pt idx="146">
                  <c:v>24.515646475155059</c:v>
                </c:pt>
                <c:pt idx="147">
                  <c:v>24.335031908173015</c:v>
                </c:pt>
                <c:pt idx="148">
                  <c:v>24.154982675433239</c:v>
                </c:pt>
                <c:pt idx="149">
                  <c:v>23.975516882616056</c:v>
                </c:pt>
                <c:pt idx="150">
                  <c:v>23.796652868649225</c:v>
                </c:pt>
                <c:pt idx="151">
                  <c:v>23.618409177050449</c:v>
                </c:pt>
                <c:pt idx="152">
                  <c:v>23.440804524127213</c:v>
                </c:pt>
                <c:pt idx="153">
                  <c:v>23.263857763901676</c:v>
                </c:pt>
                <c:pt idx="154">
                  <c:v>23.08758784963554</c:v>
                </c:pt>
                <c:pt idx="155">
                  <c:v>22.91201379184286</c:v>
                </c:pt>
                <c:pt idx="156">
                  <c:v>22.737154612691057</c:v>
                </c:pt>
                <c:pt idx="157">
                  <c:v>22.563029296705988</c:v>
                </c:pt>
                <c:pt idx="158">
                  <c:v>22.389656737716184</c:v>
                </c:pt>
                <c:pt idx="159">
                  <c:v>22.217055681992775</c:v>
                </c:pt>
                <c:pt idx="160">
                  <c:v>22.045244667564948</c:v>
                </c:pt>
                <c:pt idx="161">
                  <c:v>21.87424195971797</c:v>
                </c:pt>
                <c:pt idx="162">
                  <c:v>21.704065482712632</c:v>
                </c:pt>
                <c:pt idx="163">
                  <c:v>21.534732747794806</c:v>
                </c:pt>
                <c:pt idx="164">
                  <c:v>21.366260777601717</c:v>
                </c:pt>
                <c:pt idx="165">
                  <c:v>21.198666027110974</c:v>
                </c:pt>
                <c:pt idx="166">
                  <c:v>21.031964301316311</c:v>
                </c:pt>
                <c:pt idx="167">
                  <c:v>20.866170669860711</c:v>
                </c:pt>
                <c:pt idx="168">
                  <c:v>20.701299378901851</c:v>
                </c:pt>
                <c:pt idx="169">
                  <c:v>20.537363760531463</c:v>
                </c:pt>
                <c:pt idx="170">
                  <c:v>20.374376140119832</c:v>
                </c:pt>
                <c:pt idx="171">
                  <c:v>20.212347742005399</c:v>
                </c:pt>
                <c:pt idx="172">
                  <c:v>20.051288593998535</c:v>
                </c:pt>
                <c:pt idx="173">
                  <c:v>19.891207431217623</c:v>
                </c:pt>
                <c:pt idx="174">
                  <c:v>19.732111599824222</c:v>
                </c:pt>
                <c:pt idx="175">
                  <c:v>19.574006961268346</c:v>
                </c:pt>
                <c:pt idx="176">
                  <c:v>19.416897797698546</c:v>
                </c:pt>
                <c:pt idx="177">
                  <c:v>19.260786719231692</c:v>
                </c:pt>
                <c:pt idx="178">
                  <c:v>19.105674573811182</c:v>
                </c:pt>
                <c:pt idx="179">
                  <c:v>18.95156036041341</c:v>
                </c:pt>
                <c:pt idx="180">
                  <c:v>18.798441146383698</c:v>
                </c:pt>
                <c:pt idx="181">
                  <c:v>18.646311989702706</c:v>
                </c:pt>
                <c:pt idx="182">
                  <c:v>18.495165866990437</c:v>
                </c:pt>
                <c:pt idx="183">
                  <c:v>18.344993608056445</c:v>
                </c:pt>
                <c:pt idx="184">
                  <c:v>18.195783837797833</c:v>
                </c:pt>
                <c:pt idx="185">
                  <c:v>18.047522926225856</c:v>
                </c:pt>
                <c:pt idx="186">
                  <c:v>17.900194947375802</c:v>
                </c:pt>
                <c:pt idx="187">
                  <c:v>17.75378164781765</c:v>
                </c:pt>
                <c:pt idx="188">
                  <c:v>17.608262425433168</c:v>
                </c:pt>
                <c:pt idx="189">
                  <c:v>17.463614319071965</c:v>
                </c:pt>
                <c:pt idx="190">
                  <c:v>17.319812009625299</c:v>
                </c:pt>
                <c:pt idx="191">
                  <c:v>17.17682783298352</c:v>
                </c:pt>
                <c:pt idx="192">
                  <c:v>17.034631805252914</c:v>
                </c:pt>
                <c:pt idx="193">
                  <c:v>16.893191660515654</c:v>
                </c:pt>
                <c:pt idx="194">
                  <c:v>16.75247290131378</c:v>
                </c:pt>
                <c:pt idx="195">
                  <c:v>16.612438861930737</c:v>
                </c:pt>
                <c:pt idx="196">
                  <c:v>16.473050784432552</c:v>
                </c:pt>
                <c:pt idx="197">
                  <c:v>16.334267907313357</c:v>
                </c:pt>
                <c:pt idx="198">
                  <c:v>16.196047566474821</c:v>
                </c:pt>
                <c:pt idx="199">
                  <c:v>16.058345308148546</c:v>
                </c:pt>
                <c:pt idx="200">
                  <c:v>15.921115013256705</c:v>
                </c:pt>
                <c:pt idx="201">
                  <c:v>15.78430903258857</c:v>
                </c:pt>
                <c:pt idx="202">
                  <c:v>15.647878332064813</c:v>
                </c:pt>
                <c:pt idx="203">
                  <c:v>15.511772647255933</c:v>
                </c:pt>
                <c:pt idx="204">
                  <c:v>15.375940646223686</c:v>
                </c:pt>
                <c:pt idx="205">
                  <c:v>15.240330099669691</c:v>
                </c:pt>
                <c:pt idx="206">
                  <c:v>15.104888057296465</c:v>
                </c:pt>
                <c:pt idx="207">
                  <c:v>14.969561029218053</c:v>
                </c:pt>
                <c:pt idx="208">
                  <c:v>14.834295171208549</c:v>
                </c:pt>
                <c:pt idx="209">
                  <c:v>14.699036472527924</c:v>
                </c:pt>
                <c:pt idx="210">
                  <c:v>14.563730945045091</c:v>
                </c:pt>
                <c:pt idx="211">
                  <c:v>14.428324812358122</c:v>
                </c:pt>
                <c:pt idx="212">
                  <c:v>14.292764697614199</c:v>
                </c:pt>
                <c:pt idx="213">
                  <c:v>14.156997808748958</c:v>
                </c:pt>
                <c:pt idx="214">
                  <c:v>14.020972119888423</c:v>
                </c:pt>
                <c:pt idx="215">
                  <c:v>13.884636547703199</c:v>
                </c:pt>
                <c:pt idx="216">
                  <c:v>13.747941121557023</c:v>
                </c:pt>
                <c:pt idx="217">
                  <c:v>13.610837146360492</c:v>
                </c:pt>
                <c:pt idx="218">
                  <c:v>13.473277357116979</c:v>
                </c:pt>
                <c:pt idx="219">
                  <c:v>13.335216064237892</c:v>
                </c:pt>
                <c:pt idx="220">
                  <c:v>13.196609288800877</c:v>
                </c:pt>
                <c:pt idx="221">
                  <c:v>13.057414887026091</c:v>
                </c:pt>
                <c:pt idx="222">
                  <c:v>12.917592663360859</c:v>
                </c:pt>
                <c:pt idx="223">
                  <c:v>12.777104471671516</c:v>
                </c:pt>
                <c:pt idx="224">
                  <c:v>12.635914304162576</c:v>
                </c:pt>
                <c:pt idx="225">
                  <c:v>12.493988367758972</c:v>
                </c:pt>
                <c:pt idx="226">
                  <c:v>12.351295147805889</c:v>
                </c:pt>
                <c:pt idx="227">
                  <c:v>12.20780545905567</c:v>
                </c:pt>
                <c:pt idx="228">
                  <c:v>12.063492484023154</c:v>
                </c:pt>
                <c:pt idx="229">
                  <c:v>11.918331798900597</c:v>
                </c:pt>
                <c:pt idx="230">
                  <c:v>11.772301387320054</c:v>
                </c:pt>
                <c:pt idx="231">
                  <c:v>11.625381642350368</c:v>
                </c:pt>
                <c:pt idx="232">
                  <c:v>11.477555357198465</c:v>
                </c:pt>
                <c:pt idx="233">
                  <c:v>11.328807705163666</c:v>
                </c:pt>
                <c:pt idx="234">
                  <c:v>11.179126209460366</c:v>
                </c:pt>
                <c:pt idx="235">
                  <c:v>11.028500703584537</c:v>
                </c:pt>
                <c:pt idx="236">
                  <c:v>10.876923282944869</c:v>
                </c:pt>
                <c:pt idx="237">
                  <c:v>10.724388248517917</c:v>
                </c:pt>
                <c:pt idx="238">
                  <c:v>10.570892043314444</c:v>
                </c:pt>
                <c:pt idx="239">
                  <c:v>10.416433182462665</c:v>
                </c:pt>
                <c:pt idx="240">
                  <c:v>10.261012177718531</c:v>
                </c:pt>
                <c:pt idx="241">
                  <c:v>10.104631457217787</c:v>
                </c:pt>
                <c:pt idx="242">
                  <c:v>9.9472952812709838</c:v>
                </c:pt>
                <c:pt idx="243">
                  <c:v>9.7890096549861685</c:v>
                </c:pt>
                <c:pt idx="244">
                  <c:v>9.6297822384827789</c:v>
                </c:pt>
                <c:pt idx="245">
                  <c:v>9.4696222554289093</c:v>
                </c:pt>
                <c:pt idx="246">
                  <c:v>9.3085404005960743</c:v>
                </c:pt>
                <c:pt idx="247">
                  <c:v>9.1465487470916287</c:v>
                </c:pt>
                <c:pt idx="248">
                  <c:v>8.9836606538810955</c:v>
                </c:pt>
                <c:pt idx="249">
                  <c:v>8.8198906741696739</c:v>
                </c:pt>
                <c:pt idx="250">
                  <c:v>8.6552544651618248</c:v>
                </c:pt>
                <c:pt idx="251">
                  <c:v>8.4897686996742543</c:v>
                </c:pt>
                <c:pt idx="252">
                  <c:v>8.3234509800198904</c:v>
                </c:pt>
                <c:pt idx="253">
                  <c:v>8.1563197545394548</c:v>
                </c:pt>
                <c:pt idx="254">
                  <c:v>7.9883942371054371</c:v>
                </c:pt>
                <c:pt idx="255">
                  <c:v>7.8196943298738706</c:v>
                </c:pt>
                <c:pt idx="256">
                  <c:v>7.6502405495185322</c:v>
                </c:pt>
                <c:pt idx="257">
                  <c:v>7.4800539571357039</c:v>
                </c:pt>
                <c:pt idx="258">
                  <c:v>7.3091560919665319</c:v>
                </c:pt>
                <c:pt idx="259">
                  <c:v>7.1375689090493886</c:v>
                </c:pt>
                <c:pt idx="260">
                  <c:v>6.9653147208705519</c:v>
                </c:pt>
                <c:pt idx="261">
                  <c:v>6.7924161430595049</c:v>
                </c:pt>
                <c:pt idx="262">
                  <c:v>6.6188960441370188</c:v>
                </c:pt>
                <c:pt idx="263">
                  <c:v>6.4447774992987306</c:v>
                </c:pt>
                <c:pt idx="264">
                  <c:v>6.2700837481961358</c:v>
                </c:pt>
                <c:pt idx="265">
                  <c:v>6.0948381566513632</c:v>
                </c:pt>
                <c:pt idx="266">
                  <c:v>5.9190641822251688</c:v>
                </c:pt>
                <c:pt idx="267">
                  <c:v>5.7427853435423355</c:v>
                </c:pt>
                <c:pt idx="268">
                  <c:v>5.5660251932620142</c:v>
                </c:pt>
                <c:pt idx="269">
                  <c:v>5.3888072945736099</c:v>
                </c:pt>
                <c:pt idx="270">
                  <c:v>5.2111552010860489</c:v>
                </c:pt>
                <c:pt idx="271">
                  <c:v>5.0330924399688683</c:v>
                </c:pt>
                <c:pt idx="272">
                  <c:v>4.8546424982069851</c:v>
                </c:pt>
                <c:pt idx="273">
                  <c:v>4.6758288118154105</c:v>
                </c:pt>
                <c:pt idx="274">
                  <c:v>4.4966747578662094</c:v>
                </c:pt>
                <c:pt idx="275">
                  <c:v>4.3172036491734946</c:v>
                </c:pt>
                <c:pt idx="276">
                  <c:v>4.1374387314860606</c:v>
                </c:pt>
                <c:pt idx="277">
                  <c:v>3.9574031830339429</c:v>
                </c:pt>
                <c:pt idx="278">
                  <c:v>3.777120116277958</c:v>
                </c:pt>
                <c:pt idx="279">
                  <c:v>3.5966125817160641</c:v>
                </c:pt>
                <c:pt idx="280">
                  <c:v>3.4159035735960437</c:v>
                </c:pt>
                <c:pt idx="281">
                  <c:v>3.2350160373945034</c:v>
                </c:pt>
                <c:pt idx="282">
                  <c:v>3.0539728789188469</c:v>
                </c:pt>
                <c:pt idx="283">
                  <c:v>2.8727969748957758</c:v>
                </c:pt>
                <c:pt idx="284">
                  <c:v>2.6915111849116204</c:v>
                </c:pt>
                <c:pt idx="285">
                  <c:v>2.5101383645718602</c:v>
                </c:pt>
                <c:pt idx="286">
                  <c:v>2.3287013797520615</c:v>
                </c:pt>
                <c:pt idx="287">
                  <c:v>2.1472231218136812</c:v>
                </c:pt>
                <c:pt idx="288">
                  <c:v>1.9657265236612655</c:v>
                </c:pt>
                <c:pt idx="289">
                  <c:v>1.7842345765190295</c:v>
                </c:pt>
                <c:pt idx="290">
                  <c:v>1.6027703473074943</c:v>
                </c:pt>
                <c:pt idx="291">
                  <c:v>1.4213569965012844</c:v>
                </c:pt>
                <c:pt idx="292">
                  <c:v>1.2400177963505392</c:v>
                </c:pt>
                <c:pt idx="293">
                  <c:v>1.0587761493484482</c:v>
                </c:pt>
                <c:pt idx="294">
                  <c:v>0.87765560682882438</c:v>
                </c:pt>
                <c:pt idx="295">
                  <c:v>0.69667988757379362</c:v>
                </c:pt>
                <c:pt idx="296">
                  <c:v>0.51587289631635969</c:v>
                </c:pt>
                <c:pt idx="297">
                  <c:v>0.33525874201358263</c:v>
                </c:pt>
                <c:pt idx="298">
                  <c:v>0.15486175577212613</c:v>
                </c:pt>
                <c:pt idx="299">
                  <c:v>-2.5293491700756121E-2</c:v>
                </c:pt>
                <c:pt idx="300">
                  <c:v>-0.20518217324601196</c:v>
                </c:pt>
                <c:pt idx="301">
                  <c:v>-0.38477918913443787</c:v>
                </c:pt>
                <c:pt idx="302">
                  <c:v>-0.56405915181128741</c:v>
                </c:pt>
                <c:pt idx="303">
                  <c:v>-0.74299637164532406</c:v>
                </c:pt>
                <c:pt idx="304">
                  <c:v>-0.92156484382152115</c:v>
                </c:pt>
                <c:pt idx="305">
                  <c:v>-1.099738236524761</c:v>
                </c:pt>
                <c:pt idx="306">
                  <c:v>-1.2774898805650494</c:v>
                </c:pt>
                <c:pt idx="307">
                  <c:v>-1.4547927605988242</c:v>
                </c:pt>
                <c:pt idx="308">
                  <c:v>-1.6316195081064162</c:v>
                </c:pt>
                <c:pt idx="309">
                  <c:v>-1.8079423962885297</c:v>
                </c:pt>
                <c:pt idx="310">
                  <c:v>-1.9837333370503494</c:v>
                </c:pt>
                <c:pt idx="311">
                  <c:v>-2.1589638802443378</c:v>
                </c:pt>
                <c:pt idx="312">
                  <c:v>-2.3336052153457096</c:v>
                </c:pt>
                <c:pt idx="313">
                  <c:v>-2.5076281757387591</c:v>
                </c:pt>
                <c:pt idx="314">
                  <c:v>-2.6810032457904658</c:v>
                </c:pt>
                <c:pt idx="315">
                  <c:v>-2.8537005708938885</c:v>
                </c:pt>
                <c:pt idx="316">
                  <c:v>-3.0256899706563072</c:v>
                </c:pt>
                <c:pt idx="317">
                  <c:v>-3.196940955413913</c:v>
                </c:pt>
                <c:pt idx="318">
                  <c:v>-3.3674227462418767</c:v>
                </c:pt>
                <c:pt idx="319">
                  <c:v>-3.5371042986345795</c:v>
                </c:pt>
                <c:pt idx="320">
                  <c:v>-3.705954330012581</c:v>
                </c:pt>
                <c:pt idx="321">
                  <c:v>-3.8739413512159508</c:v>
                </c:pt>
                <c:pt idx="322">
                  <c:v>-4.041033702121938</c:v>
                </c:pt>
                <c:pt idx="323">
                  <c:v>-4.2071995915211691</c:v>
                </c:pt>
                <c:pt idx="324">
                  <c:v>-4.3724071413616912</c:v>
                </c:pt>
                <c:pt idx="325">
                  <c:v>-4.5366244354621195</c:v>
                </c:pt>
                <c:pt idx="326">
                  <c:v>-4.6998195727632321</c:v>
                </c:pt>
                <c:pt idx="327">
                  <c:v>-4.8619607251728034</c:v>
                </c:pt>
                <c:pt idx="328">
                  <c:v>-5.0230162000260314</c:v>
                </c:pt>
                <c:pt idx="329">
                  <c:v>-5.1829545071569321</c:v>
                </c:pt>
                <c:pt idx="330">
                  <c:v>-5.341744430542013</c:v>
                </c:pt>
                <c:pt idx="331">
                  <c:v>-5.4993551044442341</c:v>
                </c:pt>
                <c:pt idx="332">
                  <c:v>-5.6557560939457456</c:v>
                </c:pt>
                <c:pt idx="333">
                  <c:v>-5.8109174797198069</c:v>
                </c:pt>
                <c:pt idx="334">
                  <c:v>-5.964809946845298</c:v>
                </c:pt>
                <c:pt idx="335">
                  <c:v>-6.1174048774315626</c:v>
                </c:pt>
                <c:pt idx="336">
                  <c:v>-6.2686744467639617</c:v>
                </c:pt>
                <c:pt idx="337">
                  <c:v>-6.4185917226449085</c:v>
                </c:pt>
                <c:pt idx="338">
                  <c:v>-6.5671307675497239</c:v>
                </c:pt>
                <c:pt idx="339">
                  <c:v>-6.7142667431727574</c:v>
                </c:pt>
                <c:pt idx="340">
                  <c:v>-6.8599760168935795</c:v>
                </c:pt>
                <c:pt idx="341">
                  <c:v>-7.004236269640872</c:v>
                </c:pt>
                <c:pt idx="342">
                  <c:v>-7.14702660459775</c:v>
                </c:pt>
                <c:pt idx="343">
                  <c:v>-7.2883276561412682</c:v>
                </c:pt>
                <c:pt idx="344">
                  <c:v>-7.4281216983773835</c:v>
                </c:pt>
                <c:pt idx="345">
                  <c:v>-7.5663927525954247</c:v>
                </c:pt>
                <c:pt idx="346">
                  <c:v>-7.7031266929383495</c:v>
                </c:pt>
                <c:pt idx="347">
                  <c:v>-7.8383113495590653</c:v>
                </c:pt>
                <c:pt idx="348">
                  <c:v>-7.9719366085188703</c:v>
                </c:pt>
                <c:pt idx="349">
                  <c:v>-8.1039945076656643</c:v>
                </c:pt>
                <c:pt idx="350">
                  <c:v>-8.2344793277333075</c:v>
                </c:pt>
                <c:pt idx="351">
                  <c:v>-8.363387677898416</c:v>
                </c:pt>
                <c:pt idx="352">
                  <c:v>-8.4907185750444931</c:v>
                </c:pt>
                <c:pt idx="353">
                  <c:v>-8.6164735160006067</c:v>
                </c:pt>
                <c:pt idx="354">
                  <c:v>-8.7406565420456435</c:v>
                </c:pt>
                <c:pt idx="355">
                  <c:v>-8.8632742950027854</c:v>
                </c:pt>
                <c:pt idx="356">
                  <c:v>-8.9843360642870973</c:v>
                </c:pt>
                <c:pt idx="357">
                  <c:v>-9.103853824316726</c:v>
                </c:pt>
                <c:pt idx="358">
                  <c:v>-9.2218422617509113</c:v>
                </c:pt>
                <c:pt idx="359">
                  <c:v>-9.3383187920736113</c:v>
                </c:pt>
                <c:pt idx="360">
                  <c:v>-9.4533035651080404</c:v>
                </c:pt>
                <c:pt idx="361">
                  <c:v>-9.56681945911048</c:v>
                </c:pt>
                <c:pt idx="362">
                  <c:v>-9.6788920631660496</c:v>
                </c:pt>
                <c:pt idx="363">
                  <c:v>-9.7895496476764023</c:v>
                </c:pt>
                <c:pt idx="364">
                  <c:v>-9.8988231228047248</c:v>
                </c:pt>
                <c:pt idx="365">
                  <c:v>-10.006745984818549</c:v>
                </c:pt>
                <c:pt idx="366">
                  <c:v>-10.113354250340784</c:v>
                </c:pt>
                <c:pt idx="367">
                  <c:v>-10.218686378590766</c:v>
                </c:pt>
                <c:pt idx="368">
                  <c:v>-10.32278318176701</c:v>
                </c:pt>
                <c:pt idx="369">
                  <c:v>-10.425687723790187</c:v>
                </c:pt>
                <c:pt idx="370">
                  <c:v>-10.527445207680641</c:v>
                </c:pt>
                <c:pt idx="371">
                  <c:v>-10.628102851910711</c:v>
                </c:pt>
                <c:pt idx="372">
                  <c:v>-10.727709756117049</c:v>
                </c:pt>
                <c:pt idx="373">
                  <c:v>-10.826316756612682</c:v>
                </c:pt>
                <c:pt idx="374">
                  <c:v>-10.923976272174627</c:v>
                </c:pt>
                <c:pt idx="375">
                  <c:v>-11.020742140627352</c:v>
                </c:pt>
                <c:pt idx="376">
                  <c:v>-11.11666944676746</c:v>
                </c:pt>
                <c:pt idx="377">
                  <c:v>-11.211814342211412</c:v>
                </c:pt>
                <c:pt idx="378">
                  <c:v>-11.306233857761502</c:v>
                </c:pt>
                <c:pt idx="379">
                  <c:v>-11.399985708911522</c:v>
                </c:pt>
                <c:pt idx="380">
                  <c:v>-11.493128095122831</c:v>
                </c:pt>
                <c:pt idx="381">
                  <c:v>-11.585719493514121</c:v>
                </c:pt>
                <c:pt idx="382">
                  <c:v>-11.677818447618998</c:v>
                </c:pt>
                <c:pt idx="383">
                  <c:v>-11.769483351859957</c:v>
                </c:pt>
                <c:pt idx="384">
                  <c:v>-11.860772232401271</c:v>
                </c:pt>
                <c:pt idx="385">
                  <c:v>-11.951742525031126</c:v>
                </c:pt>
                <c:pt idx="386">
                  <c:v>-12.042450850728853</c:v>
                </c:pt>
                <c:pt idx="387">
                  <c:v>-12.132952789560106</c:v>
                </c:pt>
                <c:pt idx="388">
                  <c:v>-12.223302653540941</c:v>
                </c:pt>
                <c:pt idx="389">
                  <c:v>-12.313553259096683</c:v>
                </c:pt>
                <c:pt idx="390">
                  <c:v>-12.403755699733445</c:v>
                </c:pt>
                <c:pt idx="391">
                  <c:v>-12.493959119520321</c:v>
                </c:pt>
                <c:pt idx="392">
                  <c:v>-12.584210487966203</c:v>
                </c:pt>
                <c:pt idx="393">
                  <c:v>-12.674554376850718</c:v>
                </c:pt>
                <c:pt idx="394">
                  <c:v>-12.765032739545056</c:v>
                </c:pt>
                <c:pt idx="395">
                  <c:v>-12.855684693328415</c:v>
                </c:pt>
                <c:pt idx="396">
                  <c:v>-12.946546305173094</c:v>
                </c:pt>
                <c:pt idx="397">
                  <c:v>-13.037650381430179</c:v>
                </c:pt>
                <c:pt idx="398">
                  <c:v>-13.129026261807368</c:v>
                </c:pt>
                <c:pt idx="399">
                  <c:v>-13.220699617976367</c:v>
                </c:pt>
                <c:pt idx="400">
                  <c:v>-13.312692257096506</c:v>
                </c:pt>
                <c:pt idx="401">
                  <c:v>-13.405021930475744</c:v>
                </c:pt>
                <c:pt idx="402">
                  <c:v>-13.497702147525352</c:v>
                </c:pt>
                <c:pt idx="403">
                  <c:v>-13.590741995090927</c:v>
                </c:pt>
                <c:pt idx="404">
                  <c:v>-13.684145962162198</c:v>
                </c:pt>
                <c:pt idx="405">
                  <c:v>-13.777913769882723</c:v>
                </c:pt>
                <c:pt idx="406">
                  <c:v>-13.872040206687206</c:v>
                </c:pt>
                <c:pt idx="407">
                  <c:v>-13.966514968308367</c:v>
                </c:pt>
                <c:pt idx="408">
                  <c:v>-14.061322502292061</c:v>
                </c:pt>
                <c:pt idx="409">
                  <c:v>-14.156441856568176</c:v>
                </c:pt>
                <c:pt idx="410">
                  <c:v>-14.251846531520592</c:v>
                </c:pt>
                <c:pt idx="411">
                  <c:v>-14.347504334908436</c:v>
                </c:pt>
                <c:pt idx="412">
                  <c:v>-14.443377238887919</c:v>
                </c:pt>
                <c:pt idx="413">
                  <c:v>-14.539421238299525</c:v>
                </c:pt>
                <c:pt idx="414">
                  <c:v>-14.635586209296097</c:v>
                </c:pt>
                <c:pt idx="415">
                  <c:v>-14.731815767314789</c:v>
                </c:pt>
                <c:pt idx="416">
                  <c:v>-14.828047123325778</c:v>
                </c:pt>
                <c:pt idx="417">
                  <c:v>-14.924210937249853</c:v>
                </c:pt>
                <c:pt idx="418">
                  <c:v>-15.020231167398437</c:v>
                </c:pt>
                <c:pt idx="419">
                  <c:v>-15.116024914786717</c:v>
                </c:pt>
                <c:pt idx="420">
                  <c:v>-15.211502261193722</c:v>
                </c:pt>
                <c:pt idx="421">
                  <c:v>-15.306566099903955</c:v>
                </c:pt>
                <c:pt idx="422">
                  <c:v>-15.401111958168002</c:v>
                </c:pt>
                <c:pt idx="423">
                  <c:v>-15.495027810587905</c:v>
                </c:pt>
                <c:pt idx="424">
                  <c:v>-15.588193882866367</c:v>
                </c:pt>
                <c:pt idx="425">
                  <c:v>-15.680482445687154</c:v>
                </c:pt>
                <c:pt idx="426">
                  <c:v>-15.77175759893513</c:v>
                </c:pt>
                <c:pt idx="427">
                  <c:v>-15.861875047050091</c:v>
                </c:pt>
                <c:pt idx="428">
                  <c:v>-15.950681867082601</c:v>
                </c:pt>
                <c:pt idx="429">
                  <c:v>-16.03801627201937</c:v>
                </c:pt>
                <c:pt idx="430">
                  <c:v>-16.12370737325617</c:v>
                </c:pt>
                <c:pt idx="431">
                  <c:v>-16.207574947783097</c:v>
                </c:pt>
                <c:pt idx="432">
                  <c:v>-16.2894292178227</c:v>
                </c:pt>
                <c:pt idx="433">
                  <c:v>-16.369070653482403</c:v>
                </c:pt>
                <c:pt idx="434">
                  <c:v>-16.446289812603396</c:v>
                </c:pt>
                <c:pt idx="435">
                  <c:v>-16.520867236669979</c:v>
                </c:pt>
                <c:pt idx="436">
                  <c:v>-16.592573427677703</c:v>
                </c:pt>
                <c:pt idx="437">
                  <c:v>-16.661168938653176</c:v>
                </c:pt>
                <c:pt idx="438">
                  <c:v>-16.7264046205784</c:v>
                </c:pt>
                <c:pt idx="439">
                  <c:v>-16.788022081489267</c:v>
                </c:pt>
                <c:pt idx="440">
                  <c:v>-16.845754430338527</c:v>
                </c:pt>
                <c:pt idx="441">
                  <c:v>-16.899327399990543</c:v>
                </c:pt>
                <c:pt idx="442">
                  <c:v>-16.948460971888721</c:v>
                </c:pt>
                <c:pt idx="443">
                  <c:v>-16.992871661377713</c:v>
                </c:pt>
                <c:pt idx="444">
                  <c:v>-17.032275669773082</c:v>
                </c:pt>
                <c:pt idx="445">
                  <c:v>-17.066393170014344</c:v>
                </c:pt>
                <c:pt idx="446">
                  <c:v>-17.094954070882636</c:v>
                </c:pt>
                <c:pt idx="447">
                  <c:v>-17.117705704753412</c:v>
                </c:pt>
                <c:pt idx="448">
                  <c:v>-17.134423010950226</c:v>
                </c:pt>
                <c:pt idx="449">
                  <c:v>-17.144921946581551</c:v>
                </c:pt>
                <c:pt idx="450">
                  <c:v>-17.149077054672333</c:v>
                </c:pt>
                <c:pt idx="451">
                  <c:v>-17.146844358928533</c:v>
                </c:pt>
                <c:pt idx="452">
                  <c:v>-17.138291034236619</c:v>
                </c:pt>
                <c:pt idx="453">
                  <c:v>-17.123633610242447</c:v>
                </c:pt>
                <c:pt idx="454">
                  <c:v>-17.103286770504674</c:v>
                </c:pt>
                <c:pt idx="455">
                  <c:v>-17.077925044766886</c:v>
                </c:pt>
                <c:pt idx="456">
                  <c:v>-17.048559730417495</c:v>
                </c:pt>
                <c:pt idx="457">
                  <c:v>-17.016633001013602</c:v>
                </c:pt>
                <c:pt idx="458">
                  <c:v>-16.984130008421783</c:v>
                </c:pt>
                <c:pt idx="459">
                  <c:v>-16.95370732929409</c:v>
                </c:pt>
                <c:pt idx="460">
                  <c:v>-16.928831639661766</c:v>
                </c:pt>
                <c:pt idx="461">
                  <c:v>-16.913915254419152</c:v>
                </c:pt>
                <c:pt idx="462">
                  <c:v>-16.914424664931389</c:v>
                </c:pt>
                <c:pt idx="463">
                  <c:v>-16.936925021310579</c:v>
                </c:pt>
                <c:pt idx="464">
                  <c:v>-16.989010477590782</c:v>
                </c:pt>
                <c:pt idx="465">
                  <c:v>-17.079063866083015</c:v>
                </c:pt>
                <c:pt idx="466">
                  <c:v>-17.215799415003339</c:v>
                </c:pt>
                <c:pt idx="467">
                  <c:v>-17.407579723891182</c:v>
                </c:pt>
                <c:pt idx="468">
                  <c:v>-17.661565629665454</c:v>
                </c:pt>
                <c:pt idx="469">
                  <c:v>-17.982839085438822</c:v>
                </c:pt>
                <c:pt idx="470">
                  <c:v>-18.373697412329967</c:v>
                </c:pt>
                <c:pt idx="471">
                  <c:v>-18.833309668406503</c:v>
                </c:pt>
                <c:pt idx="472">
                  <c:v>-19.357836707656279</c:v>
                </c:pt>
                <c:pt idx="473">
                  <c:v>-19.940978822114147</c:v>
                </c:pt>
                <c:pt idx="474">
                  <c:v>-20.574794775228035</c:v>
                </c:pt>
                <c:pt idx="475">
                  <c:v>-21.250587384396766</c:v>
                </c:pt>
                <c:pt idx="476">
                  <c:v>-21.959681113180515</c:v>
                </c:pt>
                <c:pt idx="477">
                  <c:v>-22.693992819861489</c:v>
                </c:pt>
                <c:pt idx="478">
                  <c:v>-23.446374577442938</c:v>
                </c:pt>
                <c:pt idx="479">
                  <c:v>-24.210760289910333</c:v>
                </c:pt>
                <c:pt idx="480">
                  <c:v>-24.982170402447078</c:v>
                </c:pt>
                <c:pt idx="481">
                  <c:v>-25.75662934106025</c:v>
                </c:pt>
                <c:pt idx="482">
                  <c:v>-26.531039467025227</c:v>
                </c:pt>
                <c:pt idx="483">
                  <c:v>-27.303041671281733</c:v>
                </c:pt>
                <c:pt idx="484">
                  <c:v>-28.070880730983653</c:v>
                </c:pt>
                <c:pt idx="485">
                  <c:v>-28.833284719211491</c:v>
                </c:pt>
                <c:pt idx="486">
                  <c:v>-29.5893620145354</c:v>
                </c:pt>
                <c:pt idx="487">
                  <c:v>-30.338516108902763</c:v>
                </c:pt>
                <c:pt idx="488">
                  <c:v>-31.080376697407996</c:v>
                </c:pt>
                <c:pt idx="489">
                  <c:v>-31.814744829723338</c:v>
                </c:pt>
                <c:pt idx="490">
                  <c:v>-32.541549771430951</c:v>
                </c:pt>
                <c:pt idx="491">
                  <c:v>-33.260815382581427</c:v>
                </c:pt>
                <c:pt idx="492">
                  <c:v>-33.972634102847259</c:v>
                </c:pt>
                <c:pt idx="493">
                  <c:v>-34.677146945057544</c:v>
                </c:pt>
                <c:pt idx="494">
                  <c:v>-35.374528195079044</c:v>
                </c:pt>
                <c:pt idx="495">
                  <c:v>-36.064973775968483</c:v>
                </c:pt>
                <c:pt idx="496">
                  <c:v>-36.748692452470209</c:v>
                </c:pt>
                <c:pt idx="497">
                  <c:v>-37.425899229873522</c:v>
                </c:pt>
                <c:pt idx="498">
                  <c:v>-38.096810443703198</c:v>
                </c:pt>
                <c:pt idx="499">
                  <c:v>-38.761640149323696</c:v>
                </c:pt>
                <c:pt idx="500">
                  <c:v>-39.431430219724447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2-463D-81A0-68F554CF810C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22.351196519693048</c:v>
                </c:pt>
                <c:pt idx="1">
                  <c:v>22.156331451700623</c:v>
                </c:pt>
                <c:pt idx="2">
                  <c:v>21.961463316167841</c:v>
                </c:pt>
                <c:pt idx="3">
                  <c:v>21.766592383586108</c:v>
                </c:pt>
                <c:pt idx="4">
                  <c:v>21.571718918829834</c:v>
                </c:pt>
                <c:pt idx="5">
                  <c:v>21.376843181687963</c:v>
                </c:pt>
                <c:pt idx="6">
                  <c:v>21.181965427385325</c:v>
                </c:pt>
                <c:pt idx="7">
                  <c:v>20.987085907095047</c:v>
                </c:pt>
                <c:pt idx="8">
                  <c:v>20.792204868442788</c:v>
                </c:pt>
                <c:pt idx="9">
                  <c:v>20.597322556004038</c:v>
                </c:pt>
                <c:pt idx="10">
                  <c:v>20.402439211795382</c:v>
                </c:pt>
                <c:pt idx="11">
                  <c:v>20.207555075760467</c:v>
                </c:pt>
                <c:pt idx="12">
                  <c:v>20.012670386252335</c:v>
                </c:pt>
                <c:pt idx="13">
                  <c:v>19.817785380511687</c:v>
                </c:pt>
                <c:pt idx="14">
                  <c:v>19.622900295144177</c:v>
                </c:pt>
                <c:pt idx="15">
                  <c:v>19.428015366595297</c:v>
                </c:pt>
                <c:pt idx="16">
                  <c:v>19.233130831625715</c:v>
                </c:pt>
                <c:pt idx="17">
                  <c:v>19.038246927786769</c:v>
                </c:pt>
                <c:pt idx="18">
                  <c:v>18.843363893897834</c:v>
                </c:pt>
                <c:pt idx="19">
                  <c:v>18.648481970526085</c:v>
                </c:pt>
                <c:pt idx="20">
                  <c:v>18.45360140046964</c:v>
                </c:pt>
                <c:pt idx="21">
                  <c:v>18.25872242924537</c:v>
                </c:pt>
                <c:pt idx="22">
                  <c:v>18.0638453055819</c:v>
                </c:pt>
                <c:pt idx="23">
                  <c:v>17.868970281919065</c:v>
                </c:pt>
                <c:pt idx="24">
                  <c:v>17.674097614914686</c:v>
                </c:pt>
                <c:pt idx="25">
                  <c:v>17.479227565959942</c:v>
                </c:pt>
                <c:pt idx="26">
                  <c:v>17.284360401703715</c:v>
                </c:pt>
                <c:pt idx="27">
                  <c:v>17.089496394587812</c:v>
                </c:pt>
                <c:pt idx="28">
                  <c:v>16.89463582339334</c:v>
                </c:pt>
                <c:pt idx="29">
                  <c:v>16.699778973799852</c:v>
                </c:pt>
                <c:pt idx="30">
                  <c:v>16.504926138958037</c:v>
                </c:pt>
                <c:pt idx="31">
                  <c:v>16.310077620077351</c:v>
                </c:pt>
                <c:pt idx="32">
                  <c:v>16.115233727029384</c:v>
                </c:pt>
                <c:pt idx="33">
                  <c:v>15.920394778968568</c:v>
                </c:pt>
                <c:pt idx="34">
                  <c:v>15.725561104971213</c:v>
                </c:pt>
                <c:pt idx="35">
                  <c:v>15.530733044694035</c:v>
                </c:pt>
                <c:pt idx="36">
                  <c:v>15.335910949053645</c:v>
                </c:pt>
                <c:pt idx="37">
                  <c:v>15.141095180928357</c:v>
                </c:pt>
                <c:pt idx="38">
                  <c:v>14.94628611588344</c:v>
                </c:pt>
                <c:pt idx="39">
                  <c:v>14.75148414292142</c:v>
                </c:pt>
                <c:pt idx="40">
                  <c:v>14.556689665258949</c:v>
                </c:pt>
                <c:pt idx="41">
                  <c:v>14.361903101131352</c:v>
                </c:pt>
                <c:pt idx="42">
                  <c:v>14.167124884627192</c:v>
                </c:pt>
                <c:pt idx="43">
                  <c:v>13.972355466553489</c:v>
                </c:pt>
                <c:pt idx="44">
                  <c:v>13.777595315333848</c:v>
                </c:pt>
                <c:pt idx="45">
                  <c:v>13.582844917941275</c:v>
                </c:pt>
                <c:pt idx="46">
                  <c:v>13.388104780867398</c:v>
                </c:pt>
                <c:pt idx="47">
                  <c:v>13.193375431129004</c:v>
                </c:pt>
                <c:pt idx="48">
                  <c:v>12.998657417316222</c:v>
                </c:pt>
                <c:pt idx="49">
                  <c:v>12.803951310681043</c:v>
                </c:pt>
                <c:pt idx="50">
                  <c:v>12.609257706271128</c:v>
                </c:pt>
                <c:pt idx="51">
                  <c:v>12.414577224109483</c:v>
                </c:pt>
                <c:pt idx="52">
                  <c:v>12.219910510422668</c:v>
                </c:pt>
                <c:pt idx="53">
                  <c:v>12.025258238919774</c:v>
                </c:pt>
                <c:pt idx="54">
                  <c:v>11.830621112124467</c:v>
                </c:pt>
                <c:pt idx="55">
                  <c:v>11.635999862762809</c:v>
                </c:pt>
                <c:pt idx="56">
                  <c:v>11.441395255209525</c:v>
                </c:pt>
                <c:pt idx="57">
                  <c:v>11.24680808699447</c:v>
                </c:pt>
                <c:pt idx="58">
                  <c:v>11.052239190373413</c:v>
                </c:pt>
                <c:pt idx="59">
                  <c:v>10.857689433965119</c:v>
                </c:pt>
                <c:pt idx="60">
                  <c:v>10.663159724457682</c:v>
                </c:pt>
                <c:pt idx="61">
                  <c:v>10.468651008387742</c:v>
                </c:pt>
                <c:pt idx="62">
                  <c:v>10.274164273995526</c:v>
                </c:pt>
                <c:pt idx="63">
                  <c:v>10.079700553158414</c:v>
                </c:pt>
                <c:pt idx="64">
                  <c:v>9.8852609234077633</c:v>
                </c:pt>
                <c:pt idx="65">
                  <c:v>9.6908465100311894</c:v>
                </c:pt>
                <c:pt idx="66">
                  <c:v>9.4964584882651835</c:v>
                </c:pt>
                <c:pt idx="67">
                  <c:v>9.302098085580516</c:v>
                </c:pt>
                <c:pt idx="68">
                  <c:v>9.1077665840662032</c:v>
                </c:pt>
                <c:pt idx="69">
                  <c:v>8.9134653229139644</c:v>
                </c:pt>
                <c:pt idx="70">
                  <c:v>8.7191957010094132</c:v>
                </c:pt>
                <c:pt idx="71">
                  <c:v>8.5249591796330577</c:v>
                </c:pt>
                <c:pt idx="72">
                  <c:v>8.3307572852756238</c:v>
                </c:pt>
                <c:pt idx="73">
                  <c:v>8.1365916125736408</c:v>
                </c:pt>
                <c:pt idx="74">
                  <c:v>7.9424638273682868</c:v>
                </c:pt>
                <c:pt idx="75">
                  <c:v>7.7483756698937629</c:v>
                </c:pt>
                <c:pt idx="76">
                  <c:v>7.5543289580997461</c:v>
                </c:pt>
                <c:pt idx="77">
                  <c:v>7.3603255911133347</c:v>
                </c:pt>
                <c:pt idx="78">
                  <c:v>7.1663675528456459</c:v>
                </c:pt>
                <c:pt idx="79">
                  <c:v>6.9724569157492757</c:v>
                </c:pt>
                <c:pt idx="80">
                  <c:v>6.7785958447306829</c:v>
                </c:pt>
                <c:pt idx="81">
                  <c:v>6.5847866012260585</c:v>
                </c:pt>
                <c:pt idx="82">
                  <c:v>6.3910315474434505</c:v>
                </c:pt>
                <c:pt idx="83">
                  <c:v>6.1973331507803113</c:v>
                </c:pt>
                <c:pt idx="84">
                  <c:v>6.0036939884196725</c:v>
                </c:pt>
                <c:pt idx="85">
                  <c:v>5.8101167521144781</c:v>
                </c:pt>
                <c:pt idx="86">
                  <c:v>5.616604253163656</c:v>
                </c:pt>
                <c:pt idx="87">
                  <c:v>5.4231594275888648</c:v>
                </c:pt>
                <c:pt idx="88">
                  <c:v>5.2297853415165028</c:v>
                </c:pt>
                <c:pt idx="89">
                  <c:v>5.0364851967737154</c:v>
                </c:pt>
                <c:pt idx="90">
                  <c:v>4.8432623367037104</c:v>
                </c:pt>
                <c:pt idx="91">
                  <c:v>4.6501202522079108</c:v>
                </c:pt>
                <c:pt idx="92">
                  <c:v>4.4570625880221906</c:v>
                </c:pt>
                <c:pt idx="93">
                  <c:v>4.2640931492331866</c:v>
                </c:pt>
                <c:pt idx="94">
                  <c:v>4.071215908042368</c:v>
                </c:pt>
                <c:pt idx="95">
                  <c:v>3.8784350107843437</c:v>
                </c:pt>
                <c:pt idx="96">
                  <c:v>3.685754785206385</c:v>
                </c:pt>
                <c:pt idx="97">
                  <c:v>3.4931797480156561</c:v>
                </c:pt>
                <c:pt idx="98">
                  <c:v>3.3007146127006464</c:v>
                </c:pt>
                <c:pt idx="99">
                  <c:v>3.1083642976333263</c:v>
                </c:pt>
                <c:pt idx="100">
                  <c:v>2.9161339344579167</c:v>
                </c:pt>
                <c:pt idx="101">
                  <c:v>2.724028876771984</c:v>
                </c:pt>
                <c:pt idx="102">
                  <c:v>2.532054709105382</c:v>
                </c:pt>
                <c:pt idx="103">
                  <c:v>2.3402172562024499</c:v>
                </c:pt>
                <c:pt idx="104">
                  <c:v>2.1485225926107914</c:v>
                </c:pt>
                <c:pt idx="105">
                  <c:v>1.9569770525817944</c:v>
                </c:pt>
                <c:pt idx="106">
                  <c:v>1.7655872402859649</c:v>
                </c:pt>
                <c:pt idx="107">
                  <c:v>1.5743600403445241</c:v>
                </c:pt>
                <c:pt idx="108">
                  <c:v>1.3833026286807713</c:v>
                </c:pt>
                <c:pt idx="109">
                  <c:v>1.1924224836907056</c:v>
                </c:pt>
                <c:pt idx="110">
                  <c:v>1.0017273977323182</c:v>
                </c:pt>
                <c:pt idx="111">
                  <c:v>0.81122548893345814</c:v>
                </c:pt>
                <c:pt idx="112">
                  <c:v>0.62092521331483252</c:v>
                </c:pt>
                <c:pt idx="113">
                  <c:v>0.4308353772226009</c:v>
                </c:pt>
                <c:pt idx="114">
                  <c:v>0.24096515006746055</c:v>
                </c:pt>
                <c:pt idx="115">
                  <c:v>5.132407735917905E-2</c:v>
                </c:pt>
                <c:pt idx="116">
                  <c:v>-0.13807790596946198</c:v>
                </c:pt>
                <c:pt idx="117">
                  <c:v>-0.32723046196426769</c:v>
                </c:pt>
                <c:pt idx="118">
                  <c:v>-0.51612283578861295</c:v>
                </c:pt>
                <c:pt idx="119">
                  <c:v>-0.70474384161739478</c:v>
                </c:pt>
                <c:pt idx="120">
                  <c:v>-0.89308184830512016</c:v>
                </c:pt>
                <c:pt idx="121">
                  <c:v>-1.0811247648503279</c:v>
                </c:pt>
                <c:pt idx="122">
                  <c:v>-1.2688600256819504</c:v>
                </c:pt>
                <c:pt idx="123">
                  <c:v>-1.456274575796642</c:v>
                </c:pt>
                <c:pt idx="124">
                  <c:v>-1.6433548557795774</c:v>
                </c:pt>
                <c:pt idx="125">
                  <c:v>-1.8300867867455577</c:v>
                </c:pt>
                <c:pt idx="126">
                  <c:v>-2.0164557552412936</c:v>
                </c:pt>
                <c:pt idx="127">
                  <c:v>-2.2024465981538661</c:v>
                </c:pt>
                <c:pt idx="128">
                  <c:v>-2.3880435876762318</c:v>
                </c:pt>
                <c:pt idx="129">
                  <c:v>-2.5732304163842028</c:v>
                </c:pt>
                <c:pt idx="130">
                  <c:v>-2.7579901824859299</c:v>
                </c:pt>
                <c:pt idx="131">
                  <c:v>-2.9423053753095885</c:v>
                </c:pt>
                <c:pt idx="132">
                  <c:v>-3.126157861101484</c:v>
                </c:pt>
                <c:pt idx="133">
                  <c:v>-3.3095288692124218</c:v>
                </c:pt>
                <c:pt idx="134">
                  <c:v>-3.492398978756206</c:v>
                </c:pt>
                <c:pt idx="135">
                  <c:v>-3.6747481058318021</c:v>
                </c:pt>
                <c:pt idx="136">
                  <c:v>-3.85655549140556</c:v>
                </c:pt>
                <c:pt idx="137">
                  <c:v>-4.0377996899583977</c:v>
                </c:pt>
                <c:pt idx="138">
                  <c:v>-4.218458559008484</c:v>
                </c:pt>
                <c:pt idx="139">
                  <c:v>-4.3985092496275033</c:v>
                </c:pt>
                <c:pt idx="140">
                  <c:v>-4.5779281980752167</c:v>
                </c:pt>
                <c:pt idx="141">
                  <c:v>-4.7566911186839382</c:v>
                </c:pt>
                <c:pt idx="142">
                  <c:v>-4.9347729981307591</c:v>
                </c:pt>
                <c:pt idx="143">
                  <c:v>-5.1121480912430304</c:v>
                </c:pt>
                <c:pt idx="144">
                  <c:v>-5.2887899184865361</c:v>
                </c:pt>
                <c:pt idx="145">
                  <c:v>-5.4646712652930782</c:v>
                </c:pt>
                <c:pt idx="146">
                  <c:v>-5.6397641833887633</c:v>
                </c:pt>
                <c:pt idx="147">
                  <c:v>-5.8140399942891454</c:v>
                </c:pt>
                <c:pt idx="148">
                  <c:v>-5.9874692951283723</c:v>
                </c:pt>
                <c:pt idx="149">
                  <c:v>-6.1600219669964194</c:v>
                </c:pt>
                <c:pt idx="150">
                  <c:v>-6.3316671859556548</c:v>
                </c:pt>
                <c:pt idx="151">
                  <c:v>-6.5023734369109327</c:v>
                </c:pt>
                <c:pt idx="152">
                  <c:v>-6.6721085305049179</c:v>
                </c:pt>
                <c:pt idx="153">
                  <c:v>-6.840839623207879</c:v>
                </c:pt>
                <c:pt idx="154">
                  <c:v>-7.0085332407661429</c:v>
                </c:pt>
                <c:pt idx="155">
                  <c:v>-7.175155305168003</c:v>
                </c:pt>
                <c:pt idx="156">
                  <c:v>-7.3406711652754755</c:v>
                </c:pt>
                <c:pt idx="157">
                  <c:v>-7.5050456312610621</c:v>
                </c:pt>
                <c:pt idx="158">
                  <c:v>-7.668243012974675</c:v>
                </c:pt>
                <c:pt idx="159">
                  <c:v>-7.8302271623497983</c:v>
                </c:pt>
                <c:pt idx="160">
                  <c:v>-7.9909615199406581</c:v>
                </c:pt>
                <c:pt idx="161">
                  <c:v>-8.1504091656597737</c:v>
                </c:pt>
                <c:pt idx="162">
                  <c:v>-8.308532873763145</c:v>
                </c:pt>
                <c:pt idx="163">
                  <c:v>-8.4652951721018521</c:v>
                </c:pt>
                <c:pt idx="164">
                  <c:v>-8.6206584056320708</c:v>
                </c:pt>
                <c:pt idx="165">
                  <c:v>-8.7745848041409236</c:v>
                </c:pt>
                <c:pt idx="166">
                  <c:v>-8.9270365541140499</c:v>
                </c:pt>
                <c:pt idx="167">
                  <c:v>-9.0779758746319281</c:v>
                </c:pt>
                <c:pt idx="168">
                  <c:v>-9.22736509714513</c:v>
                </c:pt>
                <c:pt idx="169">
                  <c:v>-9.3751667489361434</c:v>
                </c:pt>
                <c:pt idx="170">
                  <c:v>-9.5213436400366405</c:v>
                </c:pt>
                <c:pt idx="171">
                  <c:v>-9.6658589533223118</c:v>
                </c:pt>
                <c:pt idx="172">
                  <c:v>-9.8086763374680785</c:v>
                </c:pt>
                <c:pt idx="173">
                  <c:v>-9.9497600024002963</c:v>
                </c:pt>
                <c:pt idx="174">
                  <c:v>-10.08907481684126</c:v>
                </c:pt>
                <c:pt idx="175">
                  <c:v>-10.226586407499521</c:v>
                </c:pt>
                <c:pt idx="176">
                  <c:v>-10.362261259421359</c:v>
                </c:pt>
                <c:pt idx="177">
                  <c:v>-10.496066816979141</c:v>
                </c:pt>
                <c:pt idx="178">
                  <c:v>-10.627971584942451</c:v>
                </c:pt>
                <c:pt idx="179">
                  <c:v>-10.757945229044983</c:v>
                </c:pt>
                <c:pt idx="180">
                  <c:v>-10.885958675439092</c:v>
                </c:pt>
                <c:pt idx="181">
                  <c:v>-11.011984208406528</c:v>
                </c:pt>
                <c:pt idx="182">
                  <c:v>-11.13599556568462</c:v>
                </c:pt>
                <c:pt idx="183">
                  <c:v>-11.257968030756775</c:v>
                </c:pt>
                <c:pt idx="184">
                  <c:v>-11.377878521459371</c:v>
                </c:pt>
                <c:pt idx="185">
                  <c:v>-11.495705674261448</c:v>
                </c:pt>
                <c:pt idx="186">
                  <c:v>-11.611429923591974</c:v>
                </c:pt>
                <c:pt idx="187">
                  <c:v>-11.725033575608155</c:v>
                </c:pt>
                <c:pt idx="188">
                  <c:v>-11.83650087583246</c:v>
                </c:pt>
                <c:pt idx="189">
                  <c:v>-11.945818070120387</c:v>
                </c:pt>
                <c:pt idx="190">
                  <c:v>-12.052973458467616</c:v>
                </c:pt>
                <c:pt idx="191">
                  <c:v>-12.157957441216363</c:v>
                </c:pt>
                <c:pt idx="192">
                  <c:v>-12.26076255727758</c:v>
                </c:pt>
                <c:pt idx="193">
                  <c:v>-12.361383514050599</c:v>
                </c:pt>
                <c:pt idx="194">
                  <c:v>-12.459817208785672</c:v>
                </c:pt>
                <c:pt idx="195">
                  <c:v>-12.556062741211338</c:v>
                </c:pt>
                <c:pt idx="196">
                  <c:v>-12.650121417316559</c:v>
                </c:pt>
                <c:pt idx="197">
                  <c:v>-12.741996744258561</c:v>
                </c:pt>
                <c:pt idx="198">
                  <c:v>-12.831694416437838</c:v>
                </c:pt>
                <c:pt idx="199">
                  <c:v>-12.919222292862065</c:v>
                </c:pt>
                <c:pt idx="200">
                  <c:v>-13.004590365989754</c:v>
                </c:pt>
                <c:pt idx="201">
                  <c:v>-13.087810722318697</c:v>
                </c:pt>
                <c:pt idx="202">
                  <c:v>-13.16889749504822</c:v>
                </c:pt>
                <c:pt idx="203">
                  <c:v>-13.24786680920864</c:v>
                </c:pt>
                <c:pt idx="204">
                  <c:v>-13.324736719707207</c:v>
                </c:pt>
                <c:pt idx="205">
                  <c:v>-13.39952714278974</c:v>
                </c:pt>
                <c:pt idx="206">
                  <c:v>-13.47225978146132</c:v>
                </c:pt>
                <c:pt idx="207">
                  <c:v>-13.542958045446589</c:v>
                </c:pt>
                <c:pt idx="208">
                  <c:v>-13.611646966297439</c:v>
                </c:pt>
                <c:pt idx="209">
                  <c:v>-13.678353108279529</c:v>
                </c:pt>
                <c:pt idx="210">
                  <c:v>-13.743104475680223</c:v>
                </c:pt>
                <c:pt idx="211">
                  <c:v>-13.805930417189172</c:v>
                </c:pt>
                <c:pt idx="212">
                  <c:v>-13.866861528000488</c:v>
                </c:pt>
                <c:pt idx="213">
                  <c:v>-13.925929550277036</c:v>
                </c:pt>
                <c:pt idx="214">
                  <c:v>-13.983167272604788</c:v>
                </c:pt>
                <c:pt idx="215">
                  <c:v>-14.038608429043187</c:v>
                </c:pt>
                <c:pt idx="216">
                  <c:v>-14.092287598353128</c:v>
                </c:pt>
                <c:pt idx="217">
                  <c:v>-14.144240103953369</c:v>
                </c:pt>
                <c:pt idx="218">
                  <c:v>-14.194501915123114</c:v>
                </c:pt>
                <c:pt idx="219">
                  <c:v>-14.243109549929896</c:v>
                </c:pt>
                <c:pt idx="220">
                  <c:v>-14.29009998032309</c:v>
                </c:pt>
                <c:pt idx="221">
                  <c:v>-14.335510539792399</c:v>
                </c:pt>
                <c:pt idx="222">
                  <c:v>-14.379378833945536</c:v>
                </c:pt>
                <c:pt idx="223">
                  <c:v>-14.421742654319241</c:v>
                </c:pt>
                <c:pt idx="224">
                  <c:v>-14.462639895691837</c:v>
                </c:pt>
                <c:pt idx="225">
                  <c:v>-14.502108477123903</c:v>
                </c:pt>
                <c:pt idx="226">
                  <c:v>-14.540186266912944</c:v>
                </c:pt>
                <c:pt idx="227">
                  <c:v>-14.576911011605883</c:v>
                </c:pt>
                <c:pt idx="228">
                  <c:v>-14.612320269176475</c:v>
                </c:pt>
                <c:pt idx="229">
                  <c:v>-14.646451346436853</c:v>
                </c:pt>
                <c:pt idx="230">
                  <c:v>-14.679341240721604</c:v>
                </c:pt>
                <c:pt idx="231">
                  <c:v>-14.7110265858469</c:v>
                </c:pt>
                <c:pt idx="232">
                  <c:v>-14.741543602322796</c:v>
                </c:pt>
                <c:pt idx="233">
                  <c:v>-14.770928051767942</c:v>
                </c:pt>
                <c:pt idx="234">
                  <c:v>-14.799215195453923</c:v>
                </c:pt>
                <c:pt idx="235">
                  <c:v>-14.826439756885716</c:v>
                </c:pt>
                <c:pt idx="236">
                  <c:v>-14.852635888306089</c:v>
                </c:pt>
                <c:pt idx="237">
                  <c:v>-14.87783714099769</c:v>
                </c:pt>
                <c:pt idx="238">
                  <c:v>-14.902076439243622</c:v>
                </c:pt>
                <c:pt idx="239">
                  <c:v>-14.925386057794018</c:v>
                </c:pt>
                <c:pt idx="240">
                  <c:v>-14.947797602683526</c:v>
                </c:pt>
                <c:pt idx="241">
                  <c:v>-14.969341995232012</c:v>
                </c:pt>
                <c:pt idx="242">
                  <c:v>-14.990049459061341</c:v>
                </c:pt>
                <c:pt idx="243">
                  <c:v>-15.009949509956256</c:v>
                </c:pt>
                <c:pt idx="244">
                  <c:v>-15.029070948396885</c:v>
                </c:pt>
                <c:pt idx="245">
                  <c:v>-15.047441854590542</c:v>
                </c:pt>
                <c:pt idx="246">
                  <c:v>-15.065089585833215</c:v>
                </c:pt>
                <c:pt idx="247">
                  <c:v>-15.082040776031935</c:v>
                </c:pt>
                <c:pt idx="248">
                  <c:v>-15.098321337225748</c:v>
                </c:pt>
                <c:pt idx="249">
                  <c:v>-15.113956462944468</c:v>
                </c:pt>
                <c:pt idx="250">
                  <c:v>-15.128970633251566</c:v>
                </c:pt>
                <c:pt idx="251">
                  <c:v>-15.143387621322507</c:v>
                </c:pt>
                <c:pt idx="252">
                  <c:v>-15.15723050141659</c:v>
                </c:pt>
                <c:pt idx="253">
                  <c:v>-15.170521658106003</c:v>
                </c:pt>
                <c:pt idx="254">
                  <c:v>-15.183282796632655</c:v>
                </c:pt>
                <c:pt idx="255">
                  <c:v>-15.195534954271379</c:v>
                </c:pt>
                <c:pt idx="256">
                  <c:v>-15.207298512583236</c:v>
                </c:pt>
                <c:pt idx="257">
                  <c:v>-15.218593210450857</c:v>
                </c:pt>
                <c:pt idx="258">
                  <c:v>-15.229438157794888</c:v>
                </c:pt>
                <c:pt idx="259">
                  <c:v>-15.239851849874906</c:v>
                </c:pt>
                <c:pt idx="260">
                  <c:v>-15.249852182090166</c:v>
                </c:pt>
                <c:pt idx="261">
                  <c:v>-15.259456465195175</c:v>
                </c:pt>
                <c:pt idx="262">
                  <c:v>-15.268681440857373</c:v>
                </c:pt>
                <c:pt idx="263">
                  <c:v>-15.277543297486673</c:v>
                </c:pt>
                <c:pt idx="264">
                  <c:v>-15.286057686274063</c:v>
                </c:pt>
                <c:pt idx="265">
                  <c:v>-15.294239737381815</c:v>
                </c:pt>
                <c:pt idx="266">
                  <c:v>-15.302104076232988</c:v>
                </c:pt>
                <c:pt idx="267">
                  <c:v>-15.309664839852493</c:v>
                </c:pt>
                <c:pt idx="268">
                  <c:v>-15.316935693218721</c:v>
                </c:pt>
                <c:pt idx="269">
                  <c:v>-15.323929845586719</c:v>
                </c:pt>
                <c:pt idx="270">
                  <c:v>-15.330660066749415</c:v>
                </c:pt>
                <c:pt idx="271">
                  <c:v>-15.337138703209384</c:v>
                </c:pt>
                <c:pt idx="272">
                  <c:v>-15.343377694232206</c:v>
                </c:pt>
                <c:pt idx="273">
                  <c:v>-15.349388587762128</c:v>
                </c:pt>
                <c:pt idx="274">
                  <c:v>-15.355182556180033</c:v>
                </c:pt>
                <c:pt idx="275">
                  <c:v>-15.360770411887083</c:v>
                </c:pt>
                <c:pt idx="276">
                  <c:v>-15.366162622702554</c:v>
                </c:pt>
                <c:pt idx="277">
                  <c:v>-15.371369327064674</c:v>
                </c:pt>
                <c:pt idx="278">
                  <c:v>-15.376400349025987</c:v>
                </c:pt>
                <c:pt idx="279">
                  <c:v>-15.381265213038658</c:v>
                </c:pt>
                <c:pt idx="280">
                  <c:v>-15.385973158525008</c:v>
                </c:pt>
                <c:pt idx="281">
                  <c:v>-15.390533154232207</c:v>
                </c:pt>
                <c:pt idx="282">
                  <c:v>-15.394953912370413</c:v>
                </c:pt>
                <c:pt idx="283">
                  <c:v>-15.399243902536417</c:v>
                </c:pt>
                <c:pt idx="284">
                  <c:v>-15.403411365425052</c:v>
                </c:pt>
                <c:pt idx="285">
                  <c:v>-15.407464326333331</c:v>
                </c:pt>
                <c:pt idx="286">
                  <c:v>-15.41141060846217</c:v>
                </c:pt>
                <c:pt idx="287">
                  <c:v>-15.415257846022584</c:v>
                </c:pt>
                <c:pt idx="288">
                  <c:v>-15.419013497153371</c:v>
                </c:pt>
                <c:pt idx="289">
                  <c:v>-15.422684856658964</c:v>
                </c:pt>
                <c:pt idx="290">
                  <c:v>-15.426279068576633</c:v>
                </c:pt>
                <c:pt idx="291">
                  <c:v>-15.429803138582454</c:v>
                </c:pt>
                <c:pt idx="292">
                  <c:v>-15.433263946246921</c:v>
                </c:pt>
                <c:pt idx="293">
                  <c:v>-15.436668257150997</c:v>
                </c:pt>
                <c:pt idx="294">
                  <c:v>-15.440022734874134</c:v>
                </c:pt>
                <c:pt idx="295">
                  <c:v>-15.443333952866347</c:v>
                </c:pt>
                <c:pt idx="296">
                  <c:v>-15.446608406216205</c:v>
                </c:pt>
                <c:pt idx="297">
                  <c:v>-15.449852523328129</c:v>
                </c:pt>
                <c:pt idx="298">
                  <c:v>-15.453072677521234</c:v>
                </c:pt>
                <c:pt idx="299">
                  <c:v>-15.456275198563095</c:v>
                </c:pt>
                <c:pt idx="300">
                  <c:v>-15.459466384151511</c:v>
                </c:pt>
                <c:pt idx="301">
                  <c:v>-15.462652511358964</c:v>
                </c:pt>
                <c:pt idx="302">
                  <c:v>-15.465839848051166</c:v>
                </c:pt>
                <c:pt idx="303">
                  <c:v>-15.469034664295231</c:v>
                </c:pt>
                <c:pt idx="304">
                  <c:v>-15.472243243770672</c:v>
                </c:pt>
                <c:pt idx="305">
                  <c:v>-15.475471895196041</c:v>
                </c:pt>
                <c:pt idx="306">
                  <c:v>-15.478726963786206</c:v>
                </c:pt>
                <c:pt idx="307">
                  <c:v>-15.482014842752516</c:v>
                </c:pt>
                <c:pt idx="308">
                  <c:v>-15.485341984860463</c:v>
                </c:pt>
                <c:pt idx="309">
                  <c:v>-15.488714914056892</c:v>
                </c:pt>
                <c:pt idx="310">
                  <c:v>-15.49214023718095</c:v>
                </c:pt>
                <c:pt idx="311">
                  <c:v>-15.49562465577069</c:v>
                </c:pt>
                <c:pt idx="312">
                  <c:v>-15.499174977978594</c:v>
                </c:pt>
                <c:pt idx="313">
                  <c:v>-15.502798130607596</c:v>
                </c:pt>
                <c:pt idx="314">
                  <c:v>-15.506501171279428</c:v>
                </c:pt>
                <c:pt idx="315">
                  <c:v>-15.510291300747401</c:v>
                </c:pt>
                <c:pt idx="316">
                  <c:v>-15.514175875362975</c:v>
                </c:pt>
                <c:pt idx="317">
                  <c:v>-15.518162419708016</c:v>
                </c:pt>
                <c:pt idx="318">
                  <c:v>-15.522258639400832</c:v>
                </c:pt>
                <c:pt idx="319">
                  <c:v>-15.526472434085928</c:v>
                </c:pt>
                <c:pt idx="320">
                  <c:v>-15.530811910614563</c:v>
                </c:pt>
                <c:pt idx="321">
                  <c:v>-15.535285396423983</c:v>
                </c:pt>
                <c:pt idx="322">
                  <c:v>-15.539901453120947</c:v>
                </c:pt>
                <c:pt idx="323">
                  <c:v>-15.544668890274824</c:v>
                </c:pt>
                <c:pt idx="324">
                  <c:v>-15.54959677942356</c:v>
                </c:pt>
                <c:pt idx="325">
                  <c:v>-15.554694468295367</c:v>
                </c:pt>
                <c:pt idx="326">
                  <c:v>-15.559971595246793</c:v>
                </c:pt>
                <c:pt idx="327">
                  <c:v>-15.565438103916531</c:v>
                </c:pt>
                <c:pt idx="328">
                  <c:v>-15.571104258092394</c:v>
                </c:pt>
                <c:pt idx="329">
                  <c:v>-15.576980656786777</c:v>
                </c:pt>
                <c:pt idx="330">
                  <c:v>-15.583078249514307</c:v>
                </c:pt>
                <c:pt idx="331">
                  <c:v>-15.589408351763247</c:v>
                </c:pt>
                <c:pt idx="332">
                  <c:v>-15.595982660647927</c:v>
                </c:pt>
                <c:pt idx="333">
                  <c:v>-15.602813270729454</c:v>
                </c:pt>
                <c:pt idx="334">
                  <c:v>-15.609912689987095</c:v>
                </c:pt>
                <c:pt idx="335">
                  <c:v>-15.617293855920312</c:v>
                </c:pt>
                <c:pt idx="336">
                  <c:v>-15.624970151757847</c:v>
                </c:pt>
                <c:pt idx="337">
                  <c:v>-15.632955422747104</c:v>
                </c:pt>
                <c:pt idx="338">
                  <c:v>-15.641263992492204</c:v>
                </c:pt>
                <c:pt idx="339">
                  <c:v>-15.649910679306107</c:v>
                </c:pt>
                <c:pt idx="340">
                  <c:v>-15.658910812537608</c:v>
                </c:pt>
                <c:pt idx="341">
                  <c:v>-15.668280248827692</c:v>
                </c:pt>
                <c:pt idx="342">
                  <c:v>-15.678035388248283</c:v>
                </c:pt>
                <c:pt idx="343">
                  <c:v>-15.688193190266674</c:v>
                </c:pt>
                <c:pt idx="344">
                  <c:v>-15.698771189478766</c:v>
                </c:pt>
                <c:pt idx="345">
                  <c:v>-15.709787511042371</c:v>
                </c:pt>
                <c:pt idx="346">
                  <c:v>-15.721260885742577</c:v>
                </c:pt>
                <c:pt idx="347">
                  <c:v>-15.733210664608952</c:v>
                </c:pt>
                <c:pt idx="348">
                  <c:v>-15.745656833002325</c:v>
                </c:pt>
                <c:pt idx="349">
                  <c:v>-15.758620024079368</c:v>
                </c:pt>
                <c:pt idx="350">
                  <c:v>-15.772121531538751</c:v>
                </c:pt>
                <c:pt idx="351">
                  <c:v>-15.786183321544133</c:v>
                </c:pt>
                <c:pt idx="352">
                  <c:v>-15.800828043713031</c:v>
                </c:pt>
                <c:pt idx="353">
                  <c:v>-15.81607904105284</c:v>
                </c:pt>
                <c:pt idx="354">
                  <c:v>-15.831960358720687</c:v>
                </c:pt>
                <c:pt idx="355">
                  <c:v>-15.848496751473979</c:v>
                </c:pt>
                <c:pt idx="356">
                  <c:v>-15.865713689672633</c:v>
                </c:pt>
                <c:pt idx="357">
                  <c:v>-15.883637363690635</c:v>
                </c:pt>
                <c:pt idx="358">
                  <c:v>-15.902294686583552</c:v>
                </c:pt>
                <c:pt idx="359">
                  <c:v>-15.921713294857165</c:v>
                </c:pt>
                <c:pt idx="360">
                  <c:v>-15.941921547175896</c:v>
                </c:pt>
                <c:pt idx="361">
                  <c:v>-15.962948520844369</c:v>
                </c:pt>
                <c:pt idx="362">
                  <c:v>-15.984824005895566</c:v>
                </c:pt>
                <c:pt idx="363">
                  <c:v>-16.007578496612162</c:v>
                </c:pt>
                <c:pt idx="364">
                  <c:v>-16.031243180310245</c:v>
                </c:pt>
                <c:pt idx="365">
                  <c:v>-16.055849923211689</c:v>
                </c:pt>
                <c:pt idx="366">
                  <c:v>-16.081431253236687</c:v>
                </c:pt>
                <c:pt idx="367">
                  <c:v>-16.108020339546577</c:v>
                </c:pt>
                <c:pt idx="368">
                  <c:v>-16.135650968675691</c:v>
                </c:pt>
                <c:pt idx="369">
                  <c:v>-16.164357517097173</c:v>
                </c:pt>
                <c:pt idx="370">
                  <c:v>-16.194174920074733</c:v>
                </c:pt>
                <c:pt idx="371">
                  <c:v>-16.225138636667285</c:v>
                </c:pt>
                <c:pt idx="372">
                  <c:v>-16.257284610763296</c:v>
                </c:pt>
                <c:pt idx="373">
                  <c:v>-16.290649228041595</c:v>
                </c:pt>
                <c:pt idx="374">
                  <c:v>-16.325269268771276</c:v>
                </c:pt>
                <c:pt idx="375">
                  <c:v>-16.361181856386807</c:v>
                </c:pt>
                <c:pt idx="376">
                  <c:v>-16.398424401798618</c:v>
                </c:pt>
                <c:pt idx="377">
                  <c:v>-16.437034543425288</c:v>
                </c:pt>
                <c:pt idx="378">
                  <c:v>-16.477050082965267</c:v>
                </c:pt>
                <c:pt idx="379">
                  <c:v>-16.518508916956183</c:v>
                </c:pt>
                <c:pt idx="380">
                  <c:v>-16.561448964206459</c:v>
                </c:pt>
                <c:pt idx="381">
                  <c:v>-16.60590808921966</c:v>
                </c:pt>
                <c:pt idx="382">
                  <c:v>-16.651924021772412</c:v>
                </c:pt>
                <c:pt idx="383">
                  <c:v>-16.699534272845998</c:v>
                </c:pt>
                <c:pt idx="384">
                  <c:v>-16.748776047155239</c:v>
                </c:pt>
                <c:pt idx="385">
                  <c:v>-16.799686152559914</c:v>
                </c:pt>
                <c:pt idx="386">
                  <c:v>-16.852300906688853</c:v>
                </c:pt>
                <c:pt idx="387">
                  <c:v>-16.906656041147638</c:v>
                </c:pt>
                <c:pt idx="388">
                  <c:v>-16.962786603726954</c:v>
                </c:pt>
                <c:pt idx="389">
                  <c:v>-17.0207268590643</c:v>
                </c:pt>
                <c:pt idx="390">
                  <c:v>-17.080510188256739</c:v>
                </c:pt>
                <c:pt idx="391">
                  <c:v>-17.142168987952967</c:v>
                </c:pt>
                <c:pt idx="392">
                  <c:v>-17.205734569489447</c:v>
                </c:pt>
                <c:pt idx="393">
                  <c:v>-17.271237058661274</c:v>
                </c:pt>
                <c:pt idx="394">
                  <c:v>-17.338705296743711</c:v>
                </c:pt>
                <c:pt idx="395">
                  <c:v>-17.408166743397111</c:v>
                </c:pt>
                <c:pt idx="396">
                  <c:v>-17.479647382100495</c:v>
                </c:pt>
                <c:pt idx="397">
                  <c:v>-17.553171628763788</c:v>
                </c:pt>
                <c:pt idx="398">
                  <c:v>-17.628762244167987</c:v>
                </c:pt>
                <c:pt idx="399">
                  <c:v>-17.706440250872355</c:v>
                </c:pt>
                <c:pt idx="400">
                  <c:v>-17.78622485521166</c:v>
                </c:pt>
                <c:pt idx="401">
                  <c:v>-17.868133374981795</c:v>
                </c:pt>
                <c:pt idx="402">
                  <c:v>-17.952181173380605</c:v>
                </c:pt>
                <c:pt idx="403">
                  <c:v>-18.038381599731682</c:v>
                </c:pt>
                <c:pt idx="404">
                  <c:v>-18.126745937470833</c:v>
                </c:pt>
                <c:pt idx="405">
                  <c:v>-18.217283359825153</c:v>
                </c:pt>
                <c:pt idx="406">
                  <c:v>-18.310000893551663</c:v>
                </c:pt>
                <c:pt idx="407">
                  <c:v>-18.404903391042943</c:v>
                </c:pt>
                <c:pt idx="408">
                  <c:v>-18.501993511034062</c:v>
                </c:pt>
                <c:pt idx="409">
                  <c:v>-18.601271708077562</c:v>
                </c:pt>
                <c:pt idx="410">
                  <c:v>-18.702736230874912</c:v>
                </c:pt>
                <c:pt idx="411">
                  <c:v>-18.806383129481578</c:v>
                </c:pt>
                <c:pt idx="412">
                  <c:v>-18.9122062713224</c:v>
                </c:pt>
                <c:pt idx="413">
                  <c:v>-19.020197365882808</c:v>
                </c:pt>
                <c:pt idx="414">
                  <c:v>-19.130345997866666</c:v>
                </c:pt>
                <c:pt idx="415">
                  <c:v>-19.242639668542243</c:v>
                </c:pt>
                <c:pt idx="416">
                  <c:v>-19.35706384493049</c:v>
                </c:pt>
                <c:pt idx="417">
                  <c:v>-19.473602016431883</c:v>
                </c:pt>
                <c:pt idx="418">
                  <c:v>-19.592235758429279</c:v>
                </c:pt>
                <c:pt idx="419">
                  <c:v>-19.712944802357285</c:v>
                </c:pt>
                <c:pt idx="420">
                  <c:v>-19.835707111686489</c:v>
                </c:pt>
                <c:pt idx="421">
                  <c:v>-19.960498963235175</c:v>
                </c:pt>
                <c:pt idx="422">
                  <c:v>-20.087295033195073</c:v>
                </c:pt>
                <c:pt idx="423">
                  <c:v>-20.216068487236413</c:v>
                </c:pt>
                <c:pt idx="424">
                  <c:v>-20.346791074047733</c:v>
                </c:pt>
                <c:pt idx="425">
                  <c:v>-20.479433221659228</c:v>
                </c:pt>
                <c:pt idx="426">
                  <c:v>-20.613964135902314</c:v>
                </c:pt>
                <c:pt idx="427">
                  <c:v>-20.75035190036731</c:v>
                </c:pt>
                <c:pt idx="428">
                  <c:v>-20.888563577236056</c:v>
                </c:pt>
                <c:pt idx="429">
                  <c:v>-21.028565308389449</c:v>
                </c:pt>
                <c:pt idx="430">
                  <c:v>-21.170322416214063</c:v>
                </c:pt>
                <c:pt idx="431">
                  <c:v>-21.313799503565185</c:v>
                </c:pt>
                <c:pt idx="432">
                  <c:v>-21.458960552378294</c:v>
                </c:pt>
                <c:pt idx="433">
                  <c:v>-21.605769020456371</c:v>
                </c:pt>
                <c:pt idx="434">
                  <c:v>-21.754187936004183</c:v>
                </c:pt>
                <c:pt idx="435">
                  <c:v>-21.904179989520088</c:v>
                </c:pt>
                <c:pt idx="436">
                  <c:v>-22.055707622700439</c:v>
                </c:pt>
                <c:pt idx="437">
                  <c:v>-22.208733114053267</c:v>
                </c:pt>
                <c:pt idx="438">
                  <c:v>-22.363218660962975</c:v>
                </c:pt>
                <c:pt idx="439">
                  <c:v>-22.519126457988769</c:v>
                </c:pt>
                <c:pt idx="440">
                  <c:v>-22.676418771221911</c:v>
                </c:pt>
                <c:pt idx="441">
                  <c:v>-22.835058008566339</c:v>
                </c:pt>
                <c:pt idx="442">
                  <c:v>-22.995006785844645</c:v>
                </c:pt>
                <c:pt idx="443">
                  <c:v>-23.156227988667155</c:v>
                </c:pt>
                <c:pt idx="444">
                  <c:v>-23.318684830037508</c:v>
                </c:pt>
                <c:pt idx="445">
                  <c:v>-23.482340903693718</c:v>
                </c:pt>
                <c:pt idx="446">
                  <c:v>-23.647160233218912</c:v>
                </c:pt>
                <c:pt idx="447">
                  <c:v>-23.813107316973916</c:v>
                </c:pt>
                <c:pt idx="448">
                  <c:v>-23.980147168933904</c:v>
                </c:pt>
                <c:pt idx="449">
                  <c:v>-24.148245355523706</c:v>
                </c:pt>
                <c:pt idx="450">
                  <c:v>-24.317368028571561</c:v>
                </c:pt>
                <c:pt idx="451">
                  <c:v>-24.487481954508894</c:v>
                </c:pt>
                <c:pt idx="452">
                  <c:v>-24.658554539960825</c:v>
                </c:pt>
                <c:pt idx="453">
                  <c:v>-24.830553853879582</c:v>
                </c:pt>
                <c:pt idx="454">
                  <c:v>-25.003448646382253</c:v>
                </c:pt>
                <c:pt idx="455">
                  <c:v>-25.177208364458199</c:v>
                </c:pt>
                <c:pt idx="456">
                  <c:v>-25.351803164718195</c:v>
                </c:pt>
                <c:pt idx="457">
                  <c:v>-25.52720392335706</c:v>
                </c:pt>
                <c:pt idx="458">
                  <c:v>-25.703382243501931</c:v>
                </c:pt>
                <c:pt idx="459">
                  <c:v>-25.880310460122274</c:v>
                </c:pt>
                <c:pt idx="460">
                  <c:v>-26.057961642668438</c:v>
                </c:pt>
                <c:pt idx="461">
                  <c:v>-26.236309595609583</c:v>
                </c:pt>
                <c:pt idx="462">
                  <c:v>-26.415328857032691</c:v>
                </c:pt>
                <c:pt idx="463">
                  <c:v>-26.594994695464468</c:v>
                </c:pt>
                <c:pt idx="464">
                  <c:v>-26.775283105067565</c:v>
                </c:pt>
                <c:pt idx="465">
                  <c:v>-26.956170799361558</c:v>
                </c:pt>
                <c:pt idx="466">
                  <c:v>-27.13763520360984</c:v>
                </c:pt>
                <c:pt idx="467">
                  <c:v>-27.319654446008212</c:v>
                </c:pt>
                <c:pt idx="468">
                  <c:v>-27.502207347804219</c:v>
                </c:pt>
                <c:pt idx="469">
                  <c:v>-27.685273412469073</c:v>
                </c:pt>
                <c:pt idx="470">
                  <c:v>-27.868832814038175</c:v>
                </c:pt>
                <c:pt idx="471">
                  <c:v>-28.052866384727587</c:v>
                </c:pt>
                <c:pt idx="472">
                  <c:v>-28.237355601928577</c:v>
                </c:pt>
                <c:pt idx="473">
                  <c:v>-28.422282574674572</c:v>
                </c:pt>
                <c:pt idx="474">
                  <c:v>-28.607630029669497</c:v>
                </c:pt>
                <c:pt idx="475">
                  <c:v>-28.793381296958582</c:v>
                </c:pt>
                <c:pt idx="476">
                  <c:v>-28.979520295316821</c:v>
                </c:pt>
                <c:pt idx="477">
                  <c:v>-29.166031517426202</c:v>
                </c:pt>
                <c:pt idx="478">
                  <c:v>-29.352900014904336</c:v>
                </c:pt>
                <c:pt idx="479">
                  <c:v>-29.540111383242902</c:v>
                </c:pt>
                <c:pt idx="480">
                  <c:v>-29.727651746709952</c:v>
                </c:pt>
                <c:pt idx="481">
                  <c:v>-29.915507743263792</c:v>
                </c:pt>
                <c:pt idx="482">
                  <c:v>-30.103666509521915</c:v>
                </c:pt>
                <c:pt idx="483">
                  <c:v>-30.29211566582476</c:v>
                </c:pt>
                <c:pt idx="484">
                  <c:v>-30.480843301428497</c:v>
                </c:pt>
                <c:pt idx="485">
                  <c:v>-30.669837959859493</c:v>
                </c:pt>
                <c:pt idx="486">
                  <c:v>-30.859088624456014</c:v>
                </c:pt>
                <c:pt idx="487">
                  <c:v>-31.048584704123911</c:v>
                </c:pt>
                <c:pt idx="488">
                  <c:v>-31.238316019324948</c:v>
                </c:pt>
                <c:pt idx="489">
                  <c:v>-31.42827278831799</c:v>
                </c:pt>
                <c:pt idx="490">
                  <c:v>-31.618445613667447</c:v>
                </c:pt>
                <c:pt idx="491">
                  <c:v>-31.808825469032776</c:v>
                </c:pt>
                <c:pt idx="492">
                  <c:v>-31.999403686249298</c:v>
                </c:pt>
                <c:pt idx="493">
                  <c:v>-32.190171942710165</c:v>
                </c:pt>
                <c:pt idx="494">
                  <c:v>-32.381122249055139</c:v>
                </c:pt>
                <c:pt idx="495">
                  <c:v>-32.572246937172523</c:v>
                </c:pt>
                <c:pt idx="496">
                  <c:v>-32.763538648517404</c:v>
                </c:pt>
                <c:pt idx="497">
                  <c:v>-32.954990322748181</c:v>
                </c:pt>
                <c:pt idx="498">
                  <c:v>-33.14659518668369</c:v>
                </c:pt>
                <c:pt idx="499">
                  <c:v>-33.338346743578683</c:v>
                </c:pt>
                <c:pt idx="500">
                  <c:v>-33.530238762718973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192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-0.4104002904350742</c:v>
                </c:pt>
                <c:pt idx="1">
                  <c:v>-0.41971789353272115</c:v>
                </c:pt>
                <c:pt idx="2">
                  <c:v>-0.42924702715225616</c:v>
                </c:pt>
                <c:pt idx="3">
                  <c:v>-0.43899249257128714</c:v>
                </c:pt>
                <c:pt idx="4">
                  <c:v>-0.4489591999803656</c:v>
                </c:pt>
                <c:pt idx="5">
                  <c:v>-0.4591521709489863</c:v>
                </c:pt>
                <c:pt idx="6">
                  <c:v>-0.46957654094715129</c:v>
                </c:pt>
                <c:pt idx="7">
                  <c:v>-0.48023756192367795</c:v>
                </c:pt>
                <c:pt idx="8">
                  <c:v>-0.49114060494248268</c:v>
                </c:pt>
                <c:pt idx="9">
                  <c:v>-0.50229116287814879</c:v>
                </c:pt>
                <c:pt idx="10">
                  <c:v>-0.51369485317211727</c:v>
                </c:pt>
                <c:pt idx="11">
                  <c:v>-0.52535742065071511</c:v>
                </c:pt>
                <c:pt idx="12">
                  <c:v>-0.53728474040654717</c:v>
                </c:pt>
                <c:pt idx="13">
                  <c:v>-0.54948282074449495</c:v>
                </c:pt>
                <c:pt idx="14">
                  <c:v>-0.56195780619382829</c:v>
                </c:pt>
                <c:pt idx="15">
                  <c:v>-0.57471598058779461</c:v>
                </c:pt>
                <c:pt idx="16">
                  <c:v>-0.58776377021226667</c:v>
                </c:pt>
                <c:pt idx="17">
                  <c:v>-0.6011077470248517</c:v>
                </c:pt>
                <c:pt idx="18">
                  <c:v>-0.61475463194602908</c:v>
                </c:pt>
                <c:pt idx="19">
                  <c:v>-0.62871129822388838</c:v>
                </c:pt>
                <c:pt idx="20">
                  <c:v>-0.64298477487407568</c:v>
                </c:pt>
                <c:pt idx="21">
                  <c:v>-0.65758225019649097</c:v>
                </c:pt>
                <c:pt idx="22">
                  <c:v>-0.67251107537049926</c:v>
                </c:pt>
                <c:pt idx="23">
                  <c:v>-0.68777876813029115</c:v>
                </c:pt>
                <c:pt idx="24">
                  <c:v>-0.70339301652204378</c:v>
                </c:pt>
                <c:pt idx="25">
                  <c:v>-0.71936168274476819</c:v>
                </c:pt>
                <c:pt idx="26">
                  <c:v>-0.735692807076477</c:v>
                </c:pt>
                <c:pt idx="27">
                  <c:v>-0.75239461188767176</c:v>
                </c:pt>
                <c:pt idx="28">
                  <c:v>-0.7694755057437197</c:v>
                </c:pt>
                <c:pt idx="29">
                  <c:v>-0.78694408759829271</c:v>
                </c:pt>
                <c:pt idx="30">
                  <c:v>-0.80480915107957329</c:v>
                </c:pt>
                <c:pt idx="31">
                  <c:v>-0.823079688871307</c:v>
                </c:pt>
                <c:pt idx="32">
                  <c:v>-0.84176489719048264</c:v>
                </c:pt>
                <c:pt idx="33">
                  <c:v>-0.86087418036397478</c:v>
                </c:pt>
                <c:pt idx="34">
                  <c:v>-0.88041715550578181</c:v>
                </c:pt>
                <c:pt idx="35">
                  <c:v>-0.90040365729732752</c:v>
                </c:pt>
                <c:pt idx="36">
                  <c:v>-0.92084374287257098</c:v>
                </c:pt>
                <c:pt idx="37">
                  <c:v>-0.9417476968104399</c:v>
                </c:pt>
                <c:pt idx="38">
                  <c:v>-0.96312603623631299</c:v>
                </c:pt>
                <c:pt idx="39">
                  <c:v>-0.98498951603526241</c:v>
                </c:pt>
                <c:pt idx="40">
                  <c:v>-1.0073491341787315</c:v>
                </c:pt>
                <c:pt idx="41">
                  <c:v>-1.0302161371674596</c:v>
                </c:pt>
                <c:pt idx="42">
                  <c:v>-1.0536020255924454</c:v>
                </c:pt>
                <c:pt idx="43">
                  <c:v>-1.0775185598166583</c:v>
                </c:pt>
                <c:pt idx="44">
                  <c:v>-1.1019777657795944</c:v>
                </c:pt>
                <c:pt idx="45">
                  <c:v>-1.1269919409271376</c:v>
                </c:pt>
                <c:pt idx="46">
                  <c:v>-1.1525736602690928</c:v>
                </c:pt>
                <c:pt idx="47">
                  <c:v>-1.1787357825669296</c:v>
                </c:pt>
                <c:pt idx="48">
                  <c:v>-1.2054914566539046</c:v>
                </c:pt>
                <c:pt idx="49">
                  <c:v>-1.2328541278903054</c:v>
                </c:pt>
                <c:pt idx="50">
                  <c:v>-1.260837544756146</c:v>
                </c:pt>
                <c:pt idx="51">
                  <c:v>-1.2894557655838643</c:v>
                </c:pt>
                <c:pt idx="52">
                  <c:v>-1.3187231654333311</c:v>
                </c:pt>
                <c:pt idx="53">
                  <c:v>-1.3486544431121195</c:v>
                </c:pt>
                <c:pt idx="54">
                  <c:v>-1.3792646283430647</c:v>
                </c:pt>
                <c:pt idx="55">
                  <c:v>-1.4105690890819189</c:v>
                </c:pt>
                <c:pt idx="56">
                  <c:v>-1.4425835389876109</c:v>
                </c:pt>
                <c:pt idx="57">
                  <c:v>-1.4753240450475895</c:v>
                </c:pt>
                <c:pt idx="58">
                  <c:v>-1.5088070353606353</c:v>
                </c:pt>
                <c:pt idx="59">
                  <c:v>-1.5430493070799867</c:v>
                </c:pt>
                <c:pt idx="60">
                  <c:v>-1.5780680345189191</c:v>
                </c:pt>
                <c:pt idx="61">
                  <c:v>-1.6138807774213644</c:v>
                </c:pt>
                <c:pt idx="62">
                  <c:v>-1.6505054894000699</c:v>
                </c:pt>
                <c:pt idx="63">
                  <c:v>-1.6879605265446882</c:v>
                </c:pt>
                <c:pt idx="64">
                  <c:v>-1.7262646562019435</c:v>
                </c:pt>
                <c:pt idx="65">
                  <c:v>-1.7654370659305521</c:v>
                </c:pt>
                <c:pt idx="66">
                  <c:v>-1.8054973726327446</c:v>
                </c:pt>
                <c:pt idx="67">
                  <c:v>-1.8464656318649679</c:v>
                </c:pt>
                <c:pt idx="68">
                  <c:v>-1.8883623473294013</c:v>
                </c:pt>
                <c:pt idx="69">
                  <c:v>-1.931208480548996</c:v>
                </c:pt>
                <c:pt idx="70">
                  <c:v>-1.9750254607270394</c:v>
                </c:pt>
                <c:pt idx="71">
                  <c:v>-2.0198351947939917</c:v>
                </c:pt>
                <c:pt idx="72">
                  <c:v>-2.0656600776425926</c:v>
                </c:pt>
                <c:pt idx="73">
                  <c:v>-2.1125230025531865</c:v>
                </c:pt>
                <c:pt idx="74">
                  <c:v>-2.160447371810521</c:v>
                </c:pt>
                <c:pt idx="75">
                  <c:v>-2.2094571075131935</c:v>
                </c:pt>
                <c:pt idx="76">
                  <c:v>-2.2595766625770093</c:v>
                </c:pt>
                <c:pt idx="77">
                  <c:v>-2.3108310319328833</c:v>
                </c:pt>
                <c:pt idx="78">
                  <c:v>-2.363245763919986</c:v>
                </c:pt>
                <c:pt idx="79">
                  <c:v>-2.4168469718746608</c:v>
                </c:pt>
                <c:pt idx="80">
                  <c:v>-2.4716613459149941</c:v>
                </c:pt>
                <c:pt idx="81">
                  <c:v>-2.5277161649210496</c:v>
                </c:pt>
                <c:pt idx="82">
                  <c:v>-2.5850393087100616</c:v>
                </c:pt>
                <c:pt idx="83">
                  <c:v>-2.6436592704063133</c:v>
                </c:pt>
                <c:pt idx="84">
                  <c:v>-2.7036051690033291</c:v>
                </c:pt>
                <c:pt idx="85">
                  <c:v>-2.7649067621184877</c:v>
                </c:pt>
                <c:pt idx="86">
                  <c:v>-2.8275944589362312</c:v>
                </c:pt>
                <c:pt idx="87">
                  <c:v>-2.8916993333386221</c:v>
                </c:pt>
                <c:pt idx="88">
                  <c:v>-2.9572531372194213</c:v>
                </c:pt>
                <c:pt idx="89">
                  <c:v>-3.0242883139787176</c:v>
                </c:pt>
                <c:pt idx="90">
                  <c:v>-3.0928380121933423</c:v>
                </c:pt>
                <c:pt idx="91">
                  <c:v>-3.1629360994585132</c:v>
                </c:pt>
                <c:pt idx="92">
                  <c:v>-3.2346171763950791</c:v>
                </c:pt>
                <c:pt idx="93">
                  <c:v>-3.3079165908161778</c:v>
                </c:pt>
                <c:pt idx="94">
                  <c:v>-3.382870452045915</c:v>
                </c:pt>
                <c:pt idx="95">
                  <c:v>-3.4595156453825511</c:v>
                </c:pt>
                <c:pt idx="96">
                  <c:v>-3.5378898466965474</c:v>
                </c:pt>
                <c:pt idx="97">
                  <c:v>-3.6180315371542608</c:v>
                </c:pt>
                <c:pt idx="98">
                  <c:v>-3.6999800180559883</c:v>
                </c:pt>
                <c:pt idx="99">
                  <c:v>-3.7837754257760761</c:v>
                </c:pt>
                <c:pt idx="100">
                  <c:v>-3.8694587467918091</c:v>
                </c:pt>
                <c:pt idx="101">
                  <c:v>-3.9570718327864691</c:v>
                </c:pt>
                <c:pt idx="102">
                  <c:v>-4.0466574158102411</c:v>
                </c:pt>
                <c:pt idx="103">
                  <c:v>-4.138259123481201</c:v>
                </c:pt>
                <c:pt idx="104">
                  <c:v>-4.2319214942076027</c:v>
                </c:pt>
                <c:pt idx="105">
                  <c:v>-4.3276899924096259</c:v>
                </c:pt>
                <c:pt idx="106">
                  <c:v>-4.4256110237188944</c:v>
                </c:pt>
                <c:pt idx="107">
                  <c:v>-4.5257319501291917</c:v>
                </c:pt>
                <c:pt idx="108">
                  <c:v>-4.6281011050737115</c:v>
                </c:pt>
                <c:pt idx="109">
                  <c:v>-4.7327678083973526</c:v>
                </c:pt>
                <c:pt idx="110">
                  <c:v>-4.8397823811941185</c:v>
                </c:pt>
                <c:pt idx="111">
                  <c:v>-4.9491961604751467</c:v>
                </c:pt>
                <c:pt idx="112">
                  <c:v>-5.061061513629709</c:v>
                </c:pt>
                <c:pt idx="113">
                  <c:v>-5.1754318526414673</c:v>
                </c:pt>
                <c:pt idx="114">
                  <c:v>-5.2923616480147508</c:v>
                </c:pt>
                <c:pt idx="115">
                  <c:v>-5.4119064423674343</c:v>
                </c:pt>
                <c:pt idx="116">
                  <c:v>-5.5341228636392943</c:v>
                </c:pt>
                <c:pt idx="117">
                  <c:v>-5.6590686378645696</c:v>
                </c:pt>
                <c:pt idx="118">
                  <c:v>-5.7868026014498444</c:v>
                </c:pt>
                <c:pt idx="119">
                  <c:v>-5.9173847128988921</c:v>
                </c:pt>
                <c:pt idx="120">
                  <c:v>-6.0508760639178085</c:v>
                </c:pt>
                <c:pt idx="121">
                  <c:v>-6.1873388898315813</c:v>
                </c:pt>
                <c:pt idx="122">
                  <c:v>-6.3268365792374679</c:v>
                </c:pt>
                <c:pt idx="123">
                  <c:v>-6.469433682816697</c:v>
                </c:pt>
                <c:pt idx="124">
                  <c:v>-6.6151959212190494</c:v>
                </c:pt>
                <c:pt idx="125">
                  <c:v>-6.7641901919310978</c:v>
                </c:pt>
                <c:pt idx="126">
                  <c:v>-6.9164845750320936</c:v>
                </c:pt>
                <c:pt idx="127">
                  <c:v>-7.0721483377353822</c:v>
                </c:pt>
                <c:pt idx="128">
                  <c:v>-7.2312519376084028</c:v>
                </c:pt>
                <c:pt idx="129">
                  <c:v>-7.3938670243540248</c:v>
                </c:pt>
                <c:pt idx="130">
                  <c:v>-7.5600664400358237</c:v>
                </c:pt>
                <c:pt idx="131">
                  <c:v>-7.7299242176133962</c:v>
                </c:pt>
                <c:pt idx="132">
                  <c:v>-7.9035155776560018</c:v>
                </c:pt>
                <c:pt idx="133">
                  <c:v>-8.080916923087992</c:v>
                </c:pt>
                <c:pt idx="134">
                  <c:v>-8.2622058318148834</c:v>
                </c:pt>
                <c:pt idx="135">
                  <c:v>-8.447461047069897</c:v>
                </c:pt>
                <c:pt idx="136">
                  <c:v>-8.6367624653130122</c:v>
                </c:pt>
                <c:pt idx="137">
                  <c:v>-8.8301911215036615</c:v>
                </c:pt>
                <c:pt idx="138">
                  <c:v>-9.0278291715626562</c:v>
                </c:pt>
                <c:pt idx="139">
                  <c:v>-9.2297598718265483</c:v>
                </c:pt>
                <c:pt idx="140">
                  <c:v>-9.436067555291741</c:v>
                </c:pt>
                <c:pt idx="141">
                  <c:v>-9.6468376044322142</c:v>
                </c:pt>
                <c:pt idx="142">
                  <c:v>-9.8621564203696686</c:v>
                </c:pt>
                <c:pt idx="143">
                  <c:v>-10.082111388163122</c:v>
                </c:pt>
                <c:pt idx="144">
                  <c:v>-10.306790837975496</c:v>
                </c:pt>
                <c:pt idx="145">
                  <c:v>-10.53628400186701</c:v>
                </c:pt>
                <c:pt idx="146">
                  <c:v>-10.770680965954133</c:v>
                </c:pt>
                <c:pt idx="147">
                  <c:v>-11.010072617668124</c:v>
                </c:pt>
                <c:pt idx="148">
                  <c:v>-11.254550587832625</c:v>
                </c:pt>
                <c:pt idx="149">
                  <c:v>-11.504207187278134</c:v>
                </c:pt>
                <c:pt idx="150">
                  <c:v>-11.759135337700599</c:v>
                </c:pt>
                <c:pt idx="151">
                  <c:v>-12.019428496466411</c:v>
                </c:pt>
                <c:pt idx="152">
                  <c:v>-12.285180575058551</c:v>
                </c:pt>
                <c:pt idx="153">
                  <c:v>-12.556485850858241</c:v>
                </c:pt>
                <c:pt idx="154">
                  <c:v>-12.833438871947934</c:v>
                </c:pt>
                <c:pt idx="155">
                  <c:v>-13.116134354625482</c:v>
                </c:pt>
                <c:pt idx="156">
                  <c:v>-13.404667073314695</c:v>
                </c:pt>
                <c:pt idx="157">
                  <c:v>-13.699131742562635</c:v>
                </c:pt>
                <c:pt idx="158">
                  <c:v>-13.999622890815916</c:v>
                </c:pt>
                <c:pt idx="159">
                  <c:v>-14.306234725675695</c:v>
                </c:pt>
                <c:pt idx="160">
                  <c:v>-14.619060990342192</c:v>
                </c:pt>
                <c:pt idx="161">
                  <c:v>-14.938194810965577</c:v>
                </c:pt>
                <c:pt idx="162">
                  <c:v>-15.263728534645734</c:v>
                </c:pt>
                <c:pt idx="163">
                  <c:v>-15.595753557830273</c:v>
                </c:pt>
                <c:pt idx="164">
                  <c:v>-15.934360144894903</c:v>
                </c:pt>
                <c:pt idx="165">
                  <c:v>-16.279637236708631</c:v>
                </c:pt>
                <c:pt idx="166">
                  <c:v>-16.631672249023666</c:v>
                </c:pt>
                <c:pt idx="167">
                  <c:v>-16.990550860563939</c:v>
                </c:pt>
                <c:pt idx="168">
                  <c:v>-17.356356790730519</c:v>
                </c:pt>
                <c:pt idx="169">
                  <c:v>-17.729171566886269</c:v>
                </c:pt>
                <c:pt idx="170">
                  <c:v>-18.109074281241874</c:v>
                </c:pt>
                <c:pt idx="171">
                  <c:v>-18.496141337418223</c:v>
                </c:pt>
                <c:pt idx="172">
                  <c:v>-18.890446186831159</c:v>
                </c:pt>
                <c:pt idx="173">
                  <c:v>-19.292059055117747</c:v>
                </c:pt>
                <c:pt idx="174">
                  <c:v>-19.701046658896388</c:v>
                </c:pt>
                <c:pt idx="175">
                  <c:v>-20.117471913250213</c:v>
                </c:pt>
                <c:pt idx="176">
                  <c:v>-20.541393630409893</c:v>
                </c:pt>
                <c:pt idx="177">
                  <c:v>-20.972866210205673</c:v>
                </c:pt>
                <c:pt idx="178">
                  <c:v>-21.411939322985752</c:v>
                </c:pt>
                <c:pt idx="179">
                  <c:v>-21.858657585786563</c:v>
                </c:pt>
                <c:pt idx="180">
                  <c:v>-22.313060232678144</c:v>
                </c:pt>
                <c:pt idx="181">
                  <c:v>-22.775180780321964</c:v>
                </c:pt>
                <c:pt idx="182">
                  <c:v>-23.245046689914009</c:v>
                </c:pt>
                <c:pt idx="183">
                  <c:v>-23.722679026810518</c:v>
                </c:pt>
                <c:pt idx="184">
                  <c:v>-24.208092119281797</c:v>
                </c:pt>
                <c:pt idx="185">
                  <c:v>-24.701293217962625</c:v>
                </c:pt>
                <c:pt idx="186">
                  <c:v>-25.202282157716521</c:v>
                </c:pt>
                <c:pt idx="187">
                  <c:v>-25.711051023758486</c:v>
                </c:pt>
                <c:pt idx="188">
                  <c:v>-26.227583824019913</c:v>
                </c:pt>
                <c:pt idx="189">
                  <c:v>-26.751856169862574</c:v>
                </c:pt>
                <c:pt idx="190">
                  <c:v>-27.283834967369064</c:v>
                </c:pt>
                <c:pt idx="191">
                  <c:v>-27.823478121550238</c:v>
                </c:pt>
                <c:pt idx="192">
                  <c:v>-28.370734255904456</c:v>
                </c:pt>
                <c:pt idx="193">
                  <c:v>-28.925542449850134</c:v>
                </c:pt>
                <c:pt idx="194">
                  <c:v>-29.487831996620869</c:v>
                </c:pt>
                <c:pt idx="195">
                  <c:v>-30.057522184258136</c:v>
                </c:pt>
                <c:pt idx="196">
                  <c:v>-30.634522102357504</c:v>
                </c:pt>
                <c:pt idx="197">
                  <c:v>-31.218730477235578</c:v>
                </c:pt>
                <c:pt idx="198">
                  <c:v>-31.810035538147751</c:v>
                </c:pt>
                <c:pt idx="199">
                  <c:v>-32.4083149171326</c:v>
                </c:pt>
                <c:pt idx="200">
                  <c:v>-33.013435584980606</c:v>
                </c:pt>
                <c:pt idx="201">
                  <c:v>-33.625253825693648</c:v>
                </c:pt>
                <c:pt idx="202">
                  <c:v>-34.243615251651946</c:v>
                </c:pt>
                <c:pt idx="203">
                  <c:v>-34.868354861525262</c:v>
                </c:pt>
                <c:pt idx="204">
                  <c:v>-35.499297142732381</c:v>
                </c:pt>
                <c:pt idx="205">
                  <c:v>-36.136256219998657</c:v>
                </c:pt>
                <c:pt idx="206">
                  <c:v>-36.779036051279171</c:v>
                </c:pt>
                <c:pt idx="207">
                  <c:v>-37.427430671983124</c:v>
                </c:pt>
                <c:pt idx="208">
                  <c:v>-38.081224488095593</c:v>
                </c:pt>
                <c:pt idx="209">
                  <c:v>-38.740192618406844</c:v>
                </c:pt>
                <c:pt idx="210">
                  <c:v>-39.404101285675758</c:v>
                </c:pt>
                <c:pt idx="211">
                  <c:v>-40.072708256120691</c:v>
                </c:pt>
                <c:pt idx="212">
                  <c:v>-40.745763326221095</c:v>
                </c:pt>
                <c:pt idx="213">
                  <c:v>-41.423008855364834</c:v>
                </c:pt>
                <c:pt idx="214">
                  <c:v>-42.104180342449133</c:v>
                </c:pt>
                <c:pt idx="215">
                  <c:v>-42.789007044110711</c:v>
                </c:pt>
                <c:pt idx="216">
                  <c:v>-43.477212631831307</c:v>
                </c:pt>
                <c:pt idx="217">
                  <c:v>-44.168515884787467</c:v>
                </c:pt>
                <c:pt idx="218">
                  <c:v>-44.862631414909877</c:v>
                </c:pt>
                <c:pt idx="219">
                  <c:v>-45.559270420291952</c:v>
                </c:pt>
                <c:pt idx="220">
                  <c:v>-46.258141462775093</c:v>
                </c:pt>
                <c:pt idx="221">
                  <c:v>-46.958951265263984</c:v>
                </c:pt>
                <c:pt idx="222">
                  <c:v>-47.661405524117093</c:v>
                </c:pt>
                <c:pt idx="223">
                  <c:v>-48.365209731783544</c:v>
                </c:pt>
                <c:pt idx="224">
                  <c:v>-49.070070004737893</c:v>
                </c:pt>
                <c:pt idx="225">
                  <c:v>-49.775693911721326</c:v>
                </c:pt>
                <c:pt idx="226">
                  <c:v>-50.481791297274903</c:v>
                </c:pt>
                <c:pt idx="227">
                  <c:v>-51.188075095624853</c:v>
                </c:pt>
                <c:pt idx="228">
                  <c:v>-51.89426213007313</c:v>
                </c:pt>
                <c:pt idx="229">
                  <c:v>-52.600073893233223</c:v>
                </c:pt>
                <c:pt idx="230">
                  <c:v>-53.305237303638521</c:v>
                </c:pt>
                <c:pt idx="231">
                  <c:v>-54.009485434539648</c:v>
                </c:pt>
                <c:pt idx="232">
                  <c:v>-54.712558210999276</c:v>
                </c:pt>
                <c:pt idx="233">
                  <c:v>-55.414203071733716</c:v>
                </c:pt>
                <c:pt idx="234">
                  <c:v>-56.114175592531573</c:v>
                </c:pt>
                <c:pt idx="235">
                  <c:v>-56.812240068468668</c:v>
                </c:pt>
                <c:pt idx="236">
                  <c:v>-57.508170052566186</c:v>
                </c:pt>
                <c:pt idx="237">
                  <c:v>-58.201748848955596</c:v>
                </c:pt>
                <c:pt idx="238">
                  <c:v>-58.89276995906382</c:v>
                </c:pt>
                <c:pt idx="239">
                  <c:v>-59.581037479742925</c:v>
                </c:pt>
                <c:pt idx="240">
                  <c:v>-60.266366452722991</c:v>
                </c:pt>
                <c:pt idx="241">
                  <c:v>-60.948583165154432</c:v>
                </c:pt>
                <c:pt idx="242">
                  <c:v>-61.627525401421899</c:v>
                </c:pt>
                <c:pt idx="243">
                  <c:v>-62.303042646779801</c:v>
                </c:pt>
                <c:pt idx="244">
                  <c:v>-62.974996243703337</c:v>
                </c:pt>
                <c:pt idx="245">
                  <c:v>-63.643259502178942</c:v>
                </c:pt>
                <c:pt idx="246">
                  <c:v>-64.307717765442817</c:v>
                </c:pt>
                <c:pt idx="247">
                  <c:v>-64.968268432928738</c:v>
                </c:pt>
                <c:pt idx="248">
                  <c:v>-65.624820942408036</c:v>
                </c:pt>
                <c:pt idx="249">
                  <c:v>-66.277296713505137</c:v>
                </c:pt>
                <c:pt idx="250">
                  <c:v>-66.925629054899161</c:v>
                </c:pt>
                <c:pt idx="251">
                  <c:v>-67.569763037663051</c:v>
                </c:pt>
                <c:pt idx="252">
                  <c:v>-68.209655337265758</c:v>
                </c:pt>
                <c:pt idx="253">
                  <c:v>-68.845274046819682</c:v>
                </c:pt>
                <c:pt idx="254">
                  <c:v>-69.476598464178409</c:v>
                </c:pt>
                <c:pt idx="255">
                  <c:v>-70.103618855490637</c:v>
                </c:pt>
                <c:pt idx="256">
                  <c:v>-70.726336197783965</c:v>
                </c:pt>
                <c:pt idx="257">
                  <c:v>-71.344761903106573</c:v>
                </c:pt>
                <c:pt idx="258">
                  <c:v>-71.958917526679386</c:v>
                </c:pt>
                <c:pt idx="259">
                  <c:v>-72.568834461425297</c:v>
                </c:pt>
                <c:pt idx="260">
                  <c:v>-73.174553621145805</c:v>
                </c:pt>
                <c:pt idx="261">
                  <c:v>-73.776125114482539</c:v>
                </c:pt>
                <c:pt idx="262">
                  <c:v>-74.373607911708149</c:v>
                </c:pt>
                <c:pt idx="263">
                  <c:v>-74.967069506214742</c:v>
                </c:pt>
                <c:pt idx="264">
                  <c:v>-75.556585572473338</c:v>
                </c:pt>
                <c:pt idx="265">
                  <c:v>-76.142239622065617</c:v>
                </c:pt>
                <c:pt idx="266">
                  <c:v>-76.724122659261369</c:v>
                </c:pt>
                <c:pt idx="267">
                  <c:v>-77.302332837462728</c:v>
                </c:pt>
                <c:pt idx="268">
                  <c:v>-77.876975117700553</c:v>
                </c:pt>
                <c:pt idx="269">
                  <c:v>-78.448160930221221</c:v>
                </c:pt>
                <c:pt idx="270">
                  <c:v>-79.016007840074948</c:v>
                </c:pt>
                <c:pt idx="271">
                  <c:v>-79.580639217466626</c:v>
                </c:pt>
                <c:pt idx="272">
                  <c:v>-80.142183913528726</c:v>
                </c:pt>
                <c:pt idx="273">
                  <c:v>-80.700775942027789</c:v>
                </c:pt>
                <c:pt idx="274">
                  <c:v>-81.25655416742039</c:v>
                </c:pt>
                <c:pt idx="275">
                  <c:v>-81.809661999548823</c:v>
                </c:pt>
                <c:pt idx="276">
                  <c:v>-82.360247095182558</c:v>
                </c:pt>
                <c:pt idx="277">
                  <c:v>-82.908461066495192</c:v>
                </c:pt>
                <c:pt idx="278">
                  <c:v>-83.454459196495563</c:v>
                </c:pt>
                <c:pt idx="279">
                  <c:v>-83.9984001613348</c:v>
                </c:pt>
                <c:pt idx="280">
                  <c:v>-84.540445759346753</c:v>
                </c:pt>
                <c:pt idx="281">
                  <c:v>-85.080760646600424</c:v>
                </c:pt>
                <c:pt idx="282">
                  <c:v>-85.619512078687578</c:v>
                </c:pt>
                <c:pt idx="283">
                  <c:v>-86.156869658404361</c:v>
                </c:pt>
                <c:pt idx="284">
                  <c:v>-86.693005088940239</c:v>
                </c:pt>
                <c:pt idx="285">
                  <c:v>-87.228091932142064</c:v>
                </c:pt>
                <c:pt idx="286">
                  <c:v>-87.762305371371056</c:v>
                </c:pt>
                <c:pt idx="287">
                  <c:v>-88.295821978454939</c:v>
                </c:pt>
                <c:pt idx="288">
                  <c:v>-88.828819484182546</c:v>
                </c:pt>
                <c:pt idx="289">
                  <c:v>-89.361476551786708</c:v>
                </c:pt>
                <c:pt idx="290">
                  <c:v>-89.893972552824081</c:v>
                </c:pt>
                <c:pt idx="291">
                  <c:v>-90.426487344852944</c:v>
                </c:pt>
                <c:pt idx="292">
                  <c:v>-90.959201050291696</c:v>
                </c:pt>
                <c:pt idx="293">
                  <c:v>-91.492293835845203</c:v>
                </c:pt>
                <c:pt idx="294">
                  <c:v>-92.025945691864678</c:v>
                </c:pt>
                <c:pt idx="295">
                  <c:v>-92.56033621102533</c:v>
                </c:pt>
                <c:pt idx="296">
                  <c:v>-93.095644365700664</c:v>
                </c:pt>
                <c:pt idx="297">
                  <c:v>-93.632048283424439</c:v>
                </c:pt>
                <c:pt idx="298">
                  <c:v>-94.169725019846027</c:v>
                </c:pt>
                <c:pt idx="299">
                  <c:v>-94.708850328599766</c:v>
                </c:pt>
                <c:pt idx="300">
                  <c:v>-95.249598427535844</c:v>
                </c:pt>
                <c:pt idx="301">
                  <c:v>-95.79214176078473</c:v>
                </c:pt>
                <c:pt idx="302">
                  <c:v>-96.336650756158051</c:v>
                </c:pt>
                <c:pt idx="303">
                  <c:v>-96.883293577428518</c:v>
                </c:pt>
                <c:pt idx="304">
                  <c:v>-97.432235871073104</c:v>
                </c:pt>
                <c:pt idx="305">
                  <c:v>-97.983640507112966</c:v>
                </c:pt>
                <c:pt idx="306">
                  <c:v>-98.537667313731873</c:v>
                </c:pt>
                <c:pt idx="307">
                  <c:v>-99.094472805421844</c:v>
                </c:pt>
                <c:pt idx="308">
                  <c:v>-99.654209904466342</c:v>
                </c:pt>
                <c:pt idx="309">
                  <c:v>-100.21702765564228</c:v>
                </c:pt>
                <c:pt idx="310">
                  <c:v>-100.78307093410636</c:v>
                </c:pt>
                <c:pt idx="311">
                  <c:v>-101.35248014650774</c:v>
                </c:pt>
                <c:pt idx="312">
                  <c:v>-101.92539092547237</c:v>
                </c:pt>
                <c:pt idx="313">
                  <c:v>-102.5019338176905</c:v>
                </c:pt>
                <c:pt idx="314">
                  <c:v>-103.08223396595753</c:v>
                </c:pt>
                <c:pt idx="315">
                  <c:v>-103.66641078561676</c:v>
                </c:pt>
                <c:pt idx="316">
                  <c:v>-104.25457763598472</c:v>
                </c:pt>
                <c:pt idx="317">
                  <c:v>-104.84684148745274</c:v>
                </c:pt>
                <c:pt idx="318">
                  <c:v>-105.44330258509297</c:v>
                </c:pt>
                <c:pt idx="319">
                  <c:v>-106.04405410973588</c:v>
                </c:pt>
                <c:pt idx="320">
                  <c:v>-106.64918183761348</c:v>
                </c:pt>
                <c:pt idx="321">
                  <c:v>-107.2587637998176</c:v>
                </c:pt>
                <c:pt idx="322">
                  <c:v>-107.87286994295623</c:v>
                </c:pt>
                <c:pt idx="323">
                  <c:v>-108.49156179254148</c:v>
                </c:pt>
                <c:pt idx="324">
                  <c:v>-109.11489212078068</c:v>
                </c:pt>
                <c:pt idx="325">
                  <c:v>-109.7429046205924</c:v>
                </c:pt>
                <c:pt idx="326">
                  <c:v>-110.37563358779445</c:v>
                </c:pt>
                <c:pt idx="327">
                  <c:v>-111.01310361355189</c:v>
                </c:pt>
                <c:pt idx="328">
                  <c:v>-111.65532928928995</c:v>
                </c:pt>
                <c:pt idx="329">
                  <c:v>-112.30231492638785</c:v>
                </c:pt>
                <c:pt idx="330">
                  <c:v>-112.95405429307201</c:v>
                </c:pt>
                <c:pt idx="331">
                  <c:v>-113.6105303710028</c:v>
                </c:pt>
                <c:pt idx="332">
                  <c:v>-114.27171513412108</c:v>
                </c:pt>
                <c:pt idx="333">
                  <c:v>-114.93756935235592</c:v>
                </c:pt>
                <c:pt idx="334">
                  <c:v>-115.60804242282272</c:v>
                </c:pt>
                <c:pt idx="335">
                  <c:v>-116.28307223112529</c:v>
                </c:pt>
                <c:pt idx="336">
                  <c:v>-116.96258504535081</c:v>
                </c:pt>
                <c:pt idx="337">
                  <c:v>-117.64649544527965</c:v>
                </c:pt>
                <c:pt idx="338">
                  <c:v>-118.33470628922643</c:v>
                </c:pt>
                <c:pt idx="339">
                  <c:v>-119.02710872081678</c:v>
                </c:pt>
                <c:pt idx="340">
                  <c:v>-119.7235822178249</c:v>
                </c:pt>
                <c:pt idx="341">
                  <c:v>-120.42399468500871</c:v>
                </c:pt>
                <c:pt idx="342">
                  <c:v>-121.12820259263864</c:v>
                </c:pt>
                <c:pt idx="343">
                  <c:v>-121.83605116216019</c:v>
                </c:pt>
                <c:pt idx="344">
                  <c:v>-122.54737460012116</c:v>
                </c:pt>
                <c:pt idx="345">
                  <c:v>-123.26199638117284</c:v>
                </c:pt>
                <c:pt idx="346">
                  <c:v>-123.97972958058988</c:v>
                </c:pt>
                <c:pt idx="347">
                  <c:v>-124.7003772563862</c:v>
                </c:pt>
                <c:pt idx="348">
                  <c:v>-125.42373288068565</c:v>
                </c:pt>
                <c:pt idx="349">
                  <c:v>-126.14958081960401</c:v>
                </c:pt>
                <c:pt idx="350">
                  <c:v>-126.87769686046767</c:v>
                </c:pt>
                <c:pt idx="351">
                  <c:v>-127.60784878475891</c:v>
                </c:pt>
                <c:pt idx="352">
                  <c:v>-128.33979698475949</c:v>
                </c:pt>
                <c:pt idx="353">
                  <c:v>-129.07329512143062</c:v>
                </c:pt>
                <c:pt idx="354">
                  <c:v>-129.80809082067356</c:v>
                </c:pt>
                <c:pt idx="355">
                  <c:v>-130.54392640471991</c:v>
                </c:pt>
                <c:pt idx="356">
                  <c:v>-131.28053965505174</c:v>
                </c:pt>
                <c:pt idx="357">
                  <c:v>-132.01766460292598</c:v>
                </c:pt>
                <c:pt idx="358">
                  <c:v>-132.75503234329349</c:v>
                </c:pt>
                <c:pt idx="359">
                  <c:v>-133.49237186766035</c:v>
                </c:pt>
                <c:pt idx="360">
                  <c:v>-134.22941091126455</c:v>
                </c:pt>
                <c:pt idx="361">
                  <c:v>-134.96587680978141</c:v>
                </c:pt>
                <c:pt idx="362">
                  <c:v>-135.70149736071272</c:v>
                </c:pt>
                <c:pt idx="363">
                  <c:v>-136.43600168457306</c:v>
                </c:pt>
                <c:pt idx="364">
                  <c:v>-137.16912108103176</c:v>
                </c:pt>
                <c:pt idx="365">
                  <c:v>-137.90058987525171</c:v>
                </c:pt>
                <c:pt idx="366">
                  <c:v>-138.63014624981983</c:v>
                </c:pt>
                <c:pt idx="367">
                  <c:v>-139.35753305786125</c:v>
                </c:pt>
                <c:pt idx="368">
                  <c:v>-140.08249861318245</c:v>
                </c:pt>
                <c:pt idx="369">
                  <c:v>-140.80479745358241</c:v>
                </c:pt>
                <c:pt idx="370">
                  <c:v>-141.52419107381911</c:v>
                </c:pt>
                <c:pt idx="371">
                  <c:v>-142.24044862508208</c:v>
                </c:pt>
                <c:pt idx="372">
                  <c:v>-142.95334757823719</c:v>
                </c:pt>
                <c:pt idx="373">
                  <c:v>-143.66267434853739</c:v>
                </c:pt>
                <c:pt idx="374">
                  <c:v>-144.36822487992794</c:v>
                </c:pt>
                <c:pt idx="375">
                  <c:v>-145.06980518756347</c:v>
                </c:pt>
                <c:pt idx="376">
                  <c:v>-145.76723185758135</c:v>
                </c:pt>
                <c:pt idx="377">
                  <c:v>-146.46033250366122</c:v>
                </c:pt>
                <c:pt idx="378">
                  <c:v>-147.14894618036178</c:v>
                </c:pt>
                <c:pt idx="379">
                  <c:v>-147.83292375364385</c:v>
                </c:pt>
                <c:pt idx="380">
                  <c:v>-148.51212822945493</c:v>
                </c:pt>
                <c:pt idx="381">
                  <c:v>-149.18643504163231</c:v>
                </c:pt>
                <c:pt idx="382">
                  <c:v>-149.85573230077028</c:v>
                </c:pt>
                <c:pt idx="383">
                  <c:v>-150.51992100608555</c:v>
                </c:pt>
                <c:pt idx="384">
                  <c:v>-151.17891522260945</c:v>
                </c:pt>
                <c:pt idx="385">
                  <c:v>-151.83264222638221</c:v>
                </c:pt>
                <c:pt idx="386">
                  <c:v>-152.48104262056745</c:v>
                </c:pt>
                <c:pt idx="387">
                  <c:v>-153.1240704256887</c:v>
                </c:pt>
                <c:pt idx="388">
                  <c:v>-153.76169314739334</c:v>
                </c:pt>
                <c:pt idx="389">
                  <c:v>-154.39389182535533</c:v>
                </c:pt>
                <c:pt idx="390">
                  <c:v>-155.02066106711666</c:v>
                </c:pt>
                <c:pt idx="391">
                  <c:v>-155.64200907081138</c:v>
                </c:pt>
                <c:pt idx="392">
                  <c:v>-156.2579576408699</c:v>
                </c:pt>
                <c:pt idx="393">
                  <c:v>-156.86854220092957</c:v>
                </c:pt>
                <c:pt idx="394">
                  <c:v>-157.47381180829845</c:v>
                </c:pt>
                <c:pt idx="395">
                  <c:v>-158.0738291744413</c:v>
                </c:pt>
                <c:pt idx="396">
                  <c:v>-158.66867069607343</c:v>
                </c:pt>
                <c:pt idx="397">
                  <c:v>-159.25842650157762</c:v>
                </c:pt>
                <c:pt idx="398">
                  <c:v>-159.84320051759411</c:v>
                </c:pt>
                <c:pt idx="399">
                  <c:v>-160.4231105607906</c:v>
                </c:pt>
                <c:pt idx="400">
                  <c:v>-160.99828845999232</c:v>
                </c:pt>
                <c:pt idx="401">
                  <c:v>-161.56888021406743</c:v>
                </c:pt>
                <c:pt idx="402">
                  <c:v>-162.13504619119834</c:v>
                </c:pt>
                <c:pt idx="403">
                  <c:v>-162.69696137546219</c:v>
                </c:pt>
                <c:pt idx="404">
                  <c:v>-163.25481566698028</c:v>
                </c:pt>
                <c:pt idx="405">
                  <c:v>-163.80881424229676</c:v>
                </c:pt>
                <c:pt idx="406">
                  <c:v>-164.35917798211892</c:v>
                </c:pt>
                <c:pt idx="407">
                  <c:v>-164.90614397409624</c:v>
                </c:pt>
                <c:pt idx="408">
                  <c:v>-165.44996609896725</c:v>
                </c:pt>
                <c:pt idx="409">
                  <c:v>-165.99091570914646</c:v>
                </c:pt>
                <c:pt idx="410">
                  <c:v>-166.52928240970294</c:v>
                </c:pt>
                <c:pt idx="411">
                  <c:v>-167.06537495268876</c:v>
                </c:pt>
                <c:pt idx="412">
                  <c:v>-167.59952225695417</c:v>
                </c:pt>
                <c:pt idx="413">
                  <c:v>-168.13207456693689</c:v>
                </c:pt>
                <c:pt idx="414">
                  <c:v>-168.66340476548746</c:v>
                </c:pt>
                <c:pt idx="415">
                  <c:v>-169.19390985759438</c:v>
                </c:pt>
                <c:pt idx="416">
                  <c:v>-169.72401264396734</c:v>
                </c:pt>
                <c:pt idx="417">
                  <c:v>-170.25416360584464</c:v>
                </c:pt>
                <c:pt idx="418">
                  <c:v>-170.78484302516958</c:v>
                </c:pt>
                <c:pt idx="419">
                  <c:v>-171.31656336749771</c:v>
                </c:pt>
                <c:pt idx="420">
                  <c:v>-171.84987195869846</c:v>
                </c:pt>
                <c:pt idx="421">
                  <c:v>-172.3853539908053</c:v>
                </c:pt>
                <c:pt idx="422">
                  <c:v>-172.92363589732645</c:v>
                </c:pt>
                <c:pt idx="423">
                  <c:v>-173.4653891440615</c:v>
                </c:pt>
                <c:pt idx="424">
                  <c:v>-174.01133448812325</c:v>
                </c:pt>
                <c:pt idx="425">
                  <c:v>-174.56224676556678</c:v>
                </c:pt>
                <c:pt idx="426">
                  <c:v>-175.11896027697117</c:v>
                </c:pt>
                <c:pt idx="427">
                  <c:v>-175.68237485070833</c:v>
                </c:pt>
                <c:pt idx="428">
                  <c:v>-176.25346267568455</c:v>
                </c:pt>
                <c:pt idx="429">
                  <c:v>-176.8332760093775</c:v>
                </c:pt>
                <c:pt idx="430">
                  <c:v>-177.42295588327505</c:v>
                </c:pt>
                <c:pt idx="431">
                  <c:v>-178.02374194676054</c:v>
                </c:pt>
                <c:pt idx="432">
                  <c:v>-178.63698361250013</c:v>
                </c:pt>
                <c:pt idx="433">
                  <c:v>-179.264152691867</c:v>
                </c:pt>
                <c:pt idx="434">
                  <c:v>-179.9068577385014</c:v>
                </c:pt>
                <c:pt idx="435">
                  <c:v>-180.56686035217436</c:v>
                </c:pt>
                <c:pt idx="436">
                  <c:v>-181.24609373430889</c:v>
                </c:pt>
                <c:pt idx="437">
                  <c:v>-181.946683831277</c:v>
                </c:pt>
                <c:pt idx="438">
                  <c:v>-182.67097345231323</c:v>
                </c:pt>
                <c:pt idx="439">
                  <c:v>-183.42154980567696</c:v>
                </c:pt>
                <c:pt idx="440">
                  <c:v>-184.20127595920169</c:v>
                </c:pt>
                <c:pt idx="441">
                  <c:v>-185.01332679848394</c:v>
                </c:pt>
                <c:pt idx="442">
                  <c:v>-185.86123012522981</c:v>
                </c:pt>
                <c:pt idx="443">
                  <c:v>-186.7489136052537</c:v>
                </c:pt>
                <c:pt idx="444">
                  <c:v>-187.68075833256603</c:v>
                </c:pt>
                <c:pt idx="445">
                  <c:v>-188.66165981025893</c:v>
                </c:pt>
                <c:pt idx="446">
                  <c:v>-189.69709714017475</c:v>
                </c:pt>
                <c:pt idx="447">
                  <c:v>-190.79321112988919</c:v>
                </c:pt>
                <c:pt idx="448">
                  <c:v>-191.95689181852364</c:v>
                </c:pt>
                <c:pt idx="449">
                  <c:v>-193.19587551830327</c:v>
                </c:pt>
                <c:pt idx="450">
                  <c:v>-194.51885075618108</c:v>
                </c:pt>
                <c:pt idx="451">
                  <c:v>-195.935571317198</c:v>
                </c:pt>
                <c:pt idx="452">
                  <c:v>-197.45697270553492</c:v>
                </c:pt>
                <c:pt idx="453">
                  <c:v>-199.09528542423487</c:v>
                </c:pt>
                <c:pt idx="454">
                  <c:v>-200.86413409053986</c:v>
                </c:pt>
                <c:pt idx="455">
                  <c:v>-202.77860499138345</c:v>
                </c:pt>
                <c:pt idx="456">
                  <c:v>-204.85525559853619</c:v>
                </c:pt>
                <c:pt idx="457">
                  <c:v>-207.11202720385015</c:v>
                </c:pt>
                <c:pt idx="458">
                  <c:v>-209.56800595435345</c:v>
                </c:pt>
                <c:pt idx="459">
                  <c:v>-212.24295890410576</c:v>
                </c:pt>
                <c:pt idx="460">
                  <c:v>-215.15655310186492</c:v>
                </c:pt>
                <c:pt idx="461">
                  <c:v>-218.32715385285181</c:v>
                </c:pt>
                <c:pt idx="462">
                  <c:v>-221.77010558011526</c:v>
                </c:pt>
                <c:pt idx="463">
                  <c:v>-225.49544449947291</c:v>
                </c:pt>
                <c:pt idx="464">
                  <c:v>-229.50510014709292</c:v>
                </c:pt>
                <c:pt idx="465">
                  <c:v>-233.78982945057282</c:v>
                </c:pt>
                <c:pt idx="466">
                  <c:v>-238.32637992881985</c:v>
                </c:pt>
                <c:pt idx="467">
                  <c:v>-243.07562690006029</c:v>
                </c:pt>
                <c:pt idx="468">
                  <c:v>-247.98253314758369</c:v>
                </c:pt>
                <c:pt idx="469">
                  <c:v>-252.9785749931832</c:v>
                </c:pt>
                <c:pt idx="470">
                  <c:v>-257.98669846814192</c:v>
                </c:pt>
                <c:pt idx="471">
                  <c:v>-262.92806647364421</c:v>
                </c:pt>
                <c:pt idx="472">
                  <c:v>-267.72919785671377</c:v>
                </c:pt>
                <c:pt idx="473">
                  <c:v>-272.3279463301073</c:v>
                </c:pt>
                <c:pt idx="474">
                  <c:v>-276.67721142063647</c:v>
                </c:pt>
                <c:pt idx="475">
                  <c:v>-280.74605871812912</c:v>
                </c:pt>
                <c:pt idx="476">
                  <c:v>-284.51865146079251</c:v>
                </c:pt>
                <c:pt idx="477">
                  <c:v>-287.99178799747915</c:v>
                </c:pt>
                <c:pt idx="478">
                  <c:v>-291.17186972680389</c:v>
                </c:pt>
                <c:pt idx="479">
                  <c:v>-294.07192605923404</c:v>
                </c:pt>
                <c:pt idx="480">
                  <c:v>-296.70905894807265</c:v>
                </c:pt>
                <c:pt idx="481">
                  <c:v>-299.10244574591991</c:v>
                </c:pt>
                <c:pt idx="482">
                  <c:v>-301.27189348150046</c:v>
                </c:pt>
                <c:pt idx="483">
                  <c:v>-303.23686425545395</c:v>
                </c:pt>
                <c:pt idx="484">
                  <c:v>-305.01586803926244</c:v>
                </c:pt>
                <c:pt idx="485">
                  <c:v>-306.62612359686773</c:v>
                </c:pt>
                <c:pt idx="486">
                  <c:v>-308.08340468858688</c:v>
                </c:pt>
                <c:pt idx="487">
                  <c:v>-309.40200789394299</c:v>
                </c:pt>
                <c:pt idx="488">
                  <c:v>-310.59479582967703</c:v>
                </c:pt>
                <c:pt idx="489">
                  <c:v>-311.67328364122534</c:v>
                </c:pt>
                <c:pt idx="490">
                  <c:v>-312.64774727805212</c:v>
                </c:pt>
                <c:pt idx="491">
                  <c:v>-313.52733970786528</c:v>
                </c:pt>
                <c:pt idx="492">
                  <c:v>-314.32020652977519</c:v>
                </c:pt>
                <c:pt idx="493">
                  <c:v>-315.03359602147339</c:v>
                </c:pt>
                <c:pt idx="494">
                  <c:v>-315.67396100006994</c:v>
                </c:pt>
                <c:pt idx="495">
                  <c:v>-316.24705137024722</c:v>
                </c:pt>
                <c:pt idx="496">
                  <c:v>-316.75799715302327</c:v>
                </c:pt>
                <c:pt idx="497">
                  <c:v>-317.21138232781288</c:v>
                </c:pt>
                <c:pt idx="498">
                  <c:v>-317.61131011341178</c:v>
                </c:pt>
                <c:pt idx="499">
                  <c:v>-317.96146045023909</c:v>
                </c:pt>
                <c:pt idx="500">
                  <c:v>-318.13231781226506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2-463D-81A0-68F554CF810C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91.661109807680972</c:v>
                </c:pt>
                <c:pt idx="1">
                  <c:v>91.638626212888354</c:v>
                </c:pt>
                <c:pt idx="2">
                  <c:v>91.616967488916032</c:v>
                </c:pt>
                <c:pt idx="3">
                  <c:v>91.596122768469272</c:v>
                </c:pt>
                <c:pt idx="4">
                  <c:v>91.576081589918459</c:v>
                </c:pt>
                <c:pt idx="5">
                  <c:v>91.556833892229918</c:v>
                </c:pt>
                <c:pt idx="6">
                  <c:v>91.538370010078424</c:v>
                </c:pt>
                <c:pt idx="7">
                  <c:v>91.520680669140205</c:v>
                </c:pt>
                <c:pt idx="8">
                  <c:v>91.503756981564479</c:v>
                </c:pt>
                <c:pt idx="9">
                  <c:v>91.487590441622061</c:v>
                </c:pt>
                <c:pt idx="10">
                  <c:v>91.472172921529236</c:v>
                </c:pt>
                <c:pt idx="11">
                  <c:v>91.457496667445724</c:v>
                </c:pt>
                <c:pt idx="12">
                  <c:v>91.443554295644489</c:v>
                </c:pt>
                <c:pt idx="13">
                  <c:v>91.430338788852566</c:v>
                </c:pt>
                <c:pt idx="14">
                  <c:v>91.417843492760582</c:v>
                </c:pt>
                <c:pt idx="15">
                  <c:v>91.406062112700127</c:v>
                </c:pt>
                <c:pt idx="16">
                  <c:v>91.394988710486828</c:v>
                </c:pt>
                <c:pt idx="17">
                  <c:v>91.384617701428226</c:v>
                </c:pt>
                <c:pt idx="18">
                  <c:v>91.374943851494265</c:v>
                </c:pt>
                <c:pt idx="19">
                  <c:v>91.365962274649462</c:v>
                </c:pt>
                <c:pt idx="20">
                  <c:v>91.3576684303451</c:v>
                </c:pt>
                <c:pt idx="21">
                  <c:v>91.350058121169823</c:v>
                </c:pt>
                <c:pt idx="22">
                  <c:v>91.343127490657423</c:v>
                </c:pt>
                <c:pt idx="23">
                  <c:v>91.336873021250099</c:v>
                </c:pt>
                <c:pt idx="24">
                  <c:v>91.331291532416159</c:v>
                </c:pt>
                <c:pt idx="25">
                  <c:v>91.326380178920203</c:v>
                </c:pt>
                <c:pt idx="26">
                  <c:v>91.322136449244724</c:v>
                </c:pt>
                <c:pt idx="27">
                  <c:v>91.318558164161573</c:v>
                </c:pt>
                <c:pt idx="28">
                  <c:v>91.315643475451822</c:v>
                </c:pt>
                <c:pt idx="29">
                  <c:v>91.313390864772558</c:v>
                </c:pt>
                <c:pt idx="30">
                  <c:v>91.311799142669173</c:v>
                </c:pt>
                <c:pt idx="31">
                  <c:v>91.310867447731539</c:v>
                </c:pt>
                <c:pt idx="32">
                  <c:v>91.310595245892827</c:v>
                </c:pt>
                <c:pt idx="33">
                  <c:v>91.310982329869034</c:v>
                </c:pt>
                <c:pt idx="34">
                  <c:v>91.312028818737858</c:v>
                </c:pt>
                <c:pt idx="35">
                  <c:v>91.313735157655429</c:v>
                </c:pt>
                <c:pt idx="36">
                  <c:v>91.31610211770878</c:v>
                </c:pt>
                <c:pt idx="37">
                  <c:v>91.319130795902794</c:v>
                </c:pt>
                <c:pt idx="38">
                  <c:v>91.322822615279492</c:v>
                </c:pt>
                <c:pt idx="39">
                  <c:v>91.327179325167904</c:v>
                </c:pt>
                <c:pt idx="40">
                  <c:v>91.332203001562647</c:v>
                </c:pt>
                <c:pt idx="41">
                  <c:v>91.337896047629002</c:v>
                </c:pt>
                <c:pt idx="42">
                  <c:v>91.344261194332304</c:v>
                </c:pt>
                <c:pt idx="43">
                  <c:v>91.351301501189667</c:v>
                </c:pt>
                <c:pt idx="44">
                  <c:v>91.359020357141048</c:v>
                </c:pt>
                <c:pt idx="45">
                  <c:v>91.367421481537988</c:v>
                </c:pt>
                <c:pt idx="46">
                  <c:v>91.376508925246412</c:v>
                </c:pt>
                <c:pt idx="47">
                  <c:v>91.386287071860991</c:v>
                </c:pt>
                <c:pt idx="48">
                  <c:v>91.396760639028372</c:v>
                </c:pt>
                <c:pt idx="49">
                  <c:v>91.407934679875254</c:v>
                </c:pt>
                <c:pt idx="50">
                  <c:v>91.419814584538557</c:v>
                </c:pt>
                <c:pt idx="51">
                  <c:v>91.432406081793218</c:v>
                </c:pt>
                <c:pt idx="52">
                  <c:v>91.445715240774547</c:v>
                </c:pt>
                <c:pt idx="53">
                  <c:v>91.459748472789698</c:v>
                </c:pt>
                <c:pt idx="54">
                  <c:v>91.474512533214806</c:v>
                </c:pt>
                <c:pt idx="55">
                  <c:v>91.490014523471999</c:v>
                </c:pt>
                <c:pt idx="56">
                  <c:v>91.506261893081501</c:v>
                </c:pt>
                <c:pt idx="57">
                  <c:v>91.523262441782862</c:v>
                </c:pt>
                <c:pt idx="58">
                  <c:v>91.541024321719448</c:v>
                </c:pt>
                <c:pt idx="59">
                  <c:v>91.55955603967935</c:v>
                </c:pt>
                <c:pt idx="60">
                  <c:v>91.578866459385821</c:v>
                </c:pt>
                <c:pt idx="61">
                  <c:v>91.598964803829887</c:v>
                </c:pt>
                <c:pt idx="62">
                  <c:v>91.619860657636423</c:v>
                </c:pt>
                <c:pt idx="63">
                  <c:v>91.641563969455362</c:v>
                </c:pt>
                <c:pt idx="64">
                  <c:v>91.66408505436884</c:v>
                </c:pt>
                <c:pt idx="65">
                  <c:v>91.68743459630349</c:v>
                </c:pt>
                <c:pt idx="66">
                  <c:v>91.711623650437573</c:v>
                </c:pt>
                <c:pt idx="67">
                  <c:v>91.736663645591264</c:v>
                </c:pt>
                <c:pt idx="68">
                  <c:v>91.762566386587338</c:v>
                </c:pt>
                <c:pt idx="69">
                  <c:v>91.789344056568893</c:v>
                </c:pt>
                <c:pt idx="70">
                  <c:v>91.817009219259944</c:v>
                </c:pt>
                <c:pt idx="71">
                  <c:v>91.845574821153065</c:v>
                </c:pt>
                <c:pt idx="72">
                  <c:v>91.875054193607809</c:v>
                </c:pt>
                <c:pt idx="73">
                  <c:v>91.905461054841879</c:v>
                </c:pt>
                <c:pt idx="74">
                  <c:v>91.936809511796056</c:v>
                </c:pt>
                <c:pt idx="75">
                  <c:v>91.969114061852949</c:v>
                </c:pt>
                <c:pt idx="76">
                  <c:v>92.002389594386543</c:v>
                </c:pt>
                <c:pt idx="77">
                  <c:v>92.036651392120945</c:v>
                </c:pt>
                <c:pt idx="78">
                  <c:v>92.071915132271187</c:v>
                </c:pt>
                <c:pt idx="79">
                  <c:v>92.108196887441323</c:v>
                </c:pt>
                <c:pt idx="80">
                  <c:v>92.145513126249639</c:v>
                </c:pt>
                <c:pt idx="81">
                  <c:v>92.183880713651618</c:v>
                </c:pt>
                <c:pt idx="82">
                  <c:v>92.223316910926968</c:v>
                </c:pt>
                <c:pt idx="83">
                  <c:v>92.263839375296541</c:v>
                </c:pt>
                <c:pt idx="84">
                  <c:v>92.305466159132123</c:v>
                </c:pt>
                <c:pt idx="85">
                  <c:v>92.348215708718271</c:v>
                </c:pt>
                <c:pt idx="86">
                  <c:v>92.392106862525537</c:v>
                </c:pt>
                <c:pt idx="87">
                  <c:v>92.4371588489484</c:v>
                </c:pt>
                <c:pt idx="88">
                  <c:v>92.483391283461714</c:v>
                </c:pt>
                <c:pt idx="89">
                  <c:v>92.530824165142718</c:v>
                </c:pt>
                <c:pt idx="90">
                  <c:v>92.579477872505819</c:v>
                </c:pt>
                <c:pt idx="91">
                  <c:v>92.629373158591974</c:v>
                </c:pt>
                <c:pt idx="92">
                  <c:v>92.680531145251052</c:v>
                </c:pt>
                <c:pt idx="93">
                  <c:v>92.732973316552474</c:v>
                </c:pt>
                <c:pt idx="94">
                  <c:v>92.786721511255138</c:v>
                </c:pt>
                <c:pt idx="95">
                  <c:v>92.84179791426331</c:v>
                </c:pt>
                <c:pt idx="96">
                  <c:v>92.898225046990959</c:v>
                </c:pt>
                <c:pt idx="97">
                  <c:v>92.956025756552719</c:v>
                </c:pt>
                <c:pt idx="98">
                  <c:v>93.015223203694632</c:v>
                </c:pt>
                <c:pt idx="99">
                  <c:v>93.075840849372298</c:v>
                </c:pt>
                <c:pt idx="100">
                  <c:v>93.137902439881131</c:v>
                </c:pt>
                <c:pt idx="101">
                  <c:v>93.20143199043487</c:v>
                </c:pt>
                <c:pt idx="102">
                  <c:v>93.26645376708602</c:v>
                </c:pt>
                <c:pt idx="103">
                  <c:v>93.332992266873703</c:v>
                </c:pt>
                <c:pt idx="104">
                  <c:v>93.40107219608123</c:v>
                </c:pt>
                <c:pt idx="105">
                  <c:v>93.470718446476624</c:v>
                </c:pt>
                <c:pt idx="106">
                  <c:v>93.541956069405344</c:v>
                </c:pt>
                <c:pt idx="107">
                  <c:v>93.614810247598228</c:v>
                </c:pt>
                <c:pt idx="108">
                  <c:v>93.689306264548719</c:v>
                </c:pt>
                <c:pt idx="109">
                  <c:v>93.765469471310666</c:v>
                </c:pt>
                <c:pt idx="110">
                  <c:v>93.843325250558792</c:v>
                </c:pt>
                <c:pt idx="111">
                  <c:v>93.922898977747394</c:v>
                </c:pt>
                <c:pt idx="112">
                  <c:v>94.004215979198023</c:v>
                </c:pt>
                <c:pt idx="113">
                  <c:v>94.087301486938898</c:v>
                </c:pt>
                <c:pt idx="114">
                  <c:v>94.172180590112788</c:v>
                </c:pt>
                <c:pt idx="115">
                  <c:v>94.258878182764931</c:v>
                </c:pt>
                <c:pt idx="116">
                  <c:v>94.34741890781423</c:v>
                </c:pt>
                <c:pt idx="117">
                  <c:v>94.437827097008352</c:v>
                </c:pt>
                <c:pt idx="118">
                  <c:v>94.530126706656475</c:v>
                </c:pt>
                <c:pt idx="119">
                  <c:v>94.62434124892836</c:v>
                </c:pt>
                <c:pt idx="120">
                  <c:v>94.720493718506347</c:v>
                </c:pt>
                <c:pt idx="121">
                  <c:v>94.818606514371496</c:v>
                </c:pt>
                <c:pt idx="122">
                  <c:v>94.918701356503519</c:v>
                </c:pt>
                <c:pt idx="123">
                  <c:v>95.020799197274982</c:v>
                </c:pt>
                <c:pt idx="124">
                  <c:v>95.124920127313942</c:v>
                </c:pt>
                <c:pt idx="125">
                  <c:v>95.231083275620406</c:v>
                </c:pt>
                <c:pt idx="126">
                  <c:v>95.339306703712111</c:v>
                </c:pt>
                <c:pt idx="127">
                  <c:v>95.449607293592919</c:v>
                </c:pt>
                <c:pt idx="128">
                  <c:v>95.562000629331877</c:v>
                </c:pt>
                <c:pt idx="129">
                  <c:v>95.676500872059265</c:v>
                </c:pt>
                <c:pt idx="130">
                  <c:v>95.793120628189158</c:v>
                </c:pt>
                <c:pt idx="131">
                  <c:v>95.911870810698431</c:v>
                </c:pt>
                <c:pt idx="132">
                  <c:v>96.032760493305489</c:v>
                </c:pt>
                <c:pt idx="133">
                  <c:v>96.155796757411039</c:v>
                </c:pt>
                <c:pt idx="134">
                  <c:v>96.280984531692965</c:v>
                </c:pt>
                <c:pt idx="135">
                  <c:v>96.408326424267344</c:v>
                </c:pt>
                <c:pt idx="136">
                  <c:v>96.53782254736447</c:v>
                </c:pt>
                <c:pt idx="137">
                  <c:v>96.66947033450559</c:v>
                </c:pt>
                <c:pt idx="138">
                  <c:v>96.80326435020342</c:v>
                </c:pt>
                <c:pt idx="139">
                  <c:v>96.939196092259976</c:v>
                </c:pt>
                <c:pt idx="140">
                  <c:v>97.077253786783928</c:v>
                </c:pt>
                <c:pt idx="141">
                  <c:v>97.217422176111313</c:v>
                </c:pt>
                <c:pt idx="142">
                  <c:v>97.359682299872503</c:v>
                </c:pt>
                <c:pt idx="143">
                  <c:v>97.504011269520646</c:v>
                </c:pt>
                <c:pt idx="144">
                  <c:v>97.650382036714319</c:v>
                </c:pt>
                <c:pt idx="145">
                  <c:v>97.798763156025416</c:v>
                </c:pt>
                <c:pt idx="146">
                  <c:v>97.949118542539807</c:v>
                </c:pt>
                <c:pt idx="147">
                  <c:v>98.101407225003442</c:v>
                </c:pt>
                <c:pt idx="148">
                  <c:v>98.255583095282972</c:v>
                </c:pt>
                <c:pt idx="149">
                  <c:v>98.411594655004819</c:v>
                </c:pt>
                <c:pt idx="150">
                  <c:v>98.569384760360322</c:v>
                </c:pt>
                <c:pt idx="151">
                  <c:v>98.728890366181275</c:v>
                </c:pt>
                <c:pt idx="152">
                  <c:v>98.890042270516247</c:v>
                </c:pt>
                <c:pt idx="153">
                  <c:v>99.052764861064702</c:v>
                </c:pt>
                <c:pt idx="154">
                  <c:v>99.216975864964439</c:v>
                </c:pt>
                <c:pt idx="155">
                  <c:v>99.382586103555212</c:v>
                </c:pt>
                <c:pt idx="156">
                  <c:v>99.54949925388263</c:v>
                </c:pt>
                <c:pt idx="157">
                  <c:v>99.717611618839015</c:v>
                </c:pt>
                <c:pt idx="158">
                  <c:v>99.886811907973268</c:v>
                </c:pt>
                <c:pt idx="159">
                  <c:v>100.05698103112718</c:v>
                </c:pt>
                <c:pt idx="160">
                  <c:v>100.22799190718149</c:v>
                </c:pt>
                <c:pt idx="161">
                  <c:v>100.39970929030935</c:v>
                </c:pt>
                <c:pt idx="162">
                  <c:v>100.57198961623406</c:v>
                </c:pt>
                <c:pt idx="163">
                  <c:v>100.74468087108849</c:v>
                </c:pt>
                <c:pt idx="164">
                  <c:v>100.91762248553081</c:v>
                </c:pt>
                <c:pt idx="165">
                  <c:v>101.09064525684693</c:v>
                </c:pt>
                <c:pt idx="166">
                  <c:v>101.26357130178273</c:v>
                </c:pt>
                <c:pt idx="167">
                  <c:v>101.43621404287352</c:v>
                </c:pt>
                <c:pt idx="168">
                  <c:v>101.60837823100711</c:v>
                </c:pt>
                <c:pt idx="169">
                  <c:v>101.77986000691577</c:v>
                </c:pt>
                <c:pt idx="170">
                  <c:v>101.95044700420108</c:v>
                </c:pt>
                <c:pt idx="171">
                  <c:v>102.1199184963826</c:v>
                </c:pt>
                <c:pt idx="172">
                  <c:v>102.28804559030402</c:v>
                </c:pt>
                <c:pt idx="173">
                  <c:v>102.45459146802799</c:v>
                </c:pt>
                <c:pt idx="174">
                  <c:v>102.61931167912809</c:v>
                </c:pt>
                <c:pt idx="175">
                  <c:v>102.78195448499159</c:v>
                </c:pt>
                <c:pt idx="176">
                  <c:v>102.94226125644005</c:v>
                </c:pt>
                <c:pt idx="177">
                  <c:v>103.09996692561208</c:v>
                </c:pt>
                <c:pt idx="178">
                  <c:v>103.25480049264644</c:v>
                </c:pt>
                <c:pt idx="179">
                  <c:v>103.4064855872759</c:v>
                </c:pt>
                <c:pt idx="180">
                  <c:v>103.55474108496368</c:v>
                </c:pt>
                <c:pt idx="181">
                  <c:v>103.69928177671574</c:v>
                </c:pt>
                <c:pt idx="182">
                  <c:v>103.83981909117091</c:v>
                </c:pt>
                <c:pt idx="183">
                  <c:v>103.97606186702609</c:v>
                </c:pt>
                <c:pt idx="184">
                  <c:v>104.10771717328133</c:v>
                </c:pt>
                <c:pt idx="185">
                  <c:v>104.23449117422645</c:v>
                </c:pt>
                <c:pt idx="186">
                  <c:v>104.35609003551386</c:v>
                </c:pt>
                <c:pt idx="187">
                  <c:v>104.47222086709469</c:v>
                </c:pt>
                <c:pt idx="188">
                  <c:v>104.5825926982516</c:v>
                </c:pt>
                <c:pt idx="189">
                  <c:v>104.68691747943134</c:v>
                </c:pt>
                <c:pt idx="190">
                  <c:v>104.78491110508888</c:v>
                </c:pt>
                <c:pt idx="191">
                  <c:v>104.87629445130347</c:v>
                </c:pt>
                <c:pt idx="192">
                  <c:v>104.96079442152653</c:v>
                </c:pt>
                <c:pt idx="193">
                  <c:v>105.03814499347305</c:v>
                </c:pt>
                <c:pt idx="194">
                  <c:v>105.10808825988859</c:v>
                </c:pt>
                <c:pt idx="195">
                  <c:v>105.17037545571536</c:v>
                </c:pt>
                <c:pt idx="196">
                  <c:v>105.22476796405009</c:v>
                </c:pt>
                <c:pt idx="197">
                  <c:v>105.27103829322179</c:v>
                </c:pt>
                <c:pt idx="198">
                  <c:v>105.3089710173669</c:v>
                </c:pt>
                <c:pt idx="199">
                  <c:v>105.33836367297874</c:v>
                </c:pt>
                <c:pt idx="200">
                  <c:v>105.35902760412682</c:v>
                </c:pt>
                <c:pt idx="201">
                  <c:v>105.37078874931726</c:v>
                </c:pt>
                <c:pt idx="202">
                  <c:v>105.37348836335984</c:v>
                </c:pt>
                <c:pt idx="203">
                  <c:v>105.3669836680437</c:v>
                </c:pt>
                <c:pt idx="204">
                  <c:v>105.35114842596394</c:v>
                </c:pt>
                <c:pt idx="205">
                  <c:v>105.32587343245318</c:v>
                </c:pt>
                <c:pt idx="206">
                  <c:v>105.29106692121829</c:v>
                </c:pt>
                <c:pt idx="207">
                  <c:v>105.24665488002989</c:v>
                </c:pt>
                <c:pt idx="208">
                  <c:v>105.19258127355772</c:v>
                </c:pt>
                <c:pt idx="209">
                  <c:v>105.12880817127007</c:v>
                </c:pt>
                <c:pt idx="210">
                  <c:v>105.05531577913612</c:v>
                </c:pt>
                <c:pt idx="211">
                  <c:v>104.97210237472883</c:v>
                </c:pt>
                <c:pt idx="212">
                  <c:v>104.87918414617189</c:v>
                </c:pt>
                <c:pt idx="213">
                  <c:v>104.77659493623096</c:v>
                </c:pt>
                <c:pt idx="214">
                  <c:v>104.66438589368008</c:v>
                </c:pt>
                <c:pt idx="215">
                  <c:v>104.5426250348676</c:v>
                </c:pt>
                <c:pt idx="216">
                  <c:v>104.41139671919974</c:v>
                </c:pt>
                <c:pt idx="217">
                  <c:v>104.27080104294322</c:v>
                </c:pt>
                <c:pt idx="218">
                  <c:v>104.12095315644441</c:v>
                </c:pt>
                <c:pt idx="219">
                  <c:v>103.96198251044537</c:v>
                </c:pt>
                <c:pt idx="220">
                  <c:v>103.79403203770551</c:v>
                </c:pt>
                <c:pt idx="221">
                  <c:v>103.61725727659746</c:v>
                </c:pt>
                <c:pt idx="222">
                  <c:v>103.43182544371055</c:v>
                </c:pt>
                <c:pt idx="223">
                  <c:v>103.23791446277801</c:v>
                </c:pt>
                <c:pt idx="224">
                  <c:v>103.0357119574582</c:v>
                </c:pt>
                <c:pt idx="225">
                  <c:v>102.82541421559179</c:v>
                </c:pt>
                <c:pt idx="226">
                  <c:v>102.60722513260373</c:v>
                </c:pt>
                <c:pt idx="227">
                  <c:v>102.38135514164777</c:v>
                </c:pt>
                <c:pt idx="228">
                  <c:v>102.14802013796638</c:v>
                </c:pt>
                <c:pt idx="229">
                  <c:v>101.90744040471017</c:v>
                </c:pt>
                <c:pt idx="230">
                  <c:v>101.65983954719401</c:v>
                </c:pt>
                <c:pt idx="231">
                  <c:v>101.40544344220882</c:v>
                </c:pt>
                <c:pt idx="232">
                  <c:v>101.14447920860272</c:v>
                </c:pt>
                <c:pt idx="233">
                  <c:v>100.87717420490191</c:v>
                </c:pt>
                <c:pt idx="234">
                  <c:v>100.60375505923668</c:v>
                </c:pt>
                <c:pt idx="235">
                  <c:v>100.32444673632128</c:v>
                </c:pt>
                <c:pt idx="236">
                  <c:v>100.03947164567936</c:v>
                </c:pt>
                <c:pt idx="237">
                  <c:v>99.749048794748489</c:v>
                </c:pt>
                <c:pt idx="238">
                  <c:v>99.45339298991351</c:v>
                </c:pt>
                <c:pt idx="239">
                  <c:v>99.152714087974402</c:v>
                </c:pt>
                <c:pt idx="240">
                  <c:v>98.847216299953573</c:v>
                </c:pt>
                <c:pt idx="241">
                  <c:v>98.537097548640659</c:v>
                </c:pt>
                <c:pt idx="242">
                  <c:v>98.222548880717596</c:v>
                </c:pt>
                <c:pt idx="243">
                  <c:v>97.903753933820468</c:v>
                </c:pt>
                <c:pt idx="244">
                  <c:v>97.580888458429627</c:v>
                </c:pt>
                <c:pt idx="245">
                  <c:v>97.254119894039405</c:v>
                </c:pt>
                <c:pt idx="246">
                  <c:v>96.923606998663729</c:v>
                </c:pt>
                <c:pt idx="247">
                  <c:v>96.589499530385012</c:v>
                </c:pt>
                <c:pt idx="248">
                  <c:v>96.251937979337043</c:v>
                </c:pt>
                <c:pt idx="249">
                  <c:v>95.911053348228677</c:v>
                </c:pt>
                <c:pt idx="250">
                  <c:v>95.566966979303658</c:v>
                </c:pt>
                <c:pt idx="251">
                  <c:v>95.219790425425117</c:v>
                </c:pt>
                <c:pt idx="252">
                  <c:v>94.869625362828032</c:v>
                </c:pt>
                <c:pt idx="253">
                  <c:v>94.51656354296891</c:v>
                </c:pt>
                <c:pt idx="254">
                  <c:v>94.160686780827632</c:v>
                </c:pt>
                <c:pt idx="255">
                  <c:v>93.802066976964184</c:v>
                </c:pt>
                <c:pt idx="256">
                  <c:v>93.440766170627384</c:v>
                </c:pt>
                <c:pt idx="257">
                  <c:v>93.076836621219385</c:v>
                </c:pt>
                <c:pt idx="258">
                  <c:v>92.710320915465275</c:v>
                </c:pt>
                <c:pt idx="259">
                  <c:v>92.341252097695588</c:v>
                </c:pt>
                <c:pt idx="260">
                  <c:v>91.969653820721817</c:v>
                </c:pt>
                <c:pt idx="261">
                  <c:v>91.595540514901785</c:v>
                </c:pt>
                <c:pt idx="262">
                  <c:v>91.218917573068296</c:v>
                </c:pt>
                <c:pt idx="263">
                  <c:v>90.839781549157962</c:v>
                </c:pt>
                <c:pt idx="264">
                  <c:v>90.458120368465714</c:v>
                </c:pt>
                <c:pt idx="265">
                  <c:v>90.073913547612861</c:v>
                </c:pt>
                <c:pt idx="266">
                  <c:v>89.687132422445146</c:v>
                </c:pt>
                <c:pt idx="267">
                  <c:v>89.297740382224845</c:v>
                </c:pt>
                <c:pt idx="268">
                  <c:v>88.905693108617854</c:v>
                </c:pt>
                <c:pt idx="269">
                  <c:v>88.510938818126348</c:v>
                </c:pt>
                <c:pt idx="270">
                  <c:v>88.11341850674917</c:v>
                </c:pt>
                <c:pt idx="271">
                  <c:v>87.71306619580443</c:v>
                </c:pt>
                <c:pt idx="272">
                  <c:v>87.309809177959636</c:v>
                </c:pt>
                <c:pt idx="273">
                  <c:v>86.903568262667321</c:v>
                </c:pt>
                <c:pt idx="274">
                  <c:v>86.494258020307612</c:v>
                </c:pt>
                <c:pt idx="275">
                  <c:v>86.081787024475247</c:v>
                </c:pt>
                <c:pt idx="276">
                  <c:v>85.66605809193922</c:v>
                </c:pt>
                <c:pt idx="277">
                  <c:v>85.246968519929965</c:v>
                </c:pt>
                <c:pt idx="278">
                  <c:v>84.824410320491253</c:v>
                </c:pt>
                <c:pt idx="279">
                  <c:v>84.398270451737275</c:v>
                </c:pt>
                <c:pt idx="280">
                  <c:v>83.968431045934736</c:v>
                </c:pt>
                <c:pt idx="281">
                  <c:v>83.53476963441372</c:v>
                </c:pt>
                <c:pt idx="282">
                  <c:v>83.097159369381401</c:v>
                </c:pt>
                <c:pt idx="283">
                  <c:v>82.655469242784221</c:v>
                </c:pt>
                <c:pt idx="284">
                  <c:v>82.209564302421612</c:v>
                </c:pt>
                <c:pt idx="285">
                  <c:v>81.759305865570497</c:v>
                </c:pt>
                <c:pt idx="286">
                  <c:v>81.304551730437211</c:v>
                </c:pt>
                <c:pt idx="287">
                  <c:v>80.845156385783383</c:v>
                </c:pt>
                <c:pt idx="288">
                  <c:v>80.380971219133684</c:v>
                </c:pt>
                <c:pt idx="289">
                  <c:v>79.911844723985936</c:v>
                </c:pt>
                <c:pt idx="290">
                  <c:v>79.437622706491354</c:v>
                </c:pt>
                <c:pt idx="291">
                  <c:v>78.95814849208864</c:v>
                </c:pt>
                <c:pt idx="292">
                  <c:v>78.473263132604714</c:v>
                </c:pt>
                <c:pt idx="293">
                  <c:v>77.982805614338218</c:v>
                </c:pt>
                <c:pt idx="294">
                  <c:v>77.486613067673545</c:v>
                </c:pt>
                <c:pt idx="295">
                  <c:v>76.984520978762973</c:v>
                </c:pt>
                <c:pt idx="296">
                  <c:v>76.476363403828415</c:v>
                </c:pt>
                <c:pt idx="297">
                  <c:v>75.961973186631468</c:v>
                </c:pt>
                <c:pt idx="298">
                  <c:v>75.441182179653538</c:v>
                </c:pt>
                <c:pt idx="299">
                  <c:v>74.913821469522162</c:v>
                </c:pt>
                <c:pt idx="300">
                  <c:v>74.379721607200437</c:v>
                </c:pt>
                <c:pt idx="301">
                  <c:v>73.83871284343941</c:v>
                </c:pt>
                <c:pt idx="302">
                  <c:v>73.290625369974308</c:v>
                </c:pt>
                <c:pt idx="303">
                  <c:v>72.735289566907923</c:v>
                </c:pt>
                <c:pt idx="304">
                  <c:v>72.172536256697398</c:v>
                </c:pt>
                <c:pt idx="305">
                  <c:v>71.6021969651147</c:v>
                </c:pt>
                <c:pt idx="306">
                  <c:v>71.024104189513707</c:v>
                </c:pt>
                <c:pt idx="307">
                  <c:v>70.438091674677224</c:v>
                </c:pt>
                <c:pt idx="308">
                  <c:v>69.843994696462772</c:v>
                </c:pt>
                <c:pt idx="309">
                  <c:v>69.241650353406584</c:v>
                </c:pt>
                <c:pt idx="310">
                  <c:v>68.630897866364833</c:v>
                </c:pt>
                <c:pt idx="311">
                  <c:v>68.01157888620763</c:v>
                </c:pt>
                <c:pt idx="312">
                  <c:v>67.383537809482576</c:v>
                </c:pt>
                <c:pt idx="313">
                  <c:v>66.746622101890623</c:v>
                </c:pt>
                <c:pt idx="314">
                  <c:v>66.1006826293046</c:v>
                </c:pt>
                <c:pt idx="315">
                  <c:v>65.445573995973035</c:v>
                </c:pt>
                <c:pt idx="316">
                  <c:v>64.781154889427327</c:v>
                </c:pt>
                <c:pt idx="317">
                  <c:v>64.107288431507783</c:v>
                </c:pt>
                <c:pt idx="318">
                  <c:v>63.423842534799348</c:v>
                </c:pt>
                <c:pt idx="319">
                  <c:v>62.730690263635822</c:v>
                </c:pt>
                <c:pt idx="320">
                  <c:v>62.027710198718538</c:v>
                </c:pt>
                <c:pt idx="321">
                  <c:v>61.314786804244577</c:v>
                </c:pt>
                <c:pt idx="322">
                  <c:v>60.591810796321099</c:v>
                </c:pt>
                <c:pt idx="323">
                  <c:v>59.858679511298831</c:v>
                </c:pt>
                <c:pt idx="324">
                  <c:v>59.115297272530356</c:v>
                </c:pt>
                <c:pt idx="325">
                  <c:v>58.361575753921059</c:v>
                </c:pt>
                <c:pt idx="326">
                  <c:v>57.597434338521424</c:v>
                </c:pt>
                <c:pt idx="327">
                  <c:v>56.822800470284449</c:v>
                </c:pt>
                <c:pt idx="328">
                  <c:v>56.037609996999223</c:v>
                </c:pt>
                <c:pt idx="329">
                  <c:v>55.24180750231659</c:v>
                </c:pt>
                <c:pt idx="330">
                  <c:v>54.435346624686503</c:v>
                </c:pt>
                <c:pt idx="331">
                  <c:v>53.618190360961364</c:v>
                </c:pt>
                <c:pt idx="332">
                  <c:v>52.790311352360703</c:v>
                </c:pt>
                <c:pt idx="333">
                  <c:v>51.951692150461099</c:v>
                </c:pt>
                <c:pt idx="334">
                  <c:v>51.102325460861138</c:v>
                </c:pt>
                <c:pt idx="335">
                  <c:v>50.242214362191419</c:v>
                </c:pt>
                <c:pt idx="336">
                  <c:v>49.371372498175333</c:v>
                </c:pt>
                <c:pt idx="337">
                  <c:v>48.489824240515006</c:v>
                </c:pt>
                <c:pt idx="338">
                  <c:v>47.597604820493331</c:v>
                </c:pt>
                <c:pt idx="339">
                  <c:v>46.694760427295876</c:v>
                </c:pt>
                <c:pt idx="340">
                  <c:v>45.78134827123985</c:v>
                </c:pt>
                <c:pt idx="341">
                  <c:v>44.857436610286655</c:v>
                </c:pt>
                <c:pt idx="342">
                  <c:v>43.923104738457056</c:v>
                </c:pt>
                <c:pt idx="343">
                  <c:v>42.978442935017725</c:v>
                </c:pt>
                <c:pt idx="344">
                  <c:v>42.023552373616965</c:v>
                </c:pt>
                <c:pt idx="345">
                  <c:v>41.058544990859374</c:v>
                </c:pt>
                <c:pt idx="346">
                  <c:v>40.083543314162981</c:v>
                </c:pt>
                <c:pt idx="347">
                  <c:v>39.098680249100553</c:v>
                </c:pt>
                <c:pt idx="348">
                  <c:v>38.104098826823915</c:v>
                </c:pt>
                <c:pt idx="349">
                  <c:v>37.099951912557259</c:v>
                </c:pt>
                <c:pt idx="350">
                  <c:v>36.086401876548024</c:v>
                </c:pt>
                <c:pt idx="351">
                  <c:v>35.063620229273795</c:v>
                </c:pt>
                <c:pt idx="352">
                  <c:v>34.031787223085729</c:v>
                </c:pt>
                <c:pt idx="353">
                  <c:v>32.991091422868436</c:v>
                </c:pt>
                <c:pt idx="354">
                  <c:v>31.941729248640769</c:v>
                </c:pt>
                <c:pt idx="355">
                  <c:v>30.883904493371517</c:v>
                </c:pt>
                <c:pt idx="356">
                  <c:v>29.817827819577445</c:v>
                </c:pt>
                <c:pt idx="357">
                  <c:v>28.743716238531306</c:v>
                </c:pt>
                <c:pt idx="358">
                  <c:v>27.661792576127596</c:v>
                </c:pt>
                <c:pt idx="359">
                  <c:v>26.572284929618746</c:v>
                </c:pt>
                <c:pt idx="360">
                  <c:v>25.475426119527839</c:v>
                </c:pt>
                <c:pt idx="361">
                  <c:v>24.371453141115296</c:v>
                </c:pt>
                <c:pt idx="362">
                  <c:v>23.260606619739406</c:v>
                </c:pt>
                <c:pt idx="363">
                  <c:v>22.143130274390558</c:v>
                </c:pt>
                <c:pt idx="364">
                  <c:v>21.019270393520827</c:v>
                </c:pt>
                <c:pt idx="365">
                  <c:v>19.889275327103945</c:v>
                </c:pt>
                <c:pt idx="366">
                  <c:v>18.753394998568837</c:v>
                </c:pt>
                <c:pt idx="367">
                  <c:v>17.61188043994477</c:v>
                </c:pt>
                <c:pt idx="368">
                  <c:v>16.464983353159283</c:v>
                </c:pt>
                <c:pt idx="369">
                  <c:v>15.312955700009638</c:v>
                </c:pt>
                <c:pt idx="370">
                  <c:v>14.156049322840403</c:v>
                </c:pt>
                <c:pt idx="371">
                  <c:v>12.994515597462538</c:v>
                </c:pt>
                <c:pt idx="372">
                  <c:v>11.828605119292689</c:v>
                </c:pt>
                <c:pt idx="373">
                  <c:v>10.658567423132297</c:v>
                </c:pt>
                <c:pt idx="374">
                  <c:v>9.4846507364385388</c:v>
                </c:pt>
                <c:pt idx="375">
                  <c:v>8.30710176532844</c:v>
                </c:pt>
                <c:pt idx="376">
                  <c:v>7.1261655120057696</c:v>
                </c:pt>
                <c:pt idx="377">
                  <c:v>5.9420851217181792</c:v>
                </c:pt>
                <c:pt idx="378">
                  <c:v>4.7551017567875249</c:v>
                </c:pt>
                <c:pt idx="379">
                  <c:v>3.5654544947680336</c:v>
                </c:pt>
                <c:pt idx="380">
                  <c:v>2.3733802472506227</c:v>
                </c:pt>
                <c:pt idx="381">
                  <c:v>1.1791136954213641</c:v>
                </c:pt>
                <c:pt idx="382">
                  <c:v>-1.7112761935123899E-2</c:v>
                </c:pt>
                <c:pt idx="383">
                  <c:v>-1.2150690526699464</c:v>
                </c:pt>
                <c:pt idx="384">
                  <c:v>-2.4145274726854211</c:v>
                </c:pt>
                <c:pt idx="385">
                  <c:v>-3.6152627297523736</c:v>
                </c:pt>
                <c:pt idx="386">
                  <c:v>-4.8170519951038102</c:v>
                </c:pt>
                <c:pt idx="387">
                  <c:v>-6.0196749683225335</c:v>
                </c:pt>
                <c:pt idx="388">
                  <c:v>-7.2229139610867321</c:v>
                </c:pt>
                <c:pt idx="389">
                  <c:v>-8.4265540053387156</c:v>
                </c:pt>
                <c:pt idx="390">
                  <c:v>-9.630382991403593</c:v>
                </c:pt>
                <c:pt idx="391">
                  <c:v>-10.834191841454356</c:v>
                </c:pt>
                <c:pt idx="392">
                  <c:v>-12.037774723577854</c:v>
                </c:pt>
                <c:pt idx="393">
                  <c:v>-13.24092931149363</c:v>
                </c:pt>
                <c:pt idx="394">
                  <c:v>-14.443457094735805</c:v>
                </c:pt>
                <c:pt idx="395">
                  <c:v>-15.645163743855647</c:v>
                </c:pt>
                <c:pt idx="396">
                  <c:v>-16.845859534905003</c:v>
                </c:pt>
                <c:pt idx="397">
                  <c:v>-18.045359837177813</c:v>
                </c:pt>
                <c:pt idx="398">
                  <c:v>-19.243485667888848</c:v>
                </c:pt>
                <c:pt idx="399">
                  <c:v>-20.440064317191656</c:v>
                </c:pt>
                <c:pt idx="400">
                  <c:v>-21.634930046671883</c:v>
                </c:pt>
                <c:pt idx="401">
                  <c:v>-22.827924864245915</c:v>
                </c:pt>
                <c:pt idx="402">
                  <c:v>-24.018899378212154</c:v>
                </c:pt>
                <c:pt idx="403">
                  <c:v>-25.207713733105777</c:v>
                </c:pt>
                <c:pt idx="404">
                  <c:v>-26.39423862997478</c:v>
                </c:pt>
                <c:pt idx="405">
                  <c:v>-27.578356433763645</c:v>
                </c:pt>
                <c:pt idx="406">
                  <c:v>-28.759962370672127</c:v>
                </c:pt>
                <c:pt idx="407">
                  <c:v>-29.938965818643709</c:v>
                </c:pt>
                <c:pt idx="408">
                  <c:v>-31.115291694594731</c:v>
                </c:pt>
                <c:pt idx="409">
                  <c:v>-32.288881942583942</c:v>
                </c:pt>
                <c:pt idx="410">
                  <c:v>-33.459697127905969</c:v>
                </c:pt>
                <c:pt idx="411">
                  <c:v>-34.627718143061855</c:v>
                </c:pt>
                <c:pt idx="412">
                  <c:v>-35.792948032752463</c:v>
                </c:pt>
                <c:pt idx="413">
                  <c:v>-36.955413946467132</c:v>
                </c:pt>
                <c:pt idx="414">
                  <c:v>-38.115169228943785</c:v>
                </c:pt>
                <c:pt idx="415">
                  <c:v>-39.272295660764598</c:v>
                </c:pt>
                <c:pt idx="416">
                  <c:v>-40.426905863668708</c:v>
                </c:pt>
                <c:pt idx="417">
                  <c:v>-41.57914588786241</c:v>
                </c:pt>
                <c:pt idx="418">
                  <c:v>-42.729198001695238</c:v>
                </c:pt>
                <c:pt idx="419">
                  <c:v>-43.877283707642022</c:v>
                </c:pt>
                <c:pt idx="420">
                  <c:v>-45.023667012623818</c:v>
                </c:pt>
                <c:pt idx="421">
                  <c:v>-46.168657985387455</c:v>
                </c:pt>
                <c:pt idx="422">
                  <c:v>-47.312616639050702</c:v>
                </c:pt>
                <c:pt idx="423">
                  <c:v>-48.455957183081935</c:v>
                </c:pt>
                <c:pt idx="424">
                  <c:v>-49.59915269607734</c:v>
                </c:pt>
                <c:pt idx="425">
                  <c:v>-50.742740278830908</c:v>
                </c:pt>
                <c:pt idx="426">
                  <c:v>-51.88732675656064</c:v>
                </c:pt>
                <c:pt idx="427">
                  <c:v>-53.033595009957963</c:v>
                </c:pt>
                <c:pt idx="428">
                  <c:v>-54.182311027164346</c:v>
                </c:pt>
                <c:pt idx="429">
                  <c:v>-55.334331783191658</c:v>
                </c:pt>
                <c:pt idx="430">
                  <c:v>-56.490614069919246</c:v>
                </c:pt>
                <c:pt idx="431">
                  <c:v>-57.652224419061724</c:v>
                </c:pt>
                <c:pt idx="432">
                  <c:v>-58.820350282785398</c:v>
                </c:pt>
                <c:pt idx="433">
                  <c:v>-59.996312662377917</c:v>
                </c:pt>
                <c:pt idx="434">
                  <c:v>-61.181580405156282</c:v>
                </c:pt>
                <c:pt idx="435">
                  <c:v>-62.377786424041204</c:v>
                </c:pt>
                <c:pt idx="436">
                  <c:v>-63.586746133560339</c:v>
                </c:pt>
                <c:pt idx="437">
                  <c:v>-64.810478440908099</c:v>
                </c:pt>
                <c:pt idx="438">
                  <c:v>-66.051229681505077</c:v>
                </c:pt>
                <c:pt idx="439">
                  <c:v>-67.311500945321569</c:v>
                </c:pt>
                <c:pt idx="440">
                  <c:v>-68.594079302771078</c:v>
                </c:pt>
                <c:pt idx="441">
                  <c:v>-69.902073506073776</c:v>
                </c:pt>
                <c:pt idx="442">
                  <c:v>-71.238954811230968</c:v>
                </c:pt>
                <c:pt idx="443">
                  <c:v>-72.608603632671759</c:v>
                </c:pt>
                <c:pt idx="444">
                  <c:v>-74.015362799506704</c:v>
                </c:pt>
                <c:pt idx="445">
                  <c:v>-75.464098216501242</c:v>
                </c:pt>
                <c:pt idx="446">
                  <c:v>-76.960267724063115</c:v>
                </c:pt>
                <c:pt idx="447">
                  <c:v>-78.509998867964597</c:v>
                </c:pt>
                <c:pt idx="448">
                  <c:v>-80.120176082387218</c:v>
                </c:pt>
                <c:pt idx="449">
                  <c:v>-81.798537385141998</c:v>
                </c:pt>
                <c:pt idx="450">
                  <c:v>-83.553779971197343</c:v>
                </c:pt>
                <c:pt idx="451">
                  <c:v>-85.395672907852074</c:v>
                </c:pt>
                <c:pt idx="452">
                  <c:v>-87.335173249045766</c:v>
                </c:pt>
                <c:pt idx="453">
                  <c:v>-89.384538971179467</c:v>
                </c:pt>
                <c:pt idx="454">
                  <c:v>-91.55742774865449</c:v>
                </c:pt>
                <c:pt idx="455">
                  <c:v>-93.868964174800112</c:v>
                </c:pt>
                <c:pt idx="456">
                  <c:v>-96.335748948690039</c:v>
                </c:pt>
                <c:pt idx="457">
                  <c:v>-98.975771189172917</c:v>
                </c:pt>
                <c:pt idx="458">
                  <c:v>-101.8081691566296</c:v>
                </c:pt>
                <c:pt idx="459">
                  <c:v>-104.85276600002058</c:v>
                </c:pt>
                <c:pt idx="460">
                  <c:v>-108.12928854881692</c:v>
                </c:pt>
                <c:pt idx="461">
                  <c:v>-111.65616528855131</c:v>
                </c:pt>
                <c:pt idx="462">
                  <c:v>-115.44880694584684</c:v>
                </c:pt>
                <c:pt idx="463">
                  <c:v>-119.51731889717031</c:v>
                </c:pt>
                <c:pt idx="464">
                  <c:v>-123.8637024405691</c:v>
                </c:pt>
                <c:pt idx="465">
                  <c:v>-128.47878862137128</c:v>
                </c:pt>
                <c:pt idx="466">
                  <c:v>-133.33940119721075</c:v>
                </c:pt>
                <c:pt idx="467">
                  <c:v>-138.40649362170703</c:v>
                </c:pt>
                <c:pt idx="468">
                  <c:v>-143.62510849635163</c:v>
                </c:pt>
                <c:pt idx="469">
                  <c:v>-148.92680344046715</c:v>
                </c:pt>
                <c:pt idx="470">
                  <c:v>-154.23460706894866</c:v>
                </c:pt>
                <c:pt idx="471">
                  <c:v>-159.46976596949466</c:v>
                </c:pt>
                <c:pt idx="472">
                  <c:v>-164.55888360522323</c:v>
                </c:pt>
                <c:pt idx="473">
                  <c:v>-169.43989907087268</c:v>
                </c:pt>
                <c:pt idx="474">
                  <c:v>-174.06579788680892</c:v>
                </c:pt>
                <c:pt idx="475">
                  <c:v>-178.40573210277716</c:v>
                </c:pt>
                <c:pt idx="476">
                  <c:v>-182.44395174687884</c:v>
                </c:pt>
                <c:pt idx="477">
                  <c:v>-186.177342159977</c:v>
                </c:pt>
                <c:pt idx="478">
                  <c:v>-189.61239181517527</c:v>
                </c:pt>
                <c:pt idx="479">
                  <c:v>-192.76221716818142</c:v>
                </c:pt>
                <c:pt idx="480">
                  <c:v>-195.64400708416213</c:v>
                </c:pt>
                <c:pt idx="481">
                  <c:v>-198.27702559736065</c:v>
                </c:pt>
                <c:pt idx="482">
                  <c:v>-200.68116609804804</c:v>
                </c:pt>
                <c:pt idx="483">
                  <c:v>-202.87597664509599</c:v>
                </c:pt>
                <c:pt idx="484">
                  <c:v>-204.88005268803397</c:v>
                </c:pt>
                <c:pt idx="485">
                  <c:v>-206.710697917841</c:v>
                </c:pt>
                <c:pt idx="486">
                  <c:v>-208.38377040578166</c:v>
                </c:pt>
                <c:pt idx="487">
                  <c:v>-209.91365036661279</c:v>
                </c:pt>
                <c:pt idx="488">
                  <c:v>-211.31328332214014</c:v>
                </c:pt>
                <c:pt idx="489">
                  <c:v>-212.59426654313668</c:v>
                </c:pt>
                <c:pt idx="490">
                  <c:v>-213.76695727974152</c:v>
                </c:pt>
                <c:pt idx="491">
                  <c:v>-214.84058893511059</c:v>
                </c:pt>
                <c:pt idx="492">
                  <c:v>-215.82338664212693</c:v>
                </c:pt>
                <c:pt idx="493">
                  <c:v>-216.72267727800954</c:v>
                </c:pt>
                <c:pt idx="494">
                  <c:v>-217.54499129622582</c:v>
                </c:pt>
                <c:pt idx="495">
                  <c:v>-218.29615524914487</c:v>
                </c:pt>
                <c:pt idx="496">
                  <c:v>-218.9813747945125</c:v>
                </c:pt>
                <c:pt idx="497">
                  <c:v>-219.60530851823148</c:v>
                </c:pt>
                <c:pt idx="498">
                  <c:v>-220.1721331988806</c:v>
                </c:pt>
                <c:pt idx="499">
                  <c:v>-220.68560127612122</c:v>
                </c:pt>
                <c:pt idx="500">
                  <c:v>-221.01626865124203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22-463D-81A0-68F554CF810C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92.07151009811605</c:v>
                </c:pt>
                <c:pt idx="1">
                  <c:v>92.058344106421075</c:v>
                </c:pt>
                <c:pt idx="2">
                  <c:v>92.046214516068289</c:v>
                </c:pt>
                <c:pt idx="3">
                  <c:v>92.035115261040559</c:v>
                </c:pt>
                <c:pt idx="4">
                  <c:v>92.025040789898824</c:v>
                </c:pt>
                <c:pt idx="5">
                  <c:v>92.0159860631789</c:v>
                </c:pt>
                <c:pt idx="6">
                  <c:v>92.007946551025569</c:v>
                </c:pt>
                <c:pt idx="7">
                  <c:v>92.000918231063878</c:v>
                </c:pt>
                <c:pt idx="8">
                  <c:v>91.994897586506966</c:v>
                </c:pt>
                <c:pt idx="9">
                  <c:v>91.989881604500212</c:v>
                </c:pt>
                <c:pt idx="10">
                  <c:v>91.985867774701347</c:v>
                </c:pt>
                <c:pt idx="11">
                  <c:v>91.982854088096445</c:v>
                </c:pt>
                <c:pt idx="12">
                  <c:v>91.980839036051037</c:v>
                </c:pt>
                <c:pt idx="13">
                  <c:v>91.979821609597067</c:v>
                </c:pt>
                <c:pt idx="14">
                  <c:v>91.979801298954413</c:v>
                </c:pt>
                <c:pt idx="15">
                  <c:v>91.980778093287924</c:v>
                </c:pt>
                <c:pt idx="16">
                  <c:v>91.982752480699091</c:v>
                </c:pt>
                <c:pt idx="17">
                  <c:v>91.985725448453081</c:v>
                </c:pt>
                <c:pt idx="18">
                  <c:v>91.989698483440293</c:v>
                </c:pt>
                <c:pt idx="19">
                  <c:v>91.994673572873353</c:v>
                </c:pt>
                <c:pt idx="20">
                  <c:v>92.00065320521918</c:v>
                </c:pt>
                <c:pt idx="21">
                  <c:v>92.007640371366321</c:v>
                </c:pt>
                <c:pt idx="22">
                  <c:v>92.015638566027917</c:v>
                </c:pt>
                <c:pt idx="23">
                  <c:v>92.024651789380385</c:v>
                </c:pt>
                <c:pt idx="24">
                  <c:v>92.034684548938202</c:v>
                </c:pt>
                <c:pt idx="25">
                  <c:v>92.045741861664965</c:v>
                </c:pt>
                <c:pt idx="26">
                  <c:v>92.057829256321199</c:v>
                </c:pt>
                <c:pt idx="27">
                  <c:v>92.070952776049239</c:v>
                </c:pt>
                <c:pt idx="28">
                  <c:v>92.085118981195535</c:v>
                </c:pt>
                <c:pt idx="29">
                  <c:v>92.100334952370844</c:v>
                </c:pt>
                <c:pt idx="30">
                  <c:v>92.11660829374874</c:v>
                </c:pt>
                <c:pt idx="31">
                  <c:v>92.133947136602842</c:v>
                </c:pt>
                <c:pt idx="32">
                  <c:v>92.152360143083314</c:v>
                </c:pt>
                <c:pt idx="33">
                  <c:v>92.171856510233013</c:v>
                </c:pt>
                <c:pt idx="34">
                  <c:v>92.19244597424364</c:v>
                </c:pt>
                <c:pt idx="35">
                  <c:v>92.214138814952761</c:v>
                </c:pt>
                <c:pt idx="36">
                  <c:v>92.236945860581358</c:v>
                </c:pt>
                <c:pt idx="37">
                  <c:v>92.260878492713232</c:v>
                </c:pt>
                <c:pt idx="38">
                  <c:v>92.28594865151581</c:v>
                </c:pt>
                <c:pt idx="39">
                  <c:v>92.31216884120316</c:v>
                </c:pt>
                <c:pt idx="40">
                  <c:v>92.339552135741371</c:v>
                </c:pt>
                <c:pt idx="41">
                  <c:v>92.368112184796459</c:v>
                </c:pt>
                <c:pt idx="42">
                  <c:v>92.397863219924744</c:v>
                </c:pt>
                <c:pt idx="43">
                  <c:v>92.42882006100632</c:v>
                </c:pt>
                <c:pt idx="44">
                  <c:v>92.460998122920643</c:v>
                </c:pt>
                <c:pt idx="45">
                  <c:v>92.494413422465129</c:v>
                </c:pt>
                <c:pt idx="46">
                  <c:v>92.529082585515511</c:v>
                </c:pt>
                <c:pt idx="47">
                  <c:v>92.565022854427923</c:v>
                </c:pt>
                <c:pt idx="48">
                  <c:v>92.602252095682275</c:v>
                </c:pt>
                <c:pt idx="49">
                  <c:v>92.64078880776556</c:v>
                </c:pt>
                <c:pt idx="50">
                  <c:v>92.6806521292947</c:v>
                </c:pt>
                <c:pt idx="51">
                  <c:v>92.721861847377085</c:v>
                </c:pt>
                <c:pt idx="52">
                  <c:v>92.764438406207873</c:v>
                </c:pt>
                <c:pt idx="53">
                  <c:v>92.808402915901823</c:v>
                </c:pt>
                <c:pt idx="54">
                  <c:v>92.853777161557872</c:v>
                </c:pt>
                <c:pt idx="55">
                  <c:v>92.900583612553916</c:v>
                </c:pt>
                <c:pt idx="56">
                  <c:v>92.948845432069106</c:v>
                </c:pt>
                <c:pt idx="57">
                  <c:v>92.998586486830447</c:v>
                </c:pt>
                <c:pt idx="58">
                  <c:v>93.04983135708008</c:v>
                </c:pt>
                <c:pt idx="59">
                  <c:v>93.102605346759333</c:v>
                </c:pt>
                <c:pt idx="60">
                  <c:v>93.156934493904743</c:v>
                </c:pt>
                <c:pt idx="61">
                  <c:v>93.212845581251244</c:v>
                </c:pt>
                <c:pt idx="62">
                  <c:v>93.270366147036498</c:v>
                </c:pt>
                <c:pt idx="63">
                  <c:v>93.329524496000047</c:v>
                </c:pt>
                <c:pt idx="64">
                  <c:v>93.390349710570788</c:v>
                </c:pt>
                <c:pt idx="65">
                  <c:v>93.452871662234045</c:v>
                </c:pt>
                <c:pt idx="66">
                  <c:v>93.517121023070317</c:v>
                </c:pt>
                <c:pt idx="67">
                  <c:v>93.583129277456237</c:v>
                </c:pt>
                <c:pt idx="68">
                  <c:v>93.650928733916743</c:v>
                </c:pt>
                <c:pt idx="69">
                  <c:v>93.720552537117896</c:v>
                </c:pt>
                <c:pt idx="70">
                  <c:v>93.792034679986983</c:v>
                </c:pt>
                <c:pt idx="71">
                  <c:v>93.865410015947063</c:v>
                </c:pt>
                <c:pt idx="72">
                  <c:v>93.9407142712504</c:v>
                </c:pt>
                <c:pt idx="73">
                  <c:v>94.017984057395068</c:v>
                </c:pt>
                <c:pt idx="74">
                  <c:v>94.097256883606576</c:v>
                </c:pt>
                <c:pt idx="75">
                  <c:v>94.178571169366137</c:v>
                </c:pt>
                <c:pt idx="76">
                  <c:v>94.261966256963547</c:v>
                </c:pt>
                <c:pt idx="77">
                  <c:v>94.347482424053823</c:v>
                </c:pt>
                <c:pt idx="78">
                  <c:v>94.435160896191178</c:v>
                </c:pt>
                <c:pt idx="79">
                  <c:v>94.525043859315986</c:v>
                </c:pt>
                <c:pt idx="80">
                  <c:v>94.617174472164635</c:v>
                </c:pt>
                <c:pt idx="81">
                  <c:v>94.711596878572664</c:v>
                </c:pt>
                <c:pt idx="82">
                  <c:v>94.808356219637034</c:v>
                </c:pt>
                <c:pt idx="83">
                  <c:v>94.907498645702859</c:v>
                </c:pt>
                <c:pt idx="84">
                  <c:v>95.009071328135448</c:v>
                </c:pt>
                <c:pt idx="85">
                  <c:v>95.113122470836757</c:v>
                </c:pt>
                <c:pt idx="86">
                  <c:v>95.21970132146177</c:v>
                </c:pt>
                <c:pt idx="87">
                  <c:v>95.328858182287021</c:v>
                </c:pt>
                <c:pt idx="88">
                  <c:v>95.440644420681139</c:v>
                </c:pt>
                <c:pt idx="89">
                  <c:v>95.555112479121433</c:v>
                </c:pt>
                <c:pt idx="90">
                  <c:v>95.672315884699159</c:v>
                </c:pt>
                <c:pt idx="91">
                  <c:v>95.792309258050494</c:v>
                </c:pt>
                <c:pt idx="92">
                  <c:v>95.915148321646129</c:v>
                </c:pt>
                <c:pt idx="93">
                  <c:v>96.040889907368651</c:v>
                </c:pt>
                <c:pt idx="94">
                  <c:v>96.169591963301059</c:v>
                </c:pt>
                <c:pt idx="95">
                  <c:v>96.301313559645862</c:v>
                </c:pt>
                <c:pt idx="96">
                  <c:v>96.436114893687503</c:v>
                </c:pt>
                <c:pt idx="97">
                  <c:v>96.574057293706986</c:v>
                </c:pt>
                <c:pt idx="98">
                  <c:v>96.715203221750613</c:v>
                </c:pt>
                <c:pt idx="99">
                  <c:v>96.859616275148369</c:v>
                </c:pt>
                <c:pt idx="100">
                  <c:v>97.007361186672938</c:v>
                </c:pt>
                <c:pt idx="101">
                  <c:v>97.158503823221338</c:v>
                </c:pt>
                <c:pt idx="102">
                  <c:v>97.313111182896264</c:v>
                </c:pt>
                <c:pt idx="103">
                  <c:v>97.471251390354908</c:v>
                </c:pt>
                <c:pt idx="104">
                  <c:v>97.632993690288828</c:v>
                </c:pt>
                <c:pt idx="105">
                  <c:v>97.798408438886256</c:v>
                </c:pt>
                <c:pt idx="106">
                  <c:v>97.967567093124245</c:v>
                </c:pt>
                <c:pt idx="107">
                  <c:v>98.140542197727413</c:v>
                </c:pt>
                <c:pt idx="108">
                  <c:v>98.31740736962243</c:v>
                </c:pt>
                <c:pt idx="109">
                  <c:v>98.498237279708022</c:v>
                </c:pt>
                <c:pt idx="110">
                  <c:v>98.683107631752904</c:v>
                </c:pt>
                <c:pt idx="111">
                  <c:v>98.872095138222534</c:v>
                </c:pt>
                <c:pt idx="112">
                  <c:v>99.065277492827732</c:v>
                </c:pt>
                <c:pt idx="113">
                  <c:v>99.262733339580365</c:v>
                </c:pt>
                <c:pt idx="114">
                  <c:v>99.464542238127535</c:v>
                </c:pt>
                <c:pt idx="115">
                  <c:v>99.67078462513237</c:v>
                </c:pt>
                <c:pt idx="116">
                  <c:v>99.881541771453527</c:v>
                </c:pt>
                <c:pt idx="117">
                  <c:v>100.09689573487292</c:v>
                </c:pt>
                <c:pt idx="118">
                  <c:v>100.31692930810632</c:v>
                </c:pt>
                <c:pt idx="119">
                  <c:v>100.54172596182725</c:v>
                </c:pt>
                <c:pt idx="120">
                  <c:v>100.77136978242416</c:v>
                </c:pt>
                <c:pt idx="121">
                  <c:v>101.00594540420308</c:v>
                </c:pt>
                <c:pt idx="122">
                  <c:v>101.24553793574098</c:v>
                </c:pt>
                <c:pt idx="123">
                  <c:v>101.49023288009168</c:v>
                </c:pt>
                <c:pt idx="124">
                  <c:v>101.740116048533</c:v>
                </c:pt>
                <c:pt idx="125">
                  <c:v>101.9952734675515</c:v>
                </c:pt>
                <c:pt idx="126">
                  <c:v>102.25579127874421</c:v>
                </c:pt>
                <c:pt idx="127">
                  <c:v>102.5217556313283</c:v>
                </c:pt>
                <c:pt idx="128">
                  <c:v>102.79325256694028</c:v>
                </c:pt>
                <c:pt idx="129">
                  <c:v>103.07036789641329</c:v>
                </c:pt>
                <c:pt idx="130">
                  <c:v>103.35318706822498</c:v>
                </c:pt>
                <c:pt idx="131">
                  <c:v>103.64179502831183</c:v>
                </c:pt>
                <c:pt idx="132">
                  <c:v>103.93627607096148</c:v>
                </c:pt>
                <c:pt idx="133">
                  <c:v>104.23671368049904</c:v>
                </c:pt>
                <c:pt idx="134">
                  <c:v>104.54319036350785</c:v>
                </c:pt>
                <c:pt idx="135">
                  <c:v>104.85578747133724</c:v>
                </c:pt>
                <c:pt idx="136">
                  <c:v>105.17458501267748</c:v>
                </c:pt>
                <c:pt idx="137">
                  <c:v>105.49966145600925</c:v>
                </c:pt>
                <c:pt idx="138">
                  <c:v>105.83109352176608</c:v>
                </c:pt>
                <c:pt idx="139">
                  <c:v>106.16895596408652</c:v>
                </c:pt>
                <c:pt idx="140">
                  <c:v>106.51332134207567</c:v>
                </c:pt>
                <c:pt idx="141">
                  <c:v>106.86425978054352</c:v>
                </c:pt>
                <c:pt idx="142">
                  <c:v>107.22183872024218</c:v>
                </c:pt>
                <c:pt idx="143">
                  <c:v>107.58612265768377</c:v>
                </c:pt>
                <c:pt idx="144">
                  <c:v>107.95717287468982</c:v>
                </c:pt>
                <c:pt idx="145">
                  <c:v>108.33504715789242</c:v>
                </c:pt>
                <c:pt idx="146">
                  <c:v>108.71979950849394</c:v>
                </c:pt>
                <c:pt idx="147">
                  <c:v>109.11147984267157</c:v>
                </c:pt>
                <c:pt idx="148">
                  <c:v>109.5101336831156</c:v>
                </c:pt>
                <c:pt idx="149">
                  <c:v>109.91580184228295</c:v>
                </c:pt>
                <c:pt idx="150">
                  <c:v>110.32852009806092</c:v>
                </c:pt>
                <c:pt idx="151">
                  <c:v>110.74831886264768</c:v>
                </c:pt>
                <c:pt idx="152">
                  <c:v>111.17522284557479</c:v>
                </c:pt>
                <c:pt idx="153">
                  <c:v>111.60925071192294</c:v>
                </c:pt>
                <c:pt idx="154">
                  <c:v>112.05041473691237</c:v>
                </c:pt>
                <c:pt idx="155">
                  <c:v>112.4987204581807</c:v>
                </c:pt>
                <c:pt idx="156">
                  <c:v>112.95416632719733</c:v>
                </c:pt>
                <c:pt idx="157">
                  <c:v>113.41674336140164</c:v>
                </c:pt>
                <c:pt idx="158">
                  <c:v>113.88643479878918</c:v>
                </c:pt>
                <c:pt idx="159">
                  <c:v>114.36321575680287</c:v>
                </c:pt>
                <c:pt idx="160">
                  <c:v>114.84705289752368</c:v>
                </c:pt>
                <c:pt idx="161">
                  <c:v>115.33790410127492</c:v>
                </c:pt>
                <c:pt idx="162">
                  <c:v>115.8357181508798</c:v>
                </c:pt>
                <c:pt idx="163">
                  <c:v>116.34043442891877</c:v>
                </c:pt>
                <c:pt idx="164">
                  <c:v>116.85198263042571</c:v>
                </c:pt>
                <c:pt idx="165">
                  <c:v>117.37028249355555</c:v>
                </c:pt>
                <c:pt idx="166">
                  <c:v>117.8952435508064</c:v>
                </c:pt>
                <c:pt idx="167">
                  <c:v>118.42676490343746</c:v>
                </c:pt>
                <c:pt idx="168">
                  <c:v>118.96473502173762</c:v>
                </c:pt>
                <c:pt idx="169">
                  <c:v>119.50903157380203</c:v>
                </c:pt>
                <c:pt idx="170">
                  <c:v>120.05952128544295</c:v>
                </c:pt>
                <c:pt idx="171">
                  <c:v>120.61605983380082</c:v>
                </c:pt>
                <c:pt idx="172">
                  <c:v>121.17849177713518</c:v>
                </c:pt>
                <c:pt idx="173">
                  <c:v>121.74665052314573</c:v>
                </c:pt>
                <c:pt idx="174">
                  <c:v>122.32035833802448</c:v>
                </c:pt>
                <c:pt idx="175">
                  <c:v>122.8994263982418</c:v>
                </c:pt>
                <c:pt idx="176">
                  <c:v>123.48365488684993</c:v>
                </c:pt>
                <c:pt idx="177">
                  <c:v>124.07283313581775</c:v>
                </c:pt>
                <c:pt idx="178">
                  <c:v>124.66673981563218</c:v>
                </c:pt>
                <c:pt idx="179">
                  <c:v>125.26514317306246</c:v>
                </c:pt>
                <c:pt idx="180">
                  <c:v>125.86780131764182</c:v>
                </c:pt>
                <c:pt idx="181">
                  <c:v>126.4744625570377</c:v>
                </c:pt>
                <c:pt idx="182">
                  <c:v>127.08486578108491</c:v>
                </c:pt>
                <c:pt idx="183">
                  <c:v>127.69874089383661</c:v>
                </c:pt>
                <c:pt idx="184">
                  <c:v>128.31580929256313</c:v>
                </c:pt>
                <c:pt idx="185">
                  <c:v>128.93578439218908</c:v>
                </c:pt>
                <c:pt idx="186">
                  <c:v>129.55837219323038</c:v>
                </c:pt>
                <c:pt idx="187">
                  <c:v>130.18327189085318</c:v>
                </c:pt>
                <c:pt idx="188">
                  <c:v>130.81017652227152</c:v>
                </c:pt>
                <c:pt idx="189">
                  <c:v>131.43877364929392</c:v>
                </c:pt>
                <c:pt idx="190">
                  <c:v>132.06874607245794</c:v>
                </c:pt>
                <c:pt idx="191">
                  <c:v>132.6997725728537</c:v>
                </c:pt>
                <c:pt idx="192">
                  <c:v>133.33152867743098</c:v>
                </c:pt>
                <c:pt idx="193">
                  <c:v>133.96368744332318</c:v>
                </c:pt>
                <c:pt idx="194">
                  <c:v>134.59592025650946</c:v>
                </c:pt>
                <c:pt idx="195">
                  <c:v>135.22789763997349</c:v>
                </c:pt>
                <c:pt idx="196">
                  <c:v>135.8592900664076</c:v>
                </c:pt>
                <c:pt idx="197">
                  <c:v>136.48976877045737</c:v>
                </c:pt>
                <c:pt idx="198">
                  <c:v>137.11900655551466</c:v>
                </c:pt>
                <c:pt idx="199">
                  <c:v>137.74667859011134</c:v>
                </c:pt>
                <c:pt idx="200">
                  <c:v>138.37246318910744</c:v>
                </c:pt>
                <c:pt idx="201">
                  <c:v>138.9960425750109</c:v>
                </c:pt>
                <c:pt idx="202">
                  <c:v>139.61710361501179</c:v>
                </c:pt>
                <c:pt idx="203">
                  <c:v>140.23533852956896</c:v>
                </c:pt>
                <c:pt idx="204">
                  <c:v>140.85044556869633</c:v>
                </c:pt>
                <c:pt idx="205">
                  <c:v>141.46212965245184</c:v>
                </c:pt>
                <c:pt idx="206">
                  <c:v>142.07010297249747</c:v>
                </c:pt>
                <c:pt idx="207">
                  <c:v>142.67408555201303</c:v>
                </c:pt>
                <c:pt idx="208">
                  <c:v>143.27380576165331</c:v>
                </c:pt>
                <c:pt idx="209">
                  <c:v>143.8690007896769</c:v>
                </c:pt>
                <c:pt idx="210">
                  <c:v>144.45941706481187</c:v>
                </c:pt>
                <c:pt idx="211">
                  <c:v>145.04481063084953</c:v>
                </c:pt>
                <c:pt idx="212">
                  <c:v>145.62494747239299</c:v>
                </c:pt>
                <c:pt idx="213">
                  <c:v>146.19960379159579</c:v>
                </c:pt>
                <c:pt idx="214">
                  <c:v>146.7685662361292</c:v>
                </c:pt>
                <c:pt idx="215">
                  <c:v>147.33163207897832</c:v>
                </c:pt>
                <c:pt idx="216">
                  <c:v>147.88860935103105</c:v>
                </c:pt>
                <c:pt idx="217">
                  <c:v>148.43931692773069</c:v>
                </c:pt>
                <c:pt idx="218">
                  <c:v>148.9835845713543</c:v>
                </c:pt>
                <c:pt idx="219">
                  <c:v>149.52125293073732</c:v>
                </c:pt>
                <c:pt idx="220">
                  <c:v>150.05217350048059</c:v>
                </c:pt>
                <c:pt idx="221">
                  <c:v>150.57620854186143</c:v>
                </c:pt>
                <c:pt idx="222">
                  <c:v>151.09323096782765</c:v>
                </c:pt>
                <c:pt idx="223">
                  <c:v>151.60312419456156</c:v>
                </c:pt>
                <c:pt idx="224">
                  <c:v>152.10578196219609</c:v>
                </c:pt>
                <c:pt idx="225">
                  <c:v>152.60110812731313</c:v>
                </c:pt>
                <c:pt idx="226">
                  <c:v>153.08901642987863</c:v>
                </c:pt>
                <c:pt idx="227">
                  <c:v>153.56943023727263</c:v>
                </c:pt>
                <c:pt idx="228">
                  <c:v>154.04228226803951</c:v>
                </c:pt>
                <c:pt idx="229">
                  <c:v>154.5075142979434</c:v>
                </c:pt>
                <c:pt idx="230">
                  <c:v>154.96507685083253</c:v>
                </c:pt>
                <c:pt idx="231">
                  <c:v>155.41492887674846</c:v>
                </c:pt>
                <c:pt idx="232">
                  <c:v>155.85703741960199</c:v>
                </c:pt>
                <c:pt idx="233">
                  <c:v>156.29137727663561</c:v>
                </c:pt>
                <c:pt idx="234">
                  <c:v>156.71793065176826</c:v>
                </c:pt>
                <c:pt idx="235">
                  <c:v>157.13668680478995</c:v>
                </c:pt>
                <c:pt idx="236">
                  <c:v>157.54764169824554</c:v>
                </c:pt>
                <c:pt idx="237">
                  <c:v>157.95079764370408</c:v>
                </c:pt>
                <c:pt idx="238">
                  <c:v>158.34616294897734</c:v>
                </c:pt>
                <c:pt idx="239">
                  <c:v>158.73375156771732</c:v>
                </c:pt>
                <c:pt idx="240">
                  <c:v>159.11358275267656</c:v>
                </c:pt>
                <c:pt idx="241">
                  <c:v>159.48568071379509</c:v>
                </c:pt>
                <c:pt idx="242">
                  <c:v>159.8500742821395</c:v>
                </c:pt>
                <c:pt idx="243">
                  <c:v>160.20679658060027</c:v>
                </c:pt>
                <c:pt idx="244">
                  <c:v>160.55588470213297</c:v>
                </c:pt>
                <c:pt idx="245">
                  <c:v>160.89737939621835</c:v>
                </c:pt>
                <c:pt idx="246">
                  <c:v>161.23132476410655</c:v>
                </c:pt>
                <c:pt idx="247">
                  <c:v>161.55776796331375</c:v>
                </c:pt>
                <c:pt idx="248">
                  <c:v>161.87675892174508</c:v>
                </c:pt>
                <c:pt idx="249">
                  <c:v>162.18835006173381</c:v>
                </c:pt>
                <c:pt idx="250">
                  <c:v>162.49259603420282</c:v>
                </c:pt>
                <c:pt idx="251">
                  <c:v>162.78955346308817</c:v>
                </c:pt>
                <c:pt idx="252">
                  <c:v>163.07928070009379</c:v>
                </c:pt>
                <c:pt idx="253">
                  <c:v>163.36183758978859</c:v>
                </c:pt>
                <c:pt idx="254">
                  <c:v>163.63728524500604</c:v>
                </c:pt>
                <c:pt idx="255">
                  <c:v>163.90568583245482</c:v>
                </c:pt>
                <c:pt idx="256">
                  <c:v>164.16710236841135</c:v>
                </c:pt>
                <c:pt idx="257">
                  <c:v>164.42159852432596</c:v>
                </c:pt>
                <c:pt idx="258">
                  <c:v>164.66923844214466</c:v>
                </c:pt>
                <c:pt idx="259">
                  <c:v>164.91008655912088</c:v>
                </c:pt>
                <c:pt idx="260">
                  <c:v>165.14420744186762</c:v>
                </c:pt>
                <c:pt idx="261">
                  <c:v>165.37166562938432</c:v>
                </c:pt>
                <c:pt idx="262">
                  <c:v>165.59252548477644</c:v>
                </c:pt>
                <c:pt idx="263">
                  <c:v>165.8068510553727</c:v>
                </c:pt>
                <c:pt idx="264">
                  <c:v>166.01470594093905</c:v>
                </c:pt>
                <c:pt idx="265">
                  <c:v>166.21615316967848</c:v>
                </c:pt>
                <c:pt idx="266">
                  <c:v>166.41125508170651</c:v>
                </c:pt>
                <c:pt idx="267">
                  <c:v>166.60007321968757</c:v>
                </c:pt>
                <c:pt idx="268">
                  <c:v>166.78266822631841</c:v>
                </c:pt>
                <c:pt idx="269">
                  <c:v>166.95909974834757</c:v>
                </c:pt>
                <c:pt idx="270">
                  <c:v>167.12942634682412</c:v>
                </c:pt>
                <c:pt idx="271">
                  <c:v>167.29370541327106</c:v>
                </c:pt>
                <c:pt idx="272">
                  <c:v>167.45199309148836</c:v>
                </c:pt>
                <c:pt idx="273">
                  <c:v>167.60434420469511</c:v>
                </c:pt>
                <c:pt idx="274">
                  <c:v>167.750812187728</c:v>
                </c:pt>
                <c:pt idx="275">
                  <c:v>167.89144902402407</c:v>
                </c:pt>
                <c:pt idx="276">
                  <c:v>168.02630518712178</c:v>
                </c:pt>
                <c:pt idx="277">
                  <c:v>168.15542958642516</c:v>
                </c:pt>
                <c:pt idx="278">
                  <c:v>168.27886951698682</c:v>
                </c:pt>
                <c:pt idx="279">
                  <c:v>168.39667061307208</c:v>
                </c:pt>
                <c:pt idx="280">
                  <c:v>168.50887680528149</c:v>
                </c:pt>
                <c:pt idx="281">
                  <c:v>168.61553028101414</c:v>
                </c:pt>
                <c:pt idx="282">
                  <c:v>168.71667144806898</c:v>
                </c:pt>
                <c:pt idx="283">
                  <c:v>168.81233890118858</c:v>
                </c:pt>
                <c:pt idx="284">
                  <c:v>168.90256939136185</c:v>
                </c:pt>
                <c:pt idx="285">
                  <c:v>168.98739779771256</c:v>
                </c:pt>
                <c:pt idx="286">
                  <c:v>169.06685710180827</c:v>
                </c:pt>
                <c:pt idx="287">
                  <c:v>169.14097836423832</c:v>
                </c:pt>
                <c:pt idx="288">
                  <c:v>169.20979070331623</c:v>
                </c:pt>
                <c:pt idx="289">
                  <c:v>169.27332127577264</c:v>
                </c:pt>
                <c:pt idx="290">
                  <c:v>169.33159525931543</c:v>
                </c:pt>
                <c:pt idx="291">
                  <c:v>169.38463583694158</c:v>
                </c:pt>
                <c:pt idx="292">
                  <c:v>169.43246418289641</c:v>
                </c:pt>
                <c:pt idx="293">
                  <c:v>169.47509945018342</c:v>
                </c:pt>
                <c:pt idx="294">
                  <c:v>169.51255875953822</c:v>
                </c:pt>
                <c:pt idx="295">
                  <c:v>169.5448571897883</c:v>
                </c:pt>
                <c:pt idx="296">
                  <c:v>169.57200776952908</c:v>
                </c:pt>
                <c:pt idx="297">
                  <c:v>169.59402147005591</c:v>
                </c:pt>
                <c:pt idx="298">
                  <c:v>169.61090719949956</c:v>
                </c:pt>
                <c:pt idx="299">
                  <c:v>169.62267179812193</c:v>
                </c:pt>
                <c:pt idx="300">
                  <c:v>169.62932003473628</c:v>
                </c:pt>
                <c:pt idx="301">
                  <c:v>169.63085460422414</c:v>
                </c:pt>
                <c:pt idx="302">
                  <c:v>169.62727612613236</c:v>
                </c:pt>
                <c:pt idx="303">
                  <c:v>169.61858314433644</c:v>
                </c:pt>
                <c:pt idx="304">
                  <c:v>169.6047721277705</c:v>
                </c:pt>
                <c:pt idx="305">
                  <c:v>169.58583747222767</c:v>
                </c:pt>
                <c:pt idx="306">
                  <c:v>169.56177150324558</c:v>
                </c:pt>
                <c:pt idx="307">
                  <c:v>169.53256448009907</c:v>
                </c:pt>
                <c:pt idx="308">
                  <c:v>169.49820460092911</c:v>
                </c:pt>
                <c:pt idx="309">
                  <c:v>169.45867800904887</c:v>
                </c:pt>
                <c:pt idx="310">
                  <c:v>169.4139688004712</c:v>
                </c:pt>
                <c:pt idx="311">
                  <c:v>169.36405903271537</c:v>
                </c:pt>
                <c:pt idx="312">
                  <c:v>169.30892873495495</c:v>
                </c:pt>
                <c:pt idx="313">
                  <c:v>169.24855591958112</c:v>
                </c:pt>
                <c:pt idx="314">
                  <c:v>169.18291659526213</c:v>
                </c:pt>
                <c:pt idx="315">
                  <c:v>169.1119847815898</c:v>
                </c:pt>
                <c:pt idx="316">
                  <c:v>169.03573252541204</c:v>
                </c:pt>
                <c:pt idx="317">
                  <c:v>168.95412991896052</c:v>
                </c:pt>
                <c:pt idx="318">
                  <c:v>168.86714511989231</c:v>
                </c:pt>
                <c:pt idx="319">
                  <c:v>168.7747443733717</c:v>
                </c:pt>
                <c:pt idx="320">
                  <c:v>168.67689203633202</c:v>
                </c:pt>
                <c:pt idx="321">
                  <c:v>168.57355060406218</c:v>
                </c:pt>
                <c:pt idx="322">
                  <c:v>168.46468073927733</c:v>
                </c:pt>
                <c:pt idx="323">
                  <c:v>168.35024130384031</c:v>
                </c:pt>
                <c:pt idx="324">
                  <c:v>168.23018939331104</c:v>
                </c:pt>
                <c:pt idx="325">
                  <c:v>168.10448037451346</c:v>
                </c:pt>
                <c:pt idx="326">
                  <c:v>167.97306792631588</c:v>
                </c:pt>
                <c:pt idx="327">
                  <c:v>167.83590408383634</c:v>
                </c:pt>
                <c:pt idx="328">
                  <c:v>167.69293928628917</c:v>
                </c:pt>
                <c:pt idx="329">
                  <c:v>167.54412242870444</c:v>
                </c:pt>
                <c:pt idx="330">
                  <c:v>167.38940091775851</c:v>
                </c:pt>
                <c:pt idx="331">
                  <c:v>167.22872073196416</c:v>
                </c:pt>
                <c:pt idx="332">
                  <c:v>167.06202648648178</c:v>
                </c:pt>
                <c:pt idx="333">
                  <c:v>166.88926150281702</c:v>
                </c:pt>
                <c:pt idx="334">
                  <c:v>166.71036788368386</c:v>
                </c:pt>
                <c:pt idx="335">
                  <c:v>166.52528659331671</c:v>
                </c:pt>
                <c:pt idx="336">
                  <c:v>166.33395754352614</c:v>
                </c:pt>
                <c:pt idx="337">
                  <c:v>166.13631968579466</c:v>
                </c:pt>
                <c:pt idx="338">
                  <c:v>165.93231110971976</c:v>
                </c:pt>
                <c:pt idx="339">
                  <c:v>165.72186914811266</c:v>
                </c:pt>
                <c:pt idx="340">
                  <c:v>165.50493048906475</c:v>
                </c:pt>
                <c:pt idx="341">
                  <c:v>165.28143129529536</c:v>
                </c:pt>
                <c:pt idx="342">
                  <c:v>165.0513073310957</c:v>
                </c:pt>
                <c:pt idx="343">
                  <c:v>164.81449409717791</c:v>
                </c:pt>
                <c:pt idx="344">
                  <c:v>164.57092697373812</c:v>
                </c:pt>
                <c:pt idx="345">
                  <c:v>164.32054137203221</c:v>
                </c:pt>
                <c:pt idx="346">
                  <c:v>164.06327289475286</c:v>
                </c:pt>
                <c:pt idx="347">
                  <c:v>163.79905750548676</c:v>
                </c:pt>
                <c:pt idx="348">
                  <c:v>163.52783170750956</c:v>
                </c:pt>
                <c:pt idx="349">
                  <c:v>163.24953273216127</c:v>
                </c:pt>
                <c:pt idx="350">
                  <c:v>162.96409873701569</c:v>
                </c:pt>
                <c:pt idx="351">
                  <c:v>162.67146901403271</c:v>
                </c:pt>
                <c:pt idx="352">
                  <c:v>162.37158420784522</c:v>
                </c:pt>
                <c:pt idx="353">
                  <c:v>162.06438654429905</c:v>
                </c:pt>
                <c:pt idx="354">
                  <c:v>161.74982006931432</c:v>
                </c:pt>
                <c:pt idx="355">
                  <c:v>161.42783089809143</c:v>
                </c:pt>
                <c:pt idx="356">
                  <c:v>161.09836747462919</c:v>
                </c:pt>
                <c:pt idx="357">
                  <c:v>160.76138084145728</c:v>
                </c:pt>
                <c:pt idx="358">
                  <c:v>160.41682491942109</c:v>
                </c:pt>
                <c:pt idx="359">
                  <c:v>160.0646567972791</c:v>
                </c:pt>
                <c:pt idx="360">
                  <c:v>159.70483703079239</c:v>
                </c:pt>
                <c:pt idx="361">
                  <c:v>159.3373299508967</c:v>
                </c:pt>
                <c:pt idx="362">
                  <c:v>158.96210398045213</c:v>
                </c:pt>
                <c:pt idx="363">
                  <c:v>158.57913195896361</c:v>
                </c:pt>
                <c:pt idx="364">
                  <c:v>158.18839147455259</c:v>
                </c:pt>
                <c:pt idx="365">
                  <c:v>157.78986520235566</c:v>
                </c:pt>
                <c:pt idx="366">
                  <c:v>157.38354124838867</c:v>
                </c:pt>
                <c:pt idx="367">
                  <c:v>156.96941349780602</c:v>
                </c:pt>
                <c:pt idx="368">
                  <c:v>156.54748196634173</c:v>
                </c:pt>
                <c:pt idx="369">
                  <c:v>156.11775315359205</c:v>
                </c:pt>
                <c:pt idx="370">
                  <c:v>155.68024039665951</c:v>
                </c:pt>
                <c:pt idx="371">
                  <c:v>155.23496422254462</c:v>
                </c:pt>
                <c:pt idx="372">
                  <c:v>154.78195269752987</c:v>
                </c:pt>
                <c:pt idx="373">
                  <c:v>154.32124177166969</c:v>
                </c:pt>
                <c:pt idx="374">
                  <c:v>153.85287561636648</c:v>
                </c:pt>
                <c:pt idx="375">
                  <c:v>153.37690695289191</c:v>
                </c:pt>
                <c:pt idx="376">
                  <c:v>152.89339736958712</c:v>
                </c:pt>
                <c:pt idx="377">
                  <c:v>152.4024176253794</c:v>
                </c:pt>
                <c:pt idx="378">
                  <c:v>151.9040479371493</c:v>
                </c:pt>
                <c:pt idx="379">
                  <c:v>151.39837824841189</c:v>
                </c:pt>
                <c:pt idx="380">
                  <c:v>150.88550847670555</c:v>
                </c:pt>
                <c:pt idx="381">
                  <c:v>150.36554873705367</c:v>
                </c:pt>
                <c:pt idx="382">
                  <c:v>149.83861953883516</c:v>
                </c:pt>
                <c:pt idx="383">
                  <c:v>149.30485195341561</c:v>
                </c:pt>
                <c:pt idx="384">
                  <c:v>148.76438774992403</c:v>
                </c:pt>
                <c:pt idx="385">
                  <c:v>148.21737949662983</c:v>
                </c:pt>
                <c:pt idx="386">
                  <c:v>147.66399062546364</c:v>
                </c:pt>
                <c:pt idx="387">
                  <c:v>147.10439545736617</c:v>
                </c:pt>
                <c:pt idx="388">
                  <c:v>146.53877918630661</c:v>
                </c:pt>
                <c:pt idx="389">
                  <c:v>145.96733782001661</c:v>
                </c:pt>
                <c:pt idx="390">
                  <c:v>145.39027807571307</c:v>
                </c:pt>
                <c:pt idx="391">
                  <c:v>144.80781722935703</c:v>
                </c:pt>
                <c:pt idx="392">
                  <c:v>144.22018291729205</c:v>
                </c:pt>
                <c:pt idx="393">
                  <c:v>143.62761288943594</c:v>
                </c:pt>
                <c:pt idx="394">
                  <c:v>143.03035471356264</c:v>
                </c:pt>
                <c:pt idx="395">
                  <c:v>142.42866543058565</c:v>
                </c:pt>
                <c:pt idx="396">
                  <c:v>141.82281116116843</c:v>
                </c:pt>
                <c:pt idx="397">
                  <c:v>141.2130666643998</c:v>
                </c:pt>
                <c:pt idx="398">
                  <c:v>140.59971484970526</c:v>
                </c:pt>
                <c:pt idx="399">
                  <c:v>139.98304624359895</c:v>
                </c:pt>
                <c:pt idx="400">
                  <c:v>139.36335841332044</c:v>
                </c:pt>
                <c:pt idx="401">
                  <c:v>138.74095534982152</c:v>
                </c:pt>
                <c:pt idx="402">
                  <c:v>138.11614681298619</c:v>
                </c:pt>
                <c:pt idx="403">
                  <c:v>137.48924764235642</c:v>
                </c:pt>
                <c:pt idx="404">
                  <c:v>136.8605770370055</c:v>
                </c:pt>
                <c:pt idx="405">
                  <c:v>136.23045780853312</c:v>
                </c:pt>
                <c:pt idx="406">
                  <c:v>135.59921561144679</c:v>
                </c:pt>
                <c:pt idx="407">
                  <c:v>134.96717815545253</c:v>
                </c:pt>
                <c:pt idx="408">
                  <c:v>134.33467440437252</c:v>
                </c:pt>
                <c:pt idx="409">
                  <c:v>133.70203376656252</c:v>
                </c:pt>
                <c:pt idx="410">
                  <c:v>133.06958528179698</c:v>
                </c:pt>
                <c:pt idx="411">
                  <c:v>132.4376568096269</c:v>
                </c:pt>
                <c:pt idx="412">
                  <c:v>131.80657422420171</c:v>
                </c:pt>
                <c:pt idx="413">
                  <c:v>131.17666062046976</c:v>
                </c:pt>
                <c:pt idx="414">
                  <c:v>130.54823553654367</c:v>
                </c:pt>
                <c:pt idx="415">
                  <c:v>129.92161419682978</c:v>
                </c:pt>
                <c:pt idx="416">
                  <c:v>129.29710678029863</c:v>
                </c:pt>
                <c:pt idx="417">
                  <c:v>128.67501771798223</c:v>
                </c:pt>
                <c:pt idx="418">
                  <c:v>128.05564502347434</c:v>
                </c:pt>
                <c:pt idx="419">
                  <c:v>127.43927965985569</c:v>
                </c:pt>
                <c:pt idx="420">
                  <c:v>126.82620494607464</c:v>
                </c:pt>
                <c:pt idx="421">
                  <c:v>126.21669600541784</c:v>
                </c:pt>
                <c:pt idx="422">
                  <c:v>125.61101925827575</c:v>
                </c:pt>
                <c:pt idx="423">
                  <c:v>125.00943196097957</c:v>
                </c:pt>
                <c:pt idx="424">
                  <c:v>124.41218179204591</c:v>
                </c:pt>
                <c:pt idx="425">
                  <c:v>123.81950648673588</c:v>
                </c:pt>
                <c:pt idx="426">
                  <c:v>123.23163352041053</c:v>
                </c:pt>
                <c:pt idx="427">
                  <c:v>122.64877984075036</c:v>
                </c:pt>
                <c:pt idx="428">
                  <c:v>122.0711516485202</c:v>
                </c:pt>
                <c:pt idx="429">
                  <c:v>121.49894422618584</c:v>
                </c:pt>
                <c:pt idx="430">
                  <c:v>120.93234181335581</c:v>
                </c:pt>
                <c:pt idx="431">
                  <c:v>120.37151752769881</c:v>
                </c:pt>
                <c:pt idx="432">
                  <c:v>119.81663332971473</c:v>
                </c:pt>
                <c:pt idx="433">
                  <c:v>119.26784002948908</c:v>
                </c:pt>
                <c:pt idx="434">
                  <c:v>118.72527733334512</c:v>
                </c:pt>
                <c:pt idx="435">
                  <c:v>118.18907392813315</c:v>
                </c:pt>
                <c:pt idx="436">
                  <c:v>117.65934760074855</c:v>
                </c:pt>
                <c:pt idx="437">
                  <c:v>117.1362053903689</c:v>
                </c:pt>
                <c:pt idx="438">
                  <c:v>116.61974377080816</c:v>
                </c:pt>
                <c:pt idx="439">
                  <c:v>116.11004886035539</c:v>
                </c:pt>
                <c:pt idx="440">
                  <c:v>115.60719665643062</c:v>
                </c:pt>
                <c:pt idx="441">
                  <c:v>115.11125329241017</c:v>
                </c:pt>
                <c:pt idx="442">
                  <c:v>114.62227531399884</c:v>
                </c:pt>
                <c:pt idx="443">
                  <c:v>114.14030997258195</c:v>
                </c:pt>
                <c:pt idx="444">
                  <c:v>113.66539553305932</c:v>
                </c:pt>
                <c:pt idx="445">
                  <c:v>113.19756159375768</c:v>
                </c:pt>
                <c:pt idx="446">
                  <c:v>112.73682941611163</c:v>
                </c:pt>
                <c:pt idx="447">
                  <c:v>112.28321226192459</c:v>
                </c:pt>
                <c:pt idx="448">
                  <c:v>111.83671573613643</c:v>
                </c:pt>
                <c:pt idx="449">
                  <c:v>111.39733813316127</c:v>
                </c:pt>
                <c:pt idx="450">
                  <c:v>110.96507078498374</c:v>
                </c:pt>
                <c:pt idx="451">
                  <c:v>110.53989840934592</c:v>
                </c:pt>
                <c:pt idx="452">
                  <c:v>110.12179945648916</c:v>
                </c:pt>
                <c:pt idx="453">
                  <c:v>109.71074645305541</c:v>
                </c:pt>
                <c:pt idx="454">
                  <c:v>109.30670634188537</c:v>
                </c:pt>
                <c:pt idx="455">
                  <c:v>108.90964081658333</c:v>
                </c:pt>
                <c:pt idx="456">
                  <c:v>108.51950664984615</c:v>
                </c:pt>
                <c:pt idx="457">
                  <c:v>108.13625601467723</c:v>
                </c:pt>
                <c:pt idx="458">
                  <c:v>107.75983679772385</c:v>
                </c:pt>
                <c:pt idx="459">
                  <c:v>107.39019290408518</c:v>
                </c:pt>
                <c:pt idx="460">
                  <c:v>107.027264553048</c:v>
                </c:pt>
                <c:pt idx="461">
                  <c:v>106.6709885643005</c:v>
                </c:pt>
                <c:pt idx="462">
                  <c:v>106.32129863426842</c:v>
                </c:pt>
                <c:pt idx="463">
                  <c:v>105.9781256023026</c:v>
                </c:pt>
                <c:pt idx="464">
                  <c:v>105.64139770652382</c:v>
                </c:pt>
                <c:pt idx="465">
                  <c:v>105.31104082920156</c:v>
                </c:pt>
                <c:pt idx="466">
                  <c:v>104.9869787316091</c:v>
                </c:pt>
                <c:pt idx="467">
                  <c:v>104.66913327835326</c:v>
                </c:pt>
                <c:pt idx="468">
                  <c:v>104.35742465123208</c:v>
                </c:pt>
                <c:pt idx="469">
                  <c:v>104.05177155271606</c:v>
                </c:pt>
                <c:pt idx="470">
                  <c:v>103.75209139919328</c:v>
                </c:pt>
                <c:pt idx="471">
                  <c:v>103.45830050414955</c:v>
                </c:pt>
                <c:pt idx="472">
                  <c:v>103.17031425149054</c:v>
                </c:pt>
                <c:pt idx="473">
                  <c:v>102.88804725923463</c:v>
                </c:pt>
                <c:pt idx="474">
                  <c:v>102.61141353382753</c:v>
                </c:pt>
                <c:pt idx="475">
                  <c:v>102.34032661535194</c:v>
                </c:pt>
                <c:pt idx="476">
                  <c:v>102.07469971391367</c:v>
                </c:pt>
                <c:pt idx="477">
                  <c:v>101.81444583750216</c:v>
                </c:pt>
                <c:pt idx="478">
                  <c:v>101.5594779116286</c:v>
                </c:pt>
                <c:pt idx="479">
                  <c:v>101.30970889105262</c:v>
                </c:pt>
                <c:pt idx="480">
                  <c:v>101.06505186391053</c:v>
                </c:pt>
                <c:pt idx="481">
                  <c:v>100.82542014855926</c:v>
                </c:pt>
                <c:pt idx="482">
                  <c:v>100.5907273834524</c:v>
                </c:pt>
                <c:pt idx="483">
                  <c:v>100.36088761035798</c:v>
                </c:pt>
                <c:pt idx="484">
                  <c:v>100.13581535122849</c:v>
                </c:pt>
                <c:pt idx="485">
                  <c:v>99.91542567902674</c:v>
                </c:pt>
                <c:pt idx="486">
                  <c:v>99.699634282805221</c:v>
                </c:pt>
                <c:pt idx="487">
                  <c:v>99.488357527330223</c:v>
                </c:pt>
                <c:pt idx="488">
                  <c:v>99.281512507536888</c:v>
                </c:pt>
                <c:pt idx="489">
                  <c:v>99.079017098088656</c:v>
                </c:pt>
                <c:pt idx="490">
                  <c:v>98.88078999831059</c:v>
                </c:pt>
                <c:pt idx="491">
                  <c:v>98.686750772754692</c:v>
                </c:pt>
                <c:pt idx="492">
                  <c:v>98.496819887648257</c:v>
                </c:pt>
                <c:pt idx="493">
                  <c:v>98.310918743463844</c:v>
                </c:pt>
                <c:pt idx="494">
                  <c:v>98.128969703844135</c:v>
                </c:pt>
                <c:pt idx="495">
                  <c:v>97.95089612110236</c:v>
                </c:pt>
                <c:pt idx="496">
                  <c:v>97.776622358510764</c:v>
                </c:pt>
                <c:pt idx="497">
                  <c:v>97.606073809581417</c:v>
                </c:pt>
                <c:pt idx="498">
                  <c:v>97.43917691453116</c:v>
                </c:pt>
                <c:pt idx="499">
                  <c:v>97.275859174117869</c:v>
                </c:pt>
                <c:pt idx="500">
                  <c:v>97.116049161023028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800192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0192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30.295589365932347</c:v>
                </c:pt>
                <c:pt idx="1">
                  <c:v>30.295580047044549</c:v>
                </c:pt>
                <c:pt idx="2">
                  <c:v>30.295570300214912</c:v>
                </c:pt>
                <c:pt idx="3">
                  <c:v>30.295560105792759</c:v>
                </c:pt>
                <c:pt idx="4">
                  <c:v>30.295549443224768</c:v>
                </c:pt>
                <c:pt idx="5">
                  <c:v>30.295538291014136</c:v>
                </c:pt>
                <c:pt idx="6">
                  <c:v>30.29552662667701</c:v>
                </c:pt>
                <c:pt idx="7">
                  <c:v>30.295514426697302</c:v>
                </c:pt>
                <c:pt idx="8">
                  <c:v>30.295501666479101</c:v>
                </c:pt>
                <c:pt idx="9">
                  <c:v>30.295488320297306</c:v>
                </c:pt>
                <c:pt idx="10">
                  <c:v>30.295474361245816</c:v>
                </c:pt>
                <c:pt idx="11">
                  <c:v>30.295459761183157</c:v>
                </c:pt>
                <c:pt idx="12">
                  <c:v>30.295444490675827</c:v>
                </c:pt>
                <c:pt idx="13">
                  <c:v>30.295428518939111</c:v>
                </c:pt>
                <c:pt idx="14">
                  <c:v>30.295411813774997</c:v>
                </c:pt>
                <c:pt idx="15">
                  <c:v>30.295394341507375</c:v>
                </c:pt>
                <c:pt idx="16">
                  <c:v>30.295376066913818</c:v>
                </c:pt>
                <c:pt idx="17">
                  <c:v>30.295356953155363</c:v>
                </c:pt>
                <c:pt idx="18">
                  <c:v>30.295336961701636</c:v>
                </c:pt>
                <c:pt idx="19">
                  <c:v>30.295316052253732</c:v>
                </c:pt>
                <c:pt idx="20">
                  <c:v>30.295294182662676</c:v>
                </c:pt>
                <c:pt idx="21">
                  <c:v>30.295271308844598</c:v>
                </c:pt>
                <c:pt idx="22">
                  <c:v>30.295247384692352</c:v>
                </c:pt>
                <c:pt idx="23">
                  <c:v>30.295222361982226</c:v>
                </c:pt>
                <c:pt idx="24">
                  <c:v>30.29519619027711</c:v>
                </c:pt>
                <c:pt idx="25">
                  <c:v>30.295168816824681</c:v>
                </c:pt>
                <c:pt idx="26">
                  <c:v>30.295140186451501</c:v>
                </c:pt>
                <c:pt idx="27">
                  <c:v>30.295110241451862</c:v>
                </c:pt>
                <c:pt idx="28">
                  <c:v>30.295078921471482</c:v>
                </c:pt>
                <c:pt idx="29">
                  <c:v>30.295046163386267</c:v>
                </c:pt>
                <c:pt idx="30">
                  <c:v>30.295011901174949</c:v>
                </c:pt>
                <c:pt idx="31">
                  <c:v>30.294976065786678</c:v>
                </c:pt>
                <c:pt idx="32">
                  <c:v>30.294938585001674</c:v>
                </c:pt>
                <c:pt idx="33">
                  <c:v>30.294899383286168</c:v>
                </c:pt>
                <c:pt idx="34">
                  <c:v>30.294858381640218</c:v>
                </c:pt>
                <c:pt idx="35">
                  <c:v>30.294815497439096</c:v>
                </c:pt>
                <c:pt idx="36">
                  <c:v>30.29477064426689</c:v>
                </c:pt>
                <c:pt idx="37">
                  <c:v>30.294723731742806</c:v>
                </c:pt>
                <c:pt idx="38">
                  <c:v>30.294674665339109</c:v>
                </c:pt>
                <c:pt idx="39">
                  <c:v>30.29462334619188</c:v>
                </c:pt>
                <c:pt idx="40">
                  <c:v>30.294569670901264</c:v>
                </c:pt>
                <c:pt idx="41">
                  <c:v>30.294513531324284</c:v>
                </c:pt>
                <c:pt idx="42">
                  <c:v>30.294454814357326</c:v>
                </c:pt>
                <c:pt idx="43">
                  <c:v>30.294393401708803</c:v>
                </c:pt>
                <c:pt idx="44">
                  <c:v>30.294329169661669</c:v>
                </c:pt>
                <c:pt idx="45">
                  <c:v>30.294261988824807</c:v>
                </c:pt>
                <c:pt idx="46">
                  <c:v>30.294191723872714</c:v>
                </c:pt>
                <c:pt idx="47">
                  <c:v>30.294118233274805</c:v>
                </c:pt>
                <c:pt idx="48">
                  <c:v>30.29404136901023</c:v>
                </c:pt>
                <c:pt idx="49">
                  <c:v>30.293960976271133</c:v>
                </c:pt>
                <c:pt idx="50">
                  <c:v>30.293876893152344</c:v>
                </c:pt>
                <c:pt idx="51">
                  <c:v>30.29378895032589</c:v>
                </c:pt>
                <c:pt idx="52">
                  <c:v>30.293696970701816</c:v>
                </c:pt>
                <c:pt idx="53">
                  <c:v>30.293600769072604</c:v>
                </c:pt>
                <c:pt idx="54">
                  <c:v>30.293500151742343</c:v>
                </c:pt>
                <c:pt idx="55">
                  <c:v>30.29339491613824</c:v>
                </c:pt>
                <c:pt idx="56">
                  <c:v>30.293284850404504</c:v>
                </c:pt>
                <c:pt idx="57">
                  <c:v>30.293169732978249</c:v>
                </c:pt>
                <c:pt idx="58">
                  <c:v>30.293049332145387</c:v>
                </c:pt>
                <c:pt idx="59">
                  <c:v>30.292923405577234</c:v>
                </c:pt>
                <c:pt idx="60">
                  <c:v>30.292791699845214</c:v>
                </c:pt>
                <c:pt idx="61">
                  <c:v>30.292653949913486</c:v>
                </c:pt>
                <c:pt idx="62">
                  <c:v>30.292509878609529</c:v>
                </c:pt>
                <c:pt idx="63">
                  <c:v>30.292359196069697</c:v>
                </c:pt>
                <c:pt idx="64">
                  <c:v>30.292201599159668</c:v>
                </c:pt>
                <c:pt idx="65">
                  <c:v>30.292036770869402</c:v>
                </c:pt>
                <c:pt idx="66">
                  <c:v>30.29186437967974</c:v>
                </c:pt>
                <c:pt idx="67">
                  <c:v>30.291684078900936</c:v>
                </c:pt>
                <c:pt idx="68">
                  <c:v>30.291495505980805</c:v>
                </c:pt>
                <c:pt idx="69">
                  <c:v>30.291298281782165</c:v>
                </c:pt>
                <c:pt idx="70">
                  <c:v>30.291092009826947</c:v>
                </c:pt>
                <c:pt idx="71">
                  <c:v>30.290876275506605</c:v>
                </c:pt>
                <c:pt idx="72">
                  <c:v>30.290650645256598</c:v>
                </c:pt>
                <c:pt idx="73">
                  <c:v>30.290414665694051</c:v>
                </c:pt>
                <c:pt idx="74">
                  <c:v>30.290167862716039</c:v>
                </c:pt>
                <c:pt idx="75">
                  <c:v>30.289909740557643</c:v>
                </c:pt>
                <c:pt idx="76">
                  <c:v>30.289639780807448</c:v>
                </c:pt>
                <c:pt idx="77">
                  <c:v>30.289357441379202</c:v>
                </c:pt>
                <c:pt idx="78">
                  <c:v>30.289062155436341</c:v>
                </c:pt>
                <c:pt idx="79">
                  <c:v>30.288753330269458</c:v>
                </c:pt>
                <c:pt idx="80">
                  <c:v>30.28843034612273</c:v>
                </c:pt>
                <c:pt idx="81">
                  <c:v>30.288092554968244</c:v>
                </c:pt>
                <c:pt idx="82">
                  <c:v>30.287739279225136</c:v>
                </c:pt>
                <c:pt idx="83">
                  <c:v>30.28736981042206</c:v>
                </c:pt>
                <c:pt idx="84">
                  <c:v>30.286983407799262</c:v>
                </c:pt>
                <c:pt idx="85">
                  <c:v>30.286579296849769</c:v>
                </c:pt>
                <c:pt idx="86">
                  <c:v>30.286156667794089</c:v>
                </c:pt>
                <c:pt idx="87">
                  <c:v>30.285714673988771</c:v>
                </c:pt>
                <c:pt idx="88">
                  <c:v>30.285252430263256</c:v>
                </c:pt>
                <c:pt idx="89">
                  <c:v>30.284769011184022</c:v>
                </c:pt>
                <c:pt idx="90">
                  <c:v>30.284263449241475</c:v>
                </c:pt>
                <c:pt idx="91">
                  <c:v>30.283734732957601</c:v>
                </c:pt>
                <c:pt idx="92">
                  <c:v>30.283181804909695</c:v>
                </c:pt>
                <c:pt idx="93">
                  <c:v>30.282603559667916</c:v>
                </c:pt>
                <c:pt idx="94">
                  <c:v>30.281998841641947</c:v>
                </c:pt>
                <c:pt idx="95">
                  <c:v>30.28136644283471</c:v>
                </c:pt>
                <c:pt idx="96">
                  <c:v>30.280705100496476</c:v>
                </c:pt>
                <c:pt idx="97">
                  <c:v>30.280013494678553</c:v>
                </c:pt>
                <c:pt idx="98">
                  <c:v>30.279290245680105</c:v>
                </c:pt>
                <c:pt idx="99">
                  <c:v>30.278533911384422</c:v>
                </c:pt>
                <c:pt idx="100">
                  <c:v>30.277742984481179</c:v>
                </c:pt>
                <c:pt idx="101">
                  <c:v>30.276915889568258</c:v>
                </c:pt>
                <c:pt idx="102">
                  <c:v>30.276050980130126</c:v>
                </c:pt>
                <c:pt idx="103">
                  <c:v>30.275146535386895</c:v>
                </c:pt>
                <c:pt idx="104">
                  <c:v>30.27420075700951</c:v>
                </c:pt>
                <c:pt idx="105">
                  <c:v>30.27321176569497</c:v>
                </c:pt>
                <c:pt idx="106">
                  <c:v>30.272177597598628</c:v>
                </c:pt>
                <c:pt idx="107">
                  <c:v>30.271096200614018</c:v>
                </c:pt>
                <c:pt idx="108">
                  <c:v>30.269965430499482</c:v>
                </c:pt>
                <c:pt idx="109">
                  <c:v>30.268783046841364</c:v>
                </c:pt>
                <c:pt idx="110">
                  <c:v>30.267546708850976</c:v>
                </c:pt>
                <c:pt idx="111">
                  <c:v>30.266253970987901</c:v>
                </c:pt>
                <c:pt idx="112">
                  <c:v>30.264902278403273</c:v>
                </c:pt>
                <c:pt idx="113">
                  <c:v>30.263488962197741</c:v>
                </c:pt>
                <c:pt idx="114">
                  <c:v>30.262011234486714</c:v>
                </c:pt>
                <c:pt idx="115">
                  <c:v>30.260466183266818</c:v>
                </c:pt>
                <c:pt idx="116">
                  <c:v>30.258850767076705</c:v>
                </c:pt>
                <c:pt idx="117">
                  <c:v>30.257161809446536</c:v>
                </c:pt>
                <c:pt idx="118">
                  <c:v>30.255395993126989</c:v>
                </c:pt>
                <c:pt idx="119">
                  <c:v>30.253549854093691</c:v>
                </c:pt>
                <c:pt idx="120">
                  <c:v>30.251619775318346</c:v>
                </c:pt>
                <c:pt idx="121">
                  <c:v>30.249601980301005</c:v>
                </c:pt>
                <c:pt idx="122">
                  <c:v>30.24749252635473</c:v>
                </c:pt>
                <c:pt idx="123">
                  <c:v>30.245287297638491</c:v>
                </c:pt>
                <c:pt idx="124">
                  <c:v>30.242981997929203</c:v>
                </c:pt>
                <c:pt idx="125">
                  <c:v>30.240572143127373</c:v>
                </c:pt>
                <c:pt idx="126">
                  <c:v>30.238053053489939</c:v>
                </c:pt>
                <c:pt idx="127">
                  <c:v>30.235419845583323</c:v>
                </c:pt>
                <c:pt idx="128">
                  <c:v>30.232667423952041</c:v>
                </c:pt>
                <c:pt idx="129">
                  <c:v>30.229790472494919</c:v>
                </c:pt>
                <c:pt idx="130">
                  <c:v>30.226783445546236</c:v>
                </c:pt>
                <c:pt idx="131">
                  <c:v>30.223640558653901</c:v>
                </c:pt>
                <c:pt idx="132">
                  <c:v>30.220355779052859</c:v>
                </c:pt>
                <c:pt idx="133">
                  <c:v>30.21692281582796</c:v>
                </c:pt>
                <c:pt idx="134">
                  <c:v>30.213335109763676</c:v>
                </c:pt>
                <c:pt idx="135">
                  <c:v>30.209585822878072</c:v>
                </c:pt>
                <c:pt idx="136">
                  <c:v>30.205667827639346</c:v>
                </c:pt>
                <c:pt idx="137">
                  <c:v>30.201573695863662</c:v>
                </c:pt>
                <c:pt idx="138">
                  <c:v>30.19729568729565</c:v>
                </c:pt>
                <c:pt idx="139">
                  <c:v>30.192825737871154</c:v>
                </c:pt>
                <c:pt idx="140">
                  <c:v>30.188155447667391</c:v>
                </c:pt>
                <c:pt idx="141">
                  <c:v>30.183276068542174</c:v>
                </c:pt>
                <c:pt idx="142">
                  <c:v>30.178178491469964</c:v>
                </c:pt>
                <c:pt idx="143">
                  <c:v>30.172853233581115</c:v>
                </c:pt>
                <c:pt idx="144">
                  <c:v>30.167290424914182</c:v>
                </c:pt>
                <c:pt idx="145">
                  <c:v>30.161479794893467</c:v>
                </c:pt>
                <c:pt idx="146">
                  <c:v>30.155410658543822</c:v>
                </c:pt>
                <c:pt idx="147">
                  <c:v>30.149071902462161</c:v>
                </c:pt>
                <c:pt idx="148">
                  <c:v>30.142451970561609</c:v>
                </c:pt>
                <c:pt idx="149">
                  <c:v>30.135538849612477</c:v>
                </c:pt>
                <c:pt idx="150">
                  <c:v>30.128320054604881</c:v>
                </c:pt>
                <c:pt idx="151">
                  <c:v>30.120782613961381</c:v>
                </c:pt>
                <c:pt idx="152">
                  <c:v>30.112913054632131</c:v>
                </c:pt>
                <c:pt idx="153">
                  <c:v>30.104697387109553</c:v>
                </c:pt>
                <c:pt idx="154">
                  <c:v>30.096121090401681</c:v>
                </c:pt>
                <c:pt idx="155">
                  <c:v>30.087169097010865</c:v>
                </c:pt>
                <c:pt idx="156">
                  <c:v>30.077825777966531</c:v>
                </c:pt>
                <c:pt idx="157">
                  <c:v>30.06807492796705</c:v>
                </c:pt>
                <c:pt idx="158">
                  <c:v>30.057899750690858</c:v>
                </c:pt>
                <c:pt idx="159">
                  <c:v>30.047282844342575</c:v>
                </c:pt>
                <c:pt idx="160">
                  <c:v>30.036206187505606</c:v>
                </c:pt>
                <c:pt idx="161">
                  <c:v>30.024651125377744</c:v>
                </c:pt>
                <c:pt idx="162">
                  <c:v>30.012598356475777</c:v>
                </c:pt>
                <c:pt idx="163">
                  <c:v>30.000027919896656</c:v>
                </c:pt>
                <c:pt idx="164">
                  <c:v>29.986919183233788</c:v>
                </c:pt>
                <c:pt idx="165">
                  <c:v>29.973250831251899</c:v>
                </c:pt>
                <c:pt idx="166">
                  <c:v>29.959000855430361</c:v>
                </c:pt>
                <c:pt idx="167">
                  <c:v>29.944146544492639</c:v>
                </c:pt>
                <c:pt idx="168">
                  <c:v>29.928664476046979</c:v>
                </c:pt>
                <c:pt idx="169">
                  <c:v>29.912530509467608</c:v>
                </c:pt>
                <c:pt idx="170">
                  <c:v>29.895719780156472</c:v>
                </c:pt>
                <c:pt idx="171">
                  <c:v>29.878206695327712</c:v>
                </c:pt>
                <c:pt idx="172">
                  <c:v>29.859964931466614</c:v>
                </c:pt>
                <c:pt idx="173">
                  <c:v>29.840967433617919</c:v>
                </c:pt>
                <c:pt idx="174">
                  <c:v>29.821186416665483</c:v>
                </c:pt>
                <c:pt idx="175">
                  <c:v>29.800593368767867</c:v>
                </c:pt>
                <c:pt idx="176">
                  <c:v>29.779159057119905</c:v>
                </c:pt>
                <c:pt idx="177">
                  <c:v>29.756853536210834</c:v>
                </c:pt>
                <c:pt idx="178">
                  <c:v>29.733646158753633</c:v>
                </c:pt>
                <c:pt idx="179">
                  <c:v>29.709505589458395</c:v>
                </c:pt>
                <c:pt idx="180">
                  <c:v>29.68439982182279</c:v>
                </c:pt>
                <c:pt idx="181">
                  <c:v>29.658296198109234</c:v>
                </c:pt>
                <c:pt idx="182">
                  <c:v>29.631161432675057</c:v>
                </c:pt>
                <c:pt idx="183">
                  <c:v>29.60296163881322</c:v>
                </c:pt>
                <c:pt idx="184">
                  <c:v>29.573662359257202</c:v>
                </c:pt>
                <c:pt idx="185">
                  <c:v>29.543228600487303</c:v>
                </c:pt>
                <c:pt idx="186">
                  <c:v>29.511624870967776</c:v>
                </c:pt>
                <c:pt idx="187">
                  <c:v>29.478815223425805</c:v>
                </c:pt>
                <c:pt idx="188">
                  <c:v>29.444763301265628</c:v>
                </c:pt>
                <c:pt idx="189">
                  <c:v>29.409432389192354</c:v>
                </c:pt>
                <c:pt idx="190">
                  <c:v>29.372785468092914</c:v>
                </c:pt>
                <c:pt idx="191">
                  <c:v>29.334785274199881</c:v>
                </c:pt>
                <c:pt idx="192">
                  <c:v>29.295394362530494</c:v>
                </c:pt>
                <c:pt idx="193">
                  <c:v>29.254575174566252</c:v>
                </c:pt>
                <c:pt idx="194">
                  <c:v>29.212290110099453</c:v>
                </c:pt>
                <c:pt idx="195">
                  <c:v>29.168501603142076</c:v>
                </c:pt>
                <c:pt idx="196">
                  <c:v>29.12317220174911</c:v>
                </c:pt>
                <c:pt idx="197">
                  <c:v>29.076264651571918</c:v>
                </c:pt>
                <c:pt idx="198">
                  <c:v>29.027741982912659</c:v>
                </c:pt>
                <c:pt idx="199">
                  <c:v>28.977567601010612</c:v>
                </c:pt>
                <c:pt idx="200">
                  <c:v>28.925705379246459</c:v>
                </c:pt>
                <c:pt idx="201">
                  <c:v>28.872119754907267</c:v>
                </c:pt>
                <c:pt idx="202">
                  <c:v>28.816775827113034</c:v>
                </c:pt>
                <c:pt idx="203">
                  <c:v>28.759639456464573</c:v>
                </c:pt>
                <c:pt idx="204">
                  <c:v>28.700677365930893</c:v>
                </c:pt>
                <c:pt idx="205">
                  <c:v>28.639857242459431</c:v>
                </c:pt>
                <c:pt idx="206">
                  <c:v>28.577147838757785</c:v>
                </c:pt>
                <c:pt idx="207">
                  <c:v>28.512519074664642</c:v>
                </c:pt>
                <c:pt idx="208">
                  <c:v>28.445942137505988</c:v>
                </c:pt>
                <c:pt idx="209">
                  <c:v>28.377389580807453</c:v>
                </c:pt>
                <c:pt idx="210">
                  <c:v>28.306835420725314</c:v>
                </c:pt>
                <c:pt idx="211">
                  <c:v>28.234255229547294</c:v>
                </c:pt>
                <c:pt idx="212">
                  <c:v>28.159626225614687</c:v>
                </c:pt>
                <c:pt idx="213">
                  <c:v>28.082927359025994</c:v>
                </c:pt>
                <c:pt idx="214">
                  <c:v>28.004139392493212</c:v>
                </c:pt>
                <c:pt idx="215">
                  <c:v>27.923244976746386</c:v>
                </c:pt>
                <c:pt idx="216">
                  <c:v>27.840228719910151</c:v>
                </c:pt>
                <c:pt idx="217">
                  <c:v>27.75507725031386</c:v>
                </c:pt>
                <c:pt idx="218">
                  <c:v>27.667779272240093</c:v>
                </c:pt>
                <c:pt idx="219">
                  <c:v>27.578325614167788</c:v>
                </c:pt>
                <c:pt idx="220">
                  <c:v>27.486709269123967</c:v>
                </c:pt>
                <c:pt idx="221">
                  <c:v>27.39292542681849</c:v>
                </c:pt>
                <c:pt idx="222">
                  <c:v>27.296971497306394</c:v>
                </c:pt>
                <c:pt idx="223">
                  <c:v>27.198847125990756</c:v>
                </c:pt>
                <c:pt idx="224">
                  <c:v>27.098554199854412</c:v>
                </c:pt>
                <c:pt idx="225">
                  <c:v>26.996096844882874</c:v>
                </c:pt>
                <c:pt idx="226">
                  <c:v>26.891481414718832</c:v>
                </c:pt>
                <c:pt idx="227">
                  <c:v>26.784716470661554</c:v>
                </c:pt>
                <c:pt idx="228">
                  <c:v>26.675812753199629</c:v>
                </c:pt>
                <c:pt idx="229">
                  <c:v>26.564783145337451</c:v>
                </c:pt>
                <c:pt idx="230">
                  <c:v>26.451642628041657</c:v>
                </c:pt>
                <c:pt idx="231">
                  <c:v>26.336408228197268</c:v>
                </c:pt>
                <c:pt idx="232">
                  <c:v>26.219098959521261</c:v>
                </c:pt>
                <c:pt idx="233">
                  <c:v>26.099735756931608</c:v>
                </c:pt>
                <c:pt idx="234">
                  <c:v>25.978341404914289</c:v>
                </c:pt>
                <c:pt idx="235">
                  <c:v>25.854940460470253</c:v>
                </c:pt>
                <c:pt idx="236">
                  <c:v>25.729559171250958</c:v>
                </c:pt>
                <c:pt idx="237">
                  <c:v>25.602225389515606</c:v>
                </c:pt>
                <c:pt idx="238">
                  <c:v>25.472968482558066</c:v>
                </c:pt>
                <c:pt idx="239">
                  <c:v>25.341819240256683</c:v>
                </c:pt>
                <c:pt idx="240">
                  <c:v>25.208809780402056</c:v>
                </c:pt>
                <c:pt idx="241">
                  <c:v>25.073973452449799</c:v>
                </c:pt>
                <c:pt idx="242">
                  <c:v>24.937344740332325</c:v>
                </c:pt>
                <c:pt idx="243">
                  <c:v>24.798959164942424</c:v>
                </c:pt>
                <c:pt idx="244">
                  <c:v>24.658853186879664</c:v>
                </c:pt>
                <c:pt idx="245">
                  <c:v>24.517064110019451</c:v>
                </c:pt>
                <c:pt idx="246">
                  <c:v>24.37362998642929</c:v>
                </c:pt>
                <c:pt idx="247">
                  <c:v>24.228589523123564</c:v>
                </c:pt>
                <c:pt idx="248">
                  <c:v>24.081981991106844</c:v>
                </c:pt>
                <c:pt idx="249">
                  <c:v>23.933847137114142</c:v>
                </c:pt>
                <c:pt idx="250">
                  <c:v>23.78422509841339</c:v>
                </c:pt>
                <c:pt idx="251">
                  <c:v>23.633156320996761</c:v>
                </c:pt>
                <c:pt idx="252">
                  <c:v>23.480681481436481</c:v>
                </c:pt>
                <c:pt idx="253">
                  <c:v>23.326841412645457</c:v>
                </c:pt>
                <c:pt idx="254">
                  <c:v>23.171677033738092</c:v>
                </c:pt>
                <c:pt idx="255">
                  <c:v>23.015229284145249</c:v>
                </c:pt>
                <c:pt idx="256">
                  <c:v>22.857539062101768</c:v>
                </c:pt>
                <c:pt idx="257">
                  <c:v>22.698647167586561</c:v>
                </c:pt>
                <c:pt idx="258">
                  <c:v>22.53859424976142</c:v>
                </c:pt>
                <c:pt idx="259">
                  <c:v>22.377420758924295</c:v>
                </c:pt>
                <c:pt idx="260">
                  <c:v>22.215166902960718</c:v>
                </c:pt>
                <c:pt idx="261">
                  <c:v>22.05187260825468</c:v>
                </c:pt>
                <c:pt idx="262">
                  <c:v>21.887577484994392</c:v>
                </c:pt>
                <c:pt idx="263">
                  <c:v>21.722320796785404</c:v>
                </c:pt>
                <c:pt idx="264">
                  <c:v>21.556141434470199</c:v>
                </c:pt>
                <c:pt idx="265">
                  <c:v>21.389077894033178</c:v>
                </c:pt>
                <c:pt idx="266">
                  <c:v>21.221168258458157</c:v>
                </c:pt>
                <c:pt idx="267">
                  <c:v>21.052450183394829</c:v>
                </c:pt>
                <c:pt idx="268">
                  <c:v>20.882960886480735</c:v>
                </c:pt>
                <c:pt idx="269">
                  <c:v>20.712737140160328</c:v>
                </c:pt>
                <c:pt idx="270">
                  <c:v>20.541815267835464</c:v>
                </c:pt>
                <c:pt idx="271">
                  <c:v>20.370231143178252</c:v>
                </c:pt>
                <c:pt idx="272">
                  <c:v>20.198020192439191</c:v>
                </c:pt>
                <c:pt idx="273">
                  <c:v>20.025217399577539</c:v>
                </c:pt>
                <c:pt idx="274">
                  <c:v>19.851857314046242</c:v>
                </c:pt>
                <c:pt idx="275">
                  <c:v>19.677974061060578</c:v>
                </c:pt>
                <c:pt idx="276">
                  <c:v>19.503601354188614</c:v>
                </c:pt>
                <c:pt idx="277">
                  <c:v>19.328772510098617</c:v>
                </c:pt>
                <c:pt idx="278">
                  <c:v>19.153520465303945</c:v>
                </c:pt>
                <c:pt idx="279">
                  <c:v>18.977877794754722</c:v>
                </c:pt>
                <c:pt idx="280">
                  <c:v>18.801876732121052</c:v>
                </c:pt>
                <c:pt idx="281">
                  <c:v>18.62554919162671</c:v>
                </c:pt>
                <c:pt idx="282">
                  <c:v>18.44892679128926</c:v>
                </c:pt>
                <c:pt idx="283">
                  <c:v>18.272040877432193</c:v>
                </c:pt>
                <c:pt idx="284">
                  <c:v>18.094922550336673</c:v>
                </c:pt>
                <c:pt idx="285">
                  <c:v>17.917602690905191</c:v>
                </c:pt>
                <c:pt idx="286">
                  <c:v>17.740111988214231</c:v>
                </c:pt>
                <c:pt idx="287">
                  <c:v>17.562480967836265</c:v>
                </c:pt>
                <c:pt idx="288">
                  <c:v>17.384740020814636</c:v>
                </c:pt>
                <c:pt idx="289">
                  <c:v>17.206919433177994</c:v>
                </c:pt>
                <c:pt idx="290">
                  <c:v>17.029049415884128</c:v>
                </c:pt>
                <c:pt idx="291">
                  <c:v>16.851160135083738</c:v>
                </c:pt>
                <c:pt idx="292">
                  <c:v>16.67328174259746</c:v>
                </c:pt>
                <c:pt idx="293">
                  <c:v>16.495444406499445</c:v>
                </c:pt>
                <c:pt idx="294">
                  <c:v>16.317678341702958</c:v>
                </c:pt>
                <c:pt idx="295">
                  <c:v>16.14001384044014</c:v>
                </c:pt>
                <c:pt idx="296">
                  <c:v>15.962481302532565</c:v>
                </c:pt>
                <c:pt idx="297">
                  <c:v>15.785111265341712</c:v>
                </c:pt>
                <c:pt idx="298">
                  <c:v>15.60793443329336</c:v>
                </c:pt>
                <c:pt idx="299">
                  <c:v>15.430981706862338</c:v>
                </c:pt>
                <c:pt idx="300">
                  <c:v>15.254284210905499</c:v>
                </c:pt>
                <c:pt idx="301">
                  <c:v>15.077873322224526</c:v>
                </c:pt>
                <c:pt idx="302">
                  <c:v>14.901780696239879</c:v>
                </c:pt>
                <c:pt idx="303">
                  <c:v>14.726038292649907</c:v>
                </c:pt>
                <c:pt idx="304">
                  <c:v>14.550678399949151</c:v>
                </c:pt>
                <c:pt idx="305">
                  <c:v>14.37573365867128</c:v>
                </c:pt>
                <c:pt idx="306">
                  <c:v>14.201237083221157</c:v>
                </c:pt>
                <c:pt idx="307">
                  <c:v>14.027222082153692</c:v>
                </c:pt>
                <c:pt idx="308">
                  <c:v>13.853722476754047</c:v>
                </c:pt>
                <c:pt idx="309">
                  <c:v>13.680772517768363</c:v>
                </c:pt>
                <c:pt idx="310">
                  <c:v>13.5084069001306</c:v>
                </c:pt>
                <c:pt idx="311">
                  <c:v>13.336660775526353</c:v>
                </c:pt>
                <c:pt idx="312">
                  <c:v>13.165569762632884</c:v>
                </c:pt>
                <c:pt idx="313">
                  <c:v>12.995169954868837</c:v>
                </c:pt>
                <c:pt idx="314">
                  <c:v>12.825497925488962</c:v>
                </c:pt>
                <c:pt idx="315">
                  <c:v>12.656590729853512</c:v>
                </c:pt>
                <c:pt idx="316">
                  <c:v>12.488485904706668</c:v>
                </c:pt>
                <c:pt idx="317">
                  <c:v>12.321221464294103</c:v>
                </c:pt>
                <c:pt idx="318">
                  <c:v>12.154835893158955</c:v>
                </c:pt>
                <c:pt idx="319">
                  <c:v>11.989368135451349</c:v>
                </c:pt>
                <c:pt idx="320">
                  <c:v>11.824857580601982</c:v>
                </c:pt>
                <c:pt idx="321">
                  <c:v>11.661344045208033</c:v>
                </c:pt>
                <c:pt idx="322">
                  <c:v>11.498867750999009</c:v>
                </c:pt>
                <c:pt idx="323">
                  <c:v>11.337469298753655</c:v>
                </c:pt>
                <c:pt idx="324">
                  <c:v>11.177189638061868</c:v>
                </c:pt>
                <c:pt idx="325">
                  <c:v>11.018070032833247</c:v>
                </c:pt>
                <c:pt idx="326">
                  <c:v>10.860152022483561</c:v>
                </c:pt>
                <c:pt idx="327">
                  <c:v>10.703477378743727</c:v>
                </c:pt>
                <c:pt idx="328">
                  <c:v>10.548088058066362</c:v>
                </c:pt>
                <c:pt idx="329">
                  <c:v>10.394026149629845</c:v>
                </c:pt>
                <c:pt idx="330">
                  <c:v>10.241333818972294</c:v>
                </c:pt>
                <c:pt idx="331">
                  <c:v>10.090053247319013</c:v>
                </c:pt>
                <c:pt idx="332">
                  <c:v>9.9402265667021812</c:v>
                </c:pt>
                <c:pt idx="333">
                  <c:v>9.7918957910096474</c:v>
                </c:pt>
                <c:pt idx="334">
                  <c:v>9.6451027431417966</c:v>
                </c:pt>
                <c:pt idx="335">
                  <c:v>9.4998889784887499</c:v>
                </c:pt>
                <c:pt idx="336">
                  <c:v>9.3562957049938849</c:v>
                </c:pt>
                <c:pt idx="337">
                  <c:v>9.2143637001021954</c:v>
                </c:pt>
                <c:pt idx="338">
                  <c:v>9.0741332249424804</c:v>
                </c:pt>
                <c:pt idx="339">
                  <c:v>8.9356439361333493</c:v>
                </c:pt>
                <c:pt idx="340">
                  <c:v>8.798934795644028</c:v>
                </c:pt>
                <c:pt idx="341">
                  <c:v>8.66404397918682</c:v>
                </c:pt>
                <c:pt idx="342">
                  <c:v>8.5310087836505328</c:v>
                </c:pt>
                <c:pt idx="343">
                  <c:v>8.3998655341254054</c:v>
                </c:pt>
                <c:pt idx="344">
                  <c:v>8.2706494911013824</c:v>
                </c:pt>
                <c:pt idx="345">
                  <c:v>8.1433947584469468</c:v>
                </c:pt>
                <c:pt idx="346">
                  <c:v>8.0181341928042276</c:v>
                </c:pt>
                <c:pt idx="347">
                  <c:v>7.8948993150498872</c:v>
                </c:pt>
                <c:pt idx="348">
                  <c:v>7.7737202244834549</c:v>
                </c:pt>
                <c:pt idx="349">
                  <c:v>7.6546255164137031</c:v>
                </c:pt>
                <c:pt idx="350">
                  <c:v>7.5376422038054445</c:v>
                </c:pt>
                <c:pt idx="351">
                  <c:v>7.4227956436457179</c:v>
                </c:pt>
                <c:pt idx="352">
                  <c:v>7.3101094686685375</c:v>
                </c:pt>
                <c:pt idx="353">
                  <c:v>7.1996055250522328</c:v>
                </c:pt>
                <c:pt idx="354">
                  <c:v>7.0913038166750439</c:v>
                </c:pt>
                <c:pt idx="355">
                  <c:v>6.9852224564711927</c:v>
                </c:pt>
                <c:pt idx="356">
                  <c:v>6.8813776253855359</c:v>
                </c:pt>
                <c:pt idx="357">
                  <c:v>6.7797835393739083</c:v>
                </c:pt>
                <c:pt idx="358">
                  <c:v>6.68045242483264</c:v>
                </c:pt>
                <c:pt idx="359">
                  <c:v>6.5833945027835528</c:v>
                </c:pt>
                <c:pt idx="360">
                  <c:v>6.4886179820678569</c:v>
                </c:pt>
                <c:pt idx="361">
                  <c:v>6.3961290617338893</c:v>
                </c:pt>
                <c:pt idx="362">
                  <c:v>6.305931942729516</c:v>
                </c:pt>
                <c:pt idx="363">
                  <c:v>6.2180288489357602</c:v>
                </c:pt>
                <c:pt idx="364">
                  <c:v>6.1324200575055201</c:v>
                </c:pt>
                <c:pt idx="365">
                  <c:v>6.0491039383931398</c:v>
                </c:pt>
                <c:pt idx="366">
                  <c:v>5.9680770028959031</c:v>
                </c:pt>
                <c:pt idx="367">
                  <c:v>5.8893339609558115</c:v>
                </c:pt>
                <c:pt idx="368">
                  <c:v>5.8128677869086811</c:v>
                </c:pt>
                <c:pt idx="369">
                  <c:v>5.7386697933069852</c:v>
                </c:pt>
                <c:pt idx="370">
                  <c:v>5.6667297123940923</c:v>
                </c:pt>
                <c:pt idx="371">
                  <c:v>5.5970357847565753</c:v>
                </c:pt>
                <c:pt idx="372">
                  <c:v>5.5295748546462473</c:v>
                </c:pt>
                <c:pt idx="373">
                  <c:v>5.4643324714289125</c:v>
                </c:pt>
                <c:pt idx="374">
                  <c:v>5.4012929965966494</c:v>
                </c:pt>
                <c:pt idx="375">
                  <c:v>5.3404397157594543</c:v>
                </c:pt>
                <c:pt idx="376">
                  <c:v>5.2817549550311584</c:v>
                </c:pt>
                <c:pt idx="377">
                  <c:v>5.2252202012138751</c:v>
                </c:pt>
                <c:pt idx="378">
                  <c:v>5.1708162252037653</c:v>
                </c:pt>
                <c:pt idx="379">
                  <c:v>5.1185232080446603</c:v>
                </c:pt>
                <c:pt idx="380">
                  <c:v>5.068320869083629</c:v>
                </c:pt>
                <c:pt idx="381">
                  <c:v>5.0201885957055392</c:v>
                </c:pt>
                <c:pt idx="382">
                  <c:v>4.9741055741534144</c:v>
                </c:pt>
                <c:pt idx="383">
                  <c:v>4.9300509209860399</c:v>
                </c:pt>
                <c:pt idx="384">
                  <c:v>4.8880038147539686</c:v>
                </c:pt>
                <c:pt idx="385">
                  <c:v>4.8479436275287888</c:v>
                </c:pt>
                <c:pt idx="386">
                  <c:v>4.8098500559600001</c:v>
                </c:pt>
                <c:pt idx="387">
                  <c:v>4.7737032515875324</c:v>
                </c:pt>
                <c:pt idx="388">
                  <c:v>4.7394839501860142</c:v>
                </c:pt>
                <c:pt idx="389">
                  <c:v>4.707173599967617</c:v>
                </c:pt>
                <c:pt idx="390">
                  <c:v>4.6767544885232928</c:v>
                </c:pt>
                <c:pt idx="391">
                  <c:v>4.6482098684326463</c:v>
                </c:pt>
                <c:pt idx="392">
                  <c:v>4.6215240815232441</c:v>
                </c:pt>
                <c:pt idx="393">
                  <c:v>4.5966826818105568</c:v>
                </c:pt>
                <c:pt idx="394">
                  <c:v>4.5736725571986554</c:v>
                </c:pt>
                <c:pt idx="395">
                  <c:v>4.5524820500686953</c:v>
                </c:pt>
                <c:pt idx="396">
                  <c:v>4.5331010769274025</c:v>
                </c:pt>
                <c:pt idx="397">
                  <c:v>4.5155212473336084</c:v>
                </c:pt>
                <c:pt idx="398">
                  <c:v>4.4997359823606189</c:v>
                </c:pt>
                <c:pt idx="399">
                  <c:v>4.4857406328959879</c:v>
                </c:pt>
                <c:pt idx="400">
                  <c:v>4.4735325981151544</c:v>
                </c:pt>
                <c:pt idx="401">
                  <c:v>4.463111444506052</c:v>
                </c:pt>
                <c:pt idx="402">
                  <c:v>4.4544790258552531</c:v>
                </c:pt>
                <c:pt idx="403">
                  <c:v>4.4476396046407549</c:v>
                </c:pt>
                <c:pt idx="404">
                  <c:v>4.4425999753086352</c:v>
                </c:pt>
                <c:pt idx="405">
                  <c:v>4.4393695899424293</c:v>
                </c:pt>
                <c:pt idx="406">
                  <c:v>4.4379606868644581</c:v>
                </c:pt>
                <c:pt idx="407">
                  <c:v>4.438388422734576</c:v>
                </c:pt>
                <c:pt idx="408">
                  <c:v>4.4406710087420018</c:v>
                </c:pt>
                <c:pt idx="409">
                  <c:v>4.4448298515093869</c:v>
                </c:pt>
                <c:pt idx="410">
                  <c:v>4.4508896993543212</c:v>
                </c:pt>
                <c:pt idx="411">
                  <c:v>4.458878794573141</c:v>
                </c:pt>
                <c:pt idx="412">
                  <c:v>4.4688290324344822</c:v>
                </c:pt>
                <c:pt idx="413">
                  <c:v>4.4807761275832831</c:v>
                </c:pt>
                <c:pt idx="414">
                  <c:v>4.494759788570569</c:v>
                </c:pt>
                <c:pt idx="415">
                  <c:v>4.5108239012274538</c:v>
                </c:pt>
                <c:pt idx="416">
                  <c:v>4.5290167216047115</c:v>
                </c:pt>
                <c:pt idx="417">
                  <c:v>4.5493910791820307</c:v>
                </c:pt>
                <c:pt idx="418">
                  <c:v>4.5720045910308418</c:v>
                </c:pt>
                <c:pt idx="419">
                  <c:v>4.5969198875705679</c:v>
                </c:pt>
                <c:pt idx="420">
                  <c:v>4.6242048504927666</c:v>
                </c:pt>
                <c:pt idx="421">
                  <c:v>4.6539328633312191</c:v>
                </c:pt>
                <c:pt idx="422">
                  <c:v>4.6861830750270714</c:v>
                </c:pt>
                <c:pt idx="423">
                  <c:v>4.7210406766485082</c:v>
                </c:pt>
                <c:pt idx="424">
                  <c:v>4.7585971911813658</c:v>
                </c:pt>
                <c:pt idx="425">
                  <c:v>4.7989507759720738</c:v>
                </c:pt>
                <c:pt idx="426">
                  <c:v>4.8422065369671845</c:v>
                </c:pt>
                <c:pt idx="427">
                  <c:v>4.8884768533172176</c:v>
                </c:pt>
                <c:pt idx="428">
                  <c:v>4.9378817101534551</c:v>
                </c:pt>
                <c:pt idx="429">
                  <c:v>4.9905490363700808</c:v>
                </c:pt>
                <c:pt idx="430">
                  <c:v>5.0466150429578915</c:v>
                </c:pt>
                <c:pt idx="431">
                  <c:v>5.1062245557820871</c:v>
                </c:pt>
                <c:pt idx="432">
                  <c:v>5.1695313345555913</c:v>
                </c:pt>
                <c:pt idx="433">
                  <c:v>5.2366983669739673</c:v>
                </c:pt>
                <c:pt idx="434">
                  <c:v>5.307898123400788</c:v>
                </c:pt>
                <c:pt idx="435">
                  <c:v>5.3833127528501095</c:v>
                </c:pt>
                <c:pt idx="436">
                  <c:v>5.463134195022735</c:v>
                </c:pt>
                <c:pt idx="437">
                  <c:v>5.5475641754000886</c:v>
                </c:pt>
                <c:pt idx="438">
                  <c:v>5.6368140403845732</c:v>
                </c:pt>
                <c:pt idx="439">
                  <c:v>5.7311043764995002</c:v>
                </c:pt>
                <c:pt idx="440">
                  <c:v>5.8306643408833834</c:v>
                </c:pt>
                <c:pt idx="441">
                  <c:v>5.9357306085757946</c:v>
                </c:pt>
                <c:pt idx="442">
                  <c:v>6.0465458139559223</c:v>
                </c:pt>
                <c:pt idx="443">
                  <c:v>6.1633563272894412</c:v>
                </c:pt>
                <c:pt idx="444">
                  <c:v>6.2864091602644265</c:v>
                </c:pt>
                <c:pt idx="445">
                  <c:v>6.4159477336793724</c:v>
                </c:pt>
                <c:pt idx="446">
                  <c:v>6.5522061623362768</c:v>
                </c:pt>
                <c:pt idx="447">
                  <c:v>6.6954016122205031</c:v>
                </c:pt>
                <c:pt idx="448">
                  <c:v>6.8457241579836783</c:v>
                </c:pt>
                <c:pt idx="449">
                  <c:v>7.0033234089421557</c:v>
                </c:pt>
                <c:pt idx="450">
                  <c:v>7.1682909738992304</c:v>
                </c:pt>
                <c:pt idx="451">
                  <c:v>7.3406375955803602</c:v>
                </c:pt>
                <c:pt idx="452">
                  <c:v>7.5202635057242055</c:v>
                </c:pt>
                <c:pt idx="453">
                  <c:v>7.7069202436371365</c:v>
                </c:pt>
                <c:pt idx="454">
                  <c:v>7.9001618758775809</c:v>
                </c:pt>
                <c:pt idx="455">
                  <c:v>8.099283319691315</c:v>
                </c:pt>
                <c:pt idx="456">
                  <c:v>8.3032434343006987</c:v>
                </c:pt>
                <c:pt idx="457">
                  <c:v>8.5105709223434562</c:v>
                </c:pt>
                <c:pt idx="458">
                  <c:v>8.7192522350801482</c:v>
                </c:pt>
                <c:pt idx="459">
                  <c:v>8.9266031308281857</c:v>
                </c:pt>
                <c:pt idx="460">
                  <c:v>9.129130003006674</c:v>
                </c:pt>
                <c:pt idx="461">
                  <c:v>9.3223943411904298</c:v>
                </c:pt>
                <c:pt idx="462">
                  <c:v>9.500904192101304</c:v>
                </c:pt>
                <c:pt idx="463">
                  <c:v>9.6580696741538912</c:v>
                </c:pt>
                <c:pt idx="464">
                  <c:v>9.7862726274767837</c:v>
                </c:pt>
                <c:pt idx="465">
                  <c:v>9.8771069332785437</c:v>
                </c:pt>
                <c:pt idx="466">
                  <c:v>9.921835788606499</c:v>
                </c:pt>
                <c:pt idx="467">
                  <c:v>9.9120747221170316</c:v>
                </c:pt>
                <c:pt idx="468">
                  <c:v>9.840641718138766</c:v>
                </c:pt>
                <c:pt idx="469">
                  <c:v>9.7024343270302502</c:v>
                </c:pt>
                <c:pt idx="470">
                  <c:v>9.4951354017082075</c:v>
                </c:pt>
                <c:pt idx="471">
                  <c:v>9.2195567163210832</c:v>
                </c:pt>
                <c:pt idx="472">
                  <c:v>8.879518894272298</c:v>
                </c:pt>
                <c:pt idx="473">
                  <c:v>8.4813037525604233</c:v>
                </c:pt>
                <c:pt idx="474">
                  <c:v>8.0328352544414621</c:v>
                </c:pt>
                <c:pt idx="475">
                  <c:v>7.5427939125618142</c:v>
                </c:pt>
                <c:pt idx="476">
                  <c:v>7.0198391821363035</c:v>
                </c:pt>
                <c:pt idx="477">
                  <c:v>6.4720386975647131</c:v>
                </c:pt>
                <c:pt idx="478">
                  <c:v>5.9065254374613971</c:v>
                </c:pt>
                <c:pt idx="479">
                  <c:v>5.3293510933325692</c:v>
                </c:pt>
                <c:pt idx="480">
                  <c:v>4.7454813442628749</c:v>
                </c:pt>
                <c:pt idx="481">
                  <c:v>4.1588784022035421</c:v>
                </c:pt>
                <c:pt idx="482">
                  <c:v>3.5726270424966886</c:v>
                </c:pt>
                <c:pt idx="483">
                  <c:v>2.9890739945430251</c:v>
                </c:pt>
                <c:pt idx="484">
                  <c:v>2.4099625704448426</c:v>
                </c:pt>
                <c:pt idx="485">
                  <c:v>1.8365532406480014</c:v>
                </c:pt>
                <c:pt idx="486">
                  <c:v>1.2697266099206153</c:v>
                </c:pt>
                <c:pt idx="487">
                  <c:v>0.71006859522115007</c:v>
                </c:pt>
                <c:pt idx="488">
                  <c:v>0.15793932191695173</c:v>
                </c:pt>
                <c:pt idx="489">
                  <c:v>-0.3864720414053468</c:v>
                </c:pt>
                <c:pt idx="490">
                  <c:v>-0.92310415776350374</c:v>
                </c:pt>
                <c:pt idx="491">
                  <c:v>-1.451989913548648</c:v>
                </c:pt>
                <c:pt idx="492">
                  <c:v>-1.9732304165979622</c:v>
                </c:pt>
                <c:pt idx="493">
                  <c:v>-2.4869750023473798</c:v>
                </c:pt>
                <c:pt idx="494">
                  <c:v>-2.9934059460239046</c:v>
                </c:pt>
                <c:pt idx="495">
                  <c:v>-3.4927268387959569</c:v>
                </c:pt>
                <c:pt idx="496">
                  <c:v>-3.9851538039528087</c:v>
                </c:pt>
                <c:pt idx="497">
                  <c:v>-4.4709089071253381</c:v>
                </c:pt>
                <c:pt idx="498">
                  <c:v>-4.9502152570195079</c:v>
                </c:pt>
                <c:pt idx="499">
                  <c:v>-5.4232934057450111</c:v>
                </c:pt>
                <c:pt idx="500">
                  <c:v>-5.9011914570054742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D19-9DBC-690DDB1D00CA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52.646785885625391</c:v>
                </c:pt>
                <c:pt idx="1">
                  <c:v>52.451911498745176</c:v>
                </c:pt>
                <c:pt idx="2">
                  <c:v>52.257033616382756</c:v>
                </c:pt>
                <c:pt idx="3">
                  <c:v>52.062152489378867</c:v>
                </c:pt>
                <c:pt idx="4">
                  <c:v>51.867268362054602</c:v>
                </c:pt>
                <c:pt idx="5">
                  <c:v>51.672381472702099</c:v>
                </c:pt>
                <c:pt idx="6">
                  <c:v>51.477492054062338</c:v>
                </c:pt>
                <c:pt idx="7">
                  <c:v>51.282600333792345</c:v>
                </c:pt>
                <c:pt idx="8">
                  <c:v>51.087706534921892</c:v>
                </c:pt>
                <c:pt idx="9">
                  <c:v>50.89281087630134</c:v>
                </c:pt>
                <c:pt idx="10">
                  <c:v>50.697913573041198</c:v>
                </c:pt>
                <c:pt idx="11">
                  <c:v>50.50301483694362</c:v>
                </c:pt>
                <c:pt idx="12">
                  <c:v>50.308114876928158</c:v>
                </c:pt>
                <c:pt idx="13">
                  <c:v>50.113213899450798</c:v>
                </c:pt>
                <c:pt idx="14">
                  <c:v>49.918312108919174</c:v>
                </c:pt>
                <c:pt idx="15">
                  <c:v>49.723409708102672</c:v>
                </c:pt>
                <c:pt idx="16">
                  <c:v>49.528506898539533</c:v>
                </c:pt>
                <c:pt idx="17">
                  <c:v>49.333603880942135</c:v>
                </c:pt>
                <c:pt idx="18">
                  <c:v>49.138700855599467</c:v>
                </c:pt>
                <c:pt idx="19">
                  <c:v>48.943798022779816</c:v>
                </c:pt>
                <c:pt idx="20">
                  <c:v>48.748895583132317</c:v>
                </c:pt>
                <c:pt idx="21">
                  <c:v>48.553993738089972</c:v>
                </c:pt>
                <c:pt idx="22">
                  <c:v>48.359092690274252</c:v>
                </c:pt>
                <c:pt idx="23">
                  <c:v>48.164192643901288</c:v>
                </c:pt>
                <c:pt idx="24">
                  <c:v>47.969293805191796</c:v>
                </c:pt>
                <c:pt idx="25">
                  <c:v>47.774396382784623</c:v>
                </c:pt>
                <c:pt idx="26">
                  <c:v>47.579500588155213</c:v>
                </c:pt>
                <c:pt idx="27">
                  <c:v>47.384606636039678</c:v>
                </c:pt>
                <c:pt idx="28">
                  <c:v>47.189714744864823</c:v>
                </c:pt>
                <c:pt idx="29">
                  <c:v>46.994825137186119</c:v>
                </c:pt>
                <c:pt idx="30">
                  <c:v>46.799938040132986</c:v>
                </c:pt>
                <c:pt idx="31">
                  <c:v>46.605053685864029</c:v>
                </c:pt>
                <c:pt idx="32">
                  <c:v>46.410172312031058</c:v>
                </c:pt>
                <c:pt idx="33">
                  <c:v>46.215294162254736</c:v>
                </c:pt>
                <c:pt idx="34">
                  <c:v>46.020419486611431</c:v>
                </c:pt>
                <c:pt idx="35">
                  <c:v>45.825548542133134</c:v>
                </c:pt>
                <c:pt idx="36">
                  <c:v>45.630681593320531</c:v>
                </c:pt>
                <c:pt idx="37">
                  <c:v>45.435818912671166</c:v>
                </c:pt>
                <c:pt idx="38">
                  <c:v>45.240960781222547</c:v>
                </c:pt>
                <c:pt idx="39">
                  <c:v>45.046107489113297</c:v>
                </c:pt>
                <c:pt idx="40">
                  <c:v>44.851259336160211</c:v>
                </c:pt>
                <c:pt idx="41">
                  <c:v>44.656416632455638</c:v>
                </c:pt>
                <c:pt idx="42">
                  <c:v>44.461579698984522</c:v>
                </c:pt>
                <c:pt idx="43">
                  <c:v>44.26674886826229</c:v>
                </c:pt>
                <c:pt idx="44">
                  <c:v>44.07192448499552</c:v>
                </c:pt>
                <c:pt idx="45">
                  <c:v>43.87710690676608</c:v>
                </c:pt>
                <c:pt idx="46">
                  <c:v>43.682296504740108</c:v>
                </c:pt>
                <c:pt idx="47">
                  <c:v>43.487493664403807</c:v>
                </c:pt>
                <c:pt idx="48">
                  <c:v>43.292698786326454</c:v>
                </c:pt>
                <c:pt idx="49">
                  <c:v>43.09791228695218</c:v>
                </c:pt>
                <c:pt idx="50">
                  <c:v>42.903134599423474</c:v>
                </c:pt>
                <c:pt idx="51">
                  <c:v>42.708366174435369</c:v>
                </c:pt>
                <c:pt idx="52">
                  <c:v>42.513607481124481</c:v>
                </c:pt>
                <c:pt idx="53">
                  <c:v>42.31885900799238</c:v>
                </c:pt>
                <c:pt idx="54">
                  <c:v>42.124121263866812</c:v>
                </c:pt>
                <c:pt idx="55">
                  <c:v>41.929394778901049</c:v>
                </c:pt>
                <c:pt idx="56">
                  <c:v>41.734680105614032</c:v>
                </c:pt>
                <c:pt idx="57">
                  <c:v>41.539977819972719</c:v>
                </c:pt>
                <c:pt idx="58">
                  <c:v>41.3452885225188</c:v>
                </c:pt>
                <c:pt idx="59">
                  <c:v>41.150612839542354</c:v>
                </c:pt>
                <c:pt idx="60">
                  <c:v>40.955951424302896</c:v>
                </c:pt>
                <c:pt idx="61">
                  <c:v>40.761304958301224</c:v>
                </c:pt>
                <c:pt idx="62">
                  <c:v>40.566674152605053</c:v>
                </c:pt>
                <c:pt idx="63">
                  <c:v>40.372059749228114</c:v>
                </c:pt>
                <c:pt idx="64">
                  <c:v>40.177462522567431</c:v>
                </c:pt>
                <c:pt idx="65">
                  <c:v>39.982883280900595</c:v>
                </c:pt>
                <c:pt idx="66">
                  <c:v>39.788322867944927</c:v>
                </c:pt>
                <c:pt idx="67">
                  <c:v>39.593782164481453</c:v>
                </c:pt>
                <c:pt idx="68">
                  <c:v>39.39926209004701</c:v>
                </c:pt>
                <c:pt idx="69">
                  <c:v>39.204763604696126</c:v>
                </c:pt>
                <c:pt idx="70">
                  <c:v>39.010287710836359</c:v>
                </c:pt>
                <c:pt idx="71">
                  <c:v>38.815835455139663</c:v>
                </c:pt>
                <c:pt idx="72">
                  <c:v>38.621407930532222</c:v>
                </c:pt>
                <c:pt idx="73">
                  <c:v>38.42700627826769</c:v>
                </c:pt>
                <c:pt idx="74">
                  <c:v>38.232631690084325</c:v>
                </c:pt>
                <c:pt idx="75">
                  <c:v>38.038285410451408</c:v>
                </c:pt>
                <c:pt idx="76">
                  <c:v>37.843968738907193</c:v>
                </c:pt>
                <c:pt idx="77">
                  <c:v>37.64968303249254</c:v>
                </c:pt>
                <c:pt idx="78">
                  <c:v>37.455429708281983</c:v>
                </c:pt>
                <c:pt idx="79">
                  <c:v>37.261210246018734</c:v>
                </c:pt>
                <c:pt idx="80">
                  <c:v>37.067026190853412</c:v>
                </c:pt>
                <c:pt idx="81">
                  <c:v>36.872879156194301</c:v>
                </c:pt>
                <c:pt idx="82">
                  <c:v>36.678770826668583</c:v>
                </c:pt>
                <c:pt idx="83">
                  <c:v>36.484702961202373</c:v>
                </c:pt>
                <c:pt idx="84">
                  <c:v>36.290677396218932</c:v>
                </c:pt>
                <c:pt idx="85">
                  <c:v>36.096696048964247</c:v>
                </c:pt>
                <c:pt idx="86">
                  <c:v>35.902760920957746</c:v>
                </c:pt>
                <c:pt idx="87">
                  <c:v>35.708874101577635</c:v>
                </c:pt>
                <c:pt idx="88">
                  <c:v>35.51503777177976</c:v>
                </c:pt>
                <c:pt idx="89">
                  <c:v>35.321254207957736</c:v>
                </c:pt>
                <c:pt idx="90">
                  <c:v>35.127525785945188</c:v>
                </c:pt>
                <c:pt idx="91">
                  <c:v>34.93385498516551</c:v>
                </c:pt>
                <c:pt idx="92">
                  <c:v>34.740244392931885</c:v>
                </c:pt>
                <c:pt idx="93">
                  <c:v>34.546696708901102</c:v>
                </c:pt>
                <c:pt idx="94">
                  <c:v>34.353214749684312</c:v>
                </c:pt>
                <c:pt idx="95">
                  <c:v>34.159801453619053</c:v>
                </c:pt>
                <c:pt idx="96">
                  <c:v>33.966459885702861</c:v>
                </c:pt>
                <c:pt idx="97">
                  <c:v>33.773193242694205</c:v>
                </c:pt>
                <c:pt idx="98">
                  <c:v>33.580004858380754</c:v>
                </c:pt>
                <c:pt idx="99">
                  <c:v>33.386898209017751</c:v>
                </c:pt>
                <c:pt idx="100">
                  <c:v>33.193876918939097</c:v>
                </c:pt>
                <c:pt idx="101">
                  <c:v>33.00094476634024</c:v>
                </c:pt>
                <c:pt idx="102">
                  <c:v>32.808105689235511</c:v>
                </c:pt>
                <c:pt idx="103">
                  <c:v>32.615363791589346</c:v>
                </c:pt>
                <c:pt idx="104">
                  <c:v>32.422723349620298</c:v>
                </c:pt>
                <c:pt idx="105">
                  <c:v>32.230188818276766</c:v>
                </c:pt>
                <c:pt idx="106">
                  <c:v>32.037764837884595</c:v>
                </c:pt>
                <c:pt idx="107">
                  <c:v>31.845456240958541</c:v>
                </c:pt>
                <c:pt idx="108">
                  <c:v>31.653268059180252</c:v>
                </c:pt>
                <c:pt idx="109">
                  <c:v>31.461205530532069</c:v>
                </c:pt>
                <c:pt idx="110">
                  <c:v>31.269274106583293</c:v>
                </c:pt>
                <c:pt idx="111">
                  <c:v>31.07747945992136</c:v>
                </c:pt>
                <c:pt idx="112">
                  <c:v>30.885827491718107</c:v>
                </c:pt>
                <c:pt idx="113">
                  <c:v>30.694324339420341</c:v>
                </c:pt>
                <c:pt idx="114">
                  <c:v>30.502976384554174</c:v>
                </c:pt>
                <c:pt idx="115">
                  <c:v>30.311790260625997</c:v>
                </c:pt>
                <c:pt idx="116">
                  <c:v>30.120772861107245</c:v>
                </c:pt>
                <c:pt idx="117">
                  <c:v>29.92993134748227</c:v>
                </c:pt>
                <c:pt idx="118">
                  <c:v>29.739273157338374</c:v>
                </c:pt>
                <c:pt idx="119">
                  <c:v>29.548806012476298</c:v>
                </c:pt>
                <c:pt idx="120">
                  <c:v>29.358537927013227</c:v>
                </c:pt>
                <c:pt idx="121">
                  <c:v>29.168477215450679</c:v>
                </c:pt>
                <c:pt idx="122">
                  <c:v>28.978632500672781</c:v>
                </c:pt>
                <c:pt idx="123">
                  <c:v>28.78901272184185</c:v>
                </c:pt>
                <c:pt idx="124">
                  <c:v>28.599627142149625</c:v>
                </c:pt>
                <c:pt idx="125">
                  <c:v>28.410485356381816</c:v>
                </c:pt>
                <c:pt idx="126">
                  <c:v>28.221597298248646</c:v>
                </c:pt>
                <c:pt idx="127">
                  <c:v>28.032973247429457</c:v>
                </c:pt>
                <c:pt idx="128">
                  <c:v>27.844623836275808</c:v>
                </c:pt>
                <c:pt idx="129">
                  <c:v>27.656560056110717</c:v>
                </c:pt>
                <c:pt idx="130">
                  <c:v>27.468793263060306</c:v>
                </c:pt>
                <c:pt idx="131">
                  <c:v>27.281335183344314</c:v>
                </c:pt>
                <c:pt idx="132">
                  <c:v>27.094197917951377</c:v>
                </c:pt>
                <c:pt idx="133">
                  <c:v>26.907393946615539</c:v>
                </c:pt>
                <c:pt idx="134">
                  <c:v>26.72093613100747</c:v>
                </c:pt>
                <c:pt idx="135">
                  <c:v>26.534837717046269</c:v>
                </c:pt>
                <c:pt idx="136">
                  <c:v>26.349112336233787</c:v>
                </c:pt>
                <c:pt idx="137">
                  <c:v>26.163774005905264</c:v>
                </c:pt>
                <c:pt idx="138">
                  <c:v>25.978837128287168</c:v>
                </c:pt>
                <c:pt idx="139">
                  <c:v>25.794316488243652</c:v>
                </c:pt>
                <c:pt idx="140">
                  <c:v>25.610227249592175</c:v>
                </c:pt>
                <c:pt idx="141">
                  <c:v>25.426584949858235</c:v>
                </c:pt>
                <c:pt idx="142">
                  <c:v>25.243405493339203</c:v>
                </c:pt>
                <c:pt idx="143">
                  <c:v>25.060705142338087</c:v>
                </c:pt>
                <c:pt idx="144">
                  <c:v>24.878500506427645</c:v>
                </c:pt>
                <c:pt idx="145">
                  <c:v>24.696808529600389</c:v>
                </c:pt>
                <c:pt idx="146">
                  <c:v>24.515646475155059</c:v>
                </c:pt>
                <c:pt idx="147">
                  <c:v>24.335031908173015</c:v>
                </c:pt>
                <c:pt idx="148">
                  <c:v>24.154982675433239</c:v>
                </c:pt>
                <c:pt idx="149">
                  <c:v>23.975516882616056</c:v>
                </c:pt>
                <c:pt idx="150">
                  <c:v>23.796652868649225</c:v>
                </c:pt>
                <c:pt idx="151">
                  <c:v>23.618409177050449</c:v>
                </c:pt>
                <c:pt idx="152">
                  <c:v>23.440804524127213</c:v>
                </c:pt>
                <c:pt idx="153">
                  <c:v>23.263857763901676</c:v>
                </c:pt>
                <c:pt idx="154">
                  <c:v>23.08758784963554</c:v>
                </c:pt>
                <c:pt idx="155">
                  <c:v>22.91201379184286</c:v>
                </c:pt>
                <c:pt idx="156">
                  <c:v>22.737154612691057</c:v>
                </c:pt>
                <c:pt idx="157">
                  <c:v>22.563029296705988</c:v>
                </c:pt>
                <c:pt idx="158">
                  <c:v>22.389656737716184</c:v>
                </c:pt>
                <c:pt idx="159">
                  <c:v>22.217055681992775</c:v>
                </c:pt>
                <c:pt idx="160">
                  <c:v>22.045244667564948</c:v>
                </c:pt>
                <c:pt idx="161">
                  <c:v>21.87424195971797</c:v>
                </c:pt>
                <c:pt idx="162">
                  <c:v>21.704065482712632</c:v>
                </c:pt>
                <c:pt idx="163">
                  <c:v>21.534732747794806</c:v>
                </c:pt>
                <c:pt idx="164">
                  <c:v>21.366260777601717</c:v>
                </c:pt>
                <c:pt idx="165">
                  <c:v>21.198666027110974</c:v>
                </c:pt>
                <c:pt idx="166">
                  <c:v>21.031964301316311</c:v>
                </c:pt>
                <c:pt idx="167">
                  <c:v>20.866170669860711</c:v>
                </c:pt>
                <c:pt idx="168">
                  <c:v>20.701299378901851</c:v>
                </c:pt>
                <c:pt idx="169">
                  <c:v>20.537363760531463</c:v>
                </c:pt>
                <c:pt idx="170">
                  <c:v>20.374376140119832</c:v>
                </c:pt>
                <c:pt idx="171">
                  <c:v>20.212347742005399</c:v>
                </c:pt>
                <c:pt idx="172">
                  <c:v>20.051288593998535</c:v>
                </c:pt>
                <c:pt idx="173">
                  <c:v>19.891207431217623</c:v>
                </c:pt>
                <c:pt idx="174">
                  <c:v>19.732111599824222</c:v>
                </c:pt>
                <c:pt idx="175">
                  <c:v>19.574006961268346</c:v>
                </c:pt>
                <c:pt idx="176">
                  <c:v>19.416897797698546</c:v>
                </c:pt>
                <c:pt idx="177">
                  <c:v>19.260786719231692</c:v>
                </c:pt>
                <c:pt idx="178">
                  <c:v>19.105674573811182</c:v>
                </c:pt>
                <c:pt idx="179">
                  <c:v>18.95156036041341</c:v>
                </c:pt>
                <c:pt idx="180">
                  <c:v>18.798441146383698</c:v>
                </c:pt>
                <c:pt idx="181">
                  <c:v>18.646311989702706</c:v>
                </c:pt>
                <c:pt idx="182">
                  <c:v>18.495165866990437</c:v>
                </c:pt>
                <c:pt idx="183">
                  <c:v>18.344993608056445</c:v>
                </c:pt>
                <c:pt idx="184">
                  <c:v>18.195783837797833</c:v>
                </c:pt>
                <c:pt idx="185">
                  <c:v>18.047522926225856</c:v>
                </c:pt>
                <c:pt idx="186">
                  <c:v>17.900194947375802</c:v>
                </c:pt>
                <c:pt idx="187">
                  <c:v>17.75378164781765</c:v>
                </c:pt>
                <c:pt idx="188">
                  <c:v>17.608262425433168</c:v>
                </c:pt>
                <c:pt idx="189">
                  <c:v>17.463614319071965</c:v>
                </c:pt>
                <c:pt idx="190">
                  <c:v>17.319812009625299</c:v>
                </c:pt>
                <c:pt idx="191">
                  <c:v>17.17682783298352</c:v>
                </c:pt>
                <c:pt idx="192">
                  <c:v>17.034631805252914</c:v>
                </c:pt>
                <c:pt idx="193">
                  <c:v>16.893191660515654</c:v>
                </c:pt>
                <c:pt idx="194">
                  <c:v>16.75247290131378</c:v>
                </c:pt>
                <c:pt idx="195">
                  <c:v>16.612438861930737</c:v>
                </c:pt>
                <c:pt idx="196">
                  <c:v>16.473050784432552</c:v>
                </c:pt>
                <c:pt idx="197">
                  <c:v>16.334267907313357</c:v>
                </c:pt>
                <c:pt idx="198">
                  <c:v>16.196047566474821</c:v>
                </c:pt>
                <c:pt idx="199">
                  <c:v>16.058345308148546</c:v>
                </c:pt>
                <c:pt idx="200">
                  <c:v>15.921115013256705</c:v>
                </c:pt>
                <c:pt idx="201">
                  <c:v>15.78430903258857</c:v>
                </c:pt>
                <c:pt idx="202">
                  <c:v>15.647878332064813</c:v>
                </c:pt>
                <c:pt idx="203">
                  <c:v>15.511772647255933</c:v>
                </c:pt>
                <c:pt idx="204">
                  <c:v>15.375940646223686</c:v>
                </c:pt>
                <c:pt idx="205">
                  <c:v>15.240330099669691</c:v>
                </c:pt>
                <c:pt idx="206">
                  <c:v>15.104888057296465</c:v>
                </c:pt>
                <c:pt idx="207">
                  <c:v>14.969561029218053</c:v>
                </c:pt>
                <c:pt idx="208">
                  <c:v>14.834295171208549</c:v>
                </c:pt>
                <c:pt idx="209">
                  <c:v>14.699036472527924</c:v>
                </c:pt>
                <c:pt idx="210">
                  <c:v>14.563730945045091</c:v>
                </c:pt>
                <c:pt idx="211">
                  <c:v>14.428324812358122</c:v>
                </c:pt>
                <c:pt idx="212">
                  <c:v>14.292764697614199</c:v>
                </c:pt>
                <c:pt idx="213">
                  <c:v>14.156997808748958</c:v>
                </c:pt>
                <c:pt idx="214">
                  <c:v>14.020972119888423</c:v>
                </c:pt>
                <c:pt idx="215">
                  <c:v>13.884636547703199</c:v>
                </c:pt>
                <c:pt idx="216">
                  <c:v>13.747941121557023</c:v>
                </c:pt>
                <c:pt idx="217">
                  <c:v>13.610837146360492</c:v>
                </c:pt>
                <c:pt idx="218">
                  <c:v>13.473277357116979</c:v>
                </c:pt>
                <c:pt idx="219">
                  <c:v>13.335216064237892</c:v>
                </c:pt>
                <c:pt idx="220">
                  <c:v>13.196609288800877</c:v>
                </c:pt>
                <c:pt idx="221">
                  <c:v>13.057414887026091</c:v>
                </c:pt>
                <c:pt idx="222">
                  <c:v>12.917592663360859</c:v>
                </c:pt>
                <c:pt idx="223">
                  <c:v>12.777104471671516</c:v>
                </c:pt>
                <c:pt idx="224">
                  <c:v>12.635914304162576</c:v>
                </c:pt>
                <c:pt idx="225">
                  <c:v>12.493988367758972</c:v>
                </c:pt>
                <c:pt idx="226">
                  <c:v>12.351295147805889</c:v>
                </c:pt>
                <c:pt idx="227">
                  <c:v>12.20780545905567</c:v>
                </c:pt>
                <c:pt idx="228">
                  <c:v>12.063492484023154</c:v>
                </c:pt>
                <c:pt idx="229">
                  <c:v>11.918331798900597</c:v>
                </c:pt>
                <c:pt idx="230">
                  <c:v>11.772301387320054</c:v>
                </c:pt>
                <c:pt idx="231">
                  <c:v>11.625381642350368</c:v>
                </c:pt>
                <c:pt idx="232">
                  <c:v>11.477555357198465</c:v>
                </c:pt>
                <c:pt idx="233">
                  <c:v>11.328807705163666</c:v>
                </c:pt>
                <c:pt idx="234">
                  <c:v>11.179126209460366</c:v>
                </c:pt>
                <c:pt idx="235">
                  <c:v>11.028500703584537</c:v>
                </c:pt>
                <c:pt idx="236">
                  <c:v>10.876923282944869</c:v>
                </c:pt>
                <c:pt idx="237">
                  <c:v>10.724388248517917</c:v>
                </c:pt>
                <c:pt idx="238">
                  <c:v>10.570892043314444</c:v>
                </c:pt>
                <c:pt idx="239">
                  <c:v>10.416433182462665</c:v>
                </c:pt>
                <c:pt idx="240">
                  <c:v>10.261012177718531</c:v>
                </c:pt>
                <c:pt idx="241">
                  <c:v>10.104631457217787</c:v>
                </c:pt>
                <c:pt idx="242">
                  <c:v>9.9472952812709838</c:v>
                </c:pt>
                <c:pt idx="243">
                  <c:v>9.7890096549861685</c:v>
                </c:pt>
                <c:pt idx="244">
                  <c:v>9.6297822384827789</c:v>
                </c:pt>
                <c:pt idx="245">
                  <c:v>9.4696222554289093</c:v>
                </c:pt>
                <c:pt idx="246">
                  <c:v>9.3085404005960743</c:v>
                </c:pt>
                <c:pt idx="247">
                  <c:v>9.1465487470916287</c:v>
                </c:pt>
                <c:pt idx="248">
                  <c:v>8.9836606538810955</c:v>
                </c:pt>
                <c:pt idx="249">
                  <c:v>8.8198906741696739</c:v>
                </c:pt>
                <c:pt idx="250">
                  <c:v>8.6552544651618248</c:v>
                </c:pt>
                <c:pt idx="251">
                  <c:v>8.4897686996742543</c:v>
                </c:pt>
                <c:pt idx="252">
                  <c:v>8.3234509800198904</c:v>
                </c:pt>
                <c:pt idx="253">
                  <c:v>8.1563197545394548</c:v>
                </c:pt>
                <c:pt idx="254">
                  <c:v>7.9883942371054371</c:v>
                </c:pt>
                <c:pt idx="255">
                  <c:v>7.8196943298738706</c:v>
                </c:pt>
                <c:pt idx="256">
                  <c:v>7.6502405495185322</c:v>
                </c:pt>
                <c:pt idx="257">
                  <c:v>7.4800539571357039</c:v>
                </c:pt>
                <c:pt idx="258">
                  <c:v>7.3091560919665319</c:v>
                </c:pt>
                <c:pt idx="259">
                  <c:v>7.1375689090493886</c:v>
                </c:pt>
                <c:pt idx="260">
                  <c:v>6.9653147208705519</c:v>
                </c:pt>
                <c:pt idx="261">
                  <c:v>6.7924161430595049</c:v>
                </c:pt>
                <c:pt idx="262">
                  <c:v>6.6188960441370188</c:v>
                </c:pt>
                <c:pt idx="263">
                  <c:v>6.4447774992987306</c:v>
                </c:pt>
                <c:pt idx="264">
                  <c:v>6.2700837481961358</c:v>
                </c:pt>
                <c:pt idx="265">
                  <c:v>6.0948381566513632</c:v>
                </c:pt>
                <c:pt idx="266">
                  <c:v>5.9190641822251688</c:v>
                </c:pt>
                <c:pt idx="267">
                  <c:v>5.7427853435423355</c:v>
                </c:pt>
                <c:pt idx="268">
                  <c:v>5.5660251932620142</c:v>
                </c:pt>
                <c:pt idx="269">
                  <c:v>5.3888072945736099</c:v>
                </c:pt>
                <c:pt idx="270">
                  <c:v>5.2111552010860489</c:v>
                </c:pt>
                <c:pt idx="271">
                  <c:v>5.0330924399688683</c:v>
                </c:pt>
                <c:pt idx="272">
                  <c:v>4.8546424982069851</c:v>
                </c:pt>
                <c:pt idx="273">
                  <c:v>4.6758288118154105</c:v>
                </c:pt>
                <c:pt idx="274">
                  <c:v>4.4966747578662094</c:v>
                </c:pt>
                <c:pt idx="275">
                  <c:v>4.3172036491734946</c:v>
                </c:pt>
                <c:pt idx="276">
                  <c:v>4.1374387314860606</c:v>
                </c:pt>
                <c:pt idx="277">
                  <c:v>3.9574031830339429</c:v>
                </c:pt>
                <c:pt idx="278">
                  <c:v>3.777120116277958</c:v>
                </c:pt>
                <c:pt idx="279">
                  <c:v>3.5966125817160641</c:v>
                </c:pt>
                <c:pt idx="280">
                  <c:v>3.4159035735960437</c:v>
                </c:pt>
                <c:pt idx="281">
                  <c:v>3.2350160373945034</c:v>
                </c:pt>
                <c:pt idx="282">
                  <c:v>3.0539728789188469</c:v>
                </c:pt>
                <c:pt idx="283">
                  <c:v>2.8727969748957758</c:v>
                </c:pt>
                <c:pt idx="284">
                  <c:v>2.6915111849116204</c:v>
                </c:pt>
                <c:pt idx="285">
                  <c:v>2.5101383645718602</c:v>
                </c:pt>
                <c:pt idx="286">
                  <c:v>2.3287013797520615</c:v>
                </c:pt>
                <c:pt idx="287">
                  <c:v>2.1472231218136812</c:v>
                </c:pt>
                <c:pt idx="288">
                  <c:v>1.9657265236612655</c:v>
                </c:pt>
                <c:pt idx="289">
                  <c:v>1.7842345765190295</c:v>
                </c:pt>
                <c:pt idx="290">
                  <c:v>1.6027703473074943</c:v>
                </c:pt>
                <c:pt idx="291">
                  <c:v>1.4213569965012844</c:v>
                </c:pt>
                <c:pt idx="292">
                  <c:v>1.2400177963505392</c:v>
                </c:pt>
                <c:pt idx="293">
                  <c:v>1.0587761493484482</c:v>
                </c:pt>
                <c:pt idx="294">
                  <c:v>0.87765560682882438</c:v>
                </c:pt>
                <c:pt idx="295">
                  <c:v>0.69667988757379362</c:v>
                </c:pt>
                <c:pt idx="296">
                  <c:v>0.51587289631635969</c:v>
                </c:pt>
                <c:pt idx="297">
                  <c:v>0.33525874201358263</c:v>
                </c:pt>
                <c:pt idx="298">
                  <c:v>0.15486175577212613</c:v>
                </c:pt>
                <c:pt idx="299">
                  <c:v>-2.5293491700756121E-2</c:v>
                </c:pt>
                <c:pt idx="300">
                  <c:v>-0.20518217324601196</c:v>
                </c:pt>
                <c:pt idx="301">
                  <c:v>-0.38477918913443787</c:v>
                </c:pt>
                <c:pt idx="302">
                  <c:v>-0.56405915181128741</c:v>
                </c:pt>
                <c:pt idx="303">
                  <c:v>-0.74299637164532406</c:v>
                </c:pt>
                <c:pt idx="304">
                  <c:v>-0.92156484382152115</c:v>
                </c:pt>
                <c:pt idx="305">
                  <c:v>-1.099738236524761</c:v>
                </c:pt>
                <c:pt idx="306">
                  <c:v>-1.2774898805650494</c:v>
                </c:pt>
                <c:pt idx="307">
                  <c:v>-1.4547927605988242</c:v>
                </c:pt>
                <c:pt idx="308">
                  <c:v>-1.6316195081064162</c:v>
                </c:pt>
                <c:pt idx="309">
                  <c:v>-1.8079423962885297</c:v>
                </c:pt>
                <c:pt idx="310">
                  <c:v>-1.9837333370503494</c:v>
                </c:pt>
                <c:pt idx="311">
                  <c:v>-2.1589638802443378</c:v>
                </c:pt>
                <c:pt idx="312">
                  <c:v>-2.3336052153457096</c:v>
                </c:pt>
                <c:pt idx="313">
                  <c:v>-2.5076281757387591</c:v>
                </c:pt>
                <c:pt idx="314">
                  <c:v>-2.6810032457904658</c:v>
                </c:pt>
                <c:pt idx="315">
                  <c:v>-2.8537005708938885</c:v>
                </c:pt>
                <c:pt idx="316">
                  <c:v>-3.0256899706563072</c:v>
                </c:pt>
                <c:pt idx="317">
                  <c:v>-3.196940955413913</c:v>
                </c:pt>
                <c:pt idx="318">
                  <c:v>-3.3674227462418767</c:v>
                </c:pt>
                <c:pt idx="319">
                  <c:v>-3.5371042986345795</c:v>
                </c:pt>
                <c:pt idx="320">
                  <c:v>-3.705954330012581</c:v>
                </c:pt>
                <c:pt idx="321">
                  <c:v>-3.8739413512159508</c:v>
                </c:pt>
                <c:pt idx="322">
                  <c:v>-4.041033702121938</c:v>
                </c:pt>
                <c:pt idx="323">
                  <c:v>-4.2071995915211691</c:v>
                </c:pt>
                <c:pt idx="324">
                  <c:v>-4.3724071413616912</c:v>
                </c:pt>
                <c:pt idx="325">
                  <c:v>-4.5366244354621195</c:v>
                </c:pt>
                <c:pt idx="326">
                  <c:v>-4.6998195727632321</c:v>
                </c:pt>
                <c:pt idx="327">
                  <c:v>-4.8619607251728034</c:v>
                </c:pt>
                <c:pt idx="328">
                  <c:v>-5.0230162000260314</c:v>
                </c:pt>
                <c:pt idx="329">
                  <c:v>-5.1829545071569321</c:v>
                </c:pt>
                <c:pt idx="330">
                  <c:v>-5.341744430542013</c:v>
                </c:pt>
                <c:pt idx="331">
                  <c:v>-5.4993551044442341</c:v>
                </c:pt>
                <c:pt idx="332">
                  <c:v>-5.6557560939457456</c:v>
                </c:pt>
                <c:pt idx="333">
                  <c:v>-5.8109174797198069</c:v>
                </c:pt>
                <c:pt idx="334">
                  <c:v>-5.964809946845298</c:v>
                </c:pt>
                <c:pt idx="335">
                  <c:v>-6.1174048774315626</c:v>
                </c:pt>
                <c:pt idx="336">
                  <c:v>-6.2686744467639617</c:v>
                </c:pt>
                <c:pt idx="337">
                  <c:v>-6.4185917226449085</c:v>
                </c:pt>
                <c:pt idx="338">
                  <c:v>-6.5671307675497239</c:v>
                </c:pt>
                <c:pt idx="339">
                  <c:v>-6.7142667431727574</c:v>
                </c:pt>
                <c:pt idx="340">
                  <c:v>-6.8599760168935795</c:v>
                </c:pt>
                <c:pt idx="341">
                  <c:v>-7.004236269640872</c:v>
                </c:pt>
                <c:pt idx="342">
                  <c:v>-7.14702660459775</c:v>
                </c:pt>
                <c:pt idx="343">
                  <c:v>-7.2883276561412682</c:v>
                </c:pt>
                <c:pt idx="344">
                  <c:v>-7.4281216983773835</c:v>
                </c:pt>
                <c:pt idx="345">
                  <c:v>-7.5663927525954247</c:v>
                </c:pt>
                <c:pt idx="346">
                  <c:v>-7.7031266929383495</c:v>
                </c:pt>
                <c:pt idx="347">
                  <c:v>-7.8383113495590653</c:v>
                </c:pt>
                <c:pt idx="348">
                  <c:v>-7.9719366085188703</c:v>
                </c:pt>
                <c:pt idx="349">
                  <c:v>-8.1039945076656643</c:v>
                </c:pt>
                <c:pt idx="350">
                  <c:v>-8.2344793277333075</c:v>
                </c:pt>
                <c:pt idx="351">
                  <c:v>-8.363387677898416</c:v>
                </c:pt>
                <c:pt idx="352">
                  <c:v>-8.4907185750444931</c:v>
                </c:pt>
                <c:pt idx="353">
                  <c:v>-8.6164735160006067</c:v>
                </c:pt>
                <c:pt idx="354">
                  <c:v>-8.7406565420456435</c:v>
                </c:pt>
                <c:pt idx="355">
                  <c:v>-8.8632742950027854</c:v>
                </c:pt>
                <c:pt idx="356">
                  <c:v>-8.9843360642870973</c:v>
                </c:pt>
                <c:pt idx="357">
                  <c:v>-9.103853824316726</c:v>
                </c:pt>
                <c:pt idx="358">
                  <c:v>-9.2218422617509113</c:v>
                </c:pt>
                <c:pt idx="359">
                  <c:v>-9.3383187920736113</c:v>
                </c:pt>
                <c:pt idx="360">
                  <c:v>-9.4533035651080404</c:v>
                </c:pt>
                <c:pt idx="361">
                  <c:v>-9.56681945911048</c:v>
                </c:pt>
                <c:pt idx="362">
                  <c:v>-9.6788920631660496</c:v>
                </c:pt>
                <c:pt idx="363">
                  <c:v>-9.7895496476764023</c:v>
                </c:pt>
                <c:pt idx="364">
                  <c:v>-9.8988231228047248</c:v>
                </c:pt>
                <c:pt idx="365">
                  <c:v>-10.006745984818549</c:v>
                </c:pt>
                <c:pt idx="366">
                  <c:v>-10.113354250340784</c:v>
                </c:pt>
                <c:pt idx="367">
                  <c:v>-10.218686378590766</c:v>
                </c:pt>
                <c:pt idx="368">
                  <c:v>-10.32278318176701</c:v>
                </c:pt>
                <c:pt idx="369">
                  <c:v>-10.425687723790187</c:v>
                </c:pt>
                <c:pt idx="370">
                  <c:v>-10.527445207680641</c:v>
                </c:pt>
                <c:pt idx="371">
                  <c:v>-10.628102851910711</c:v>
                </c:pt>
                <c:pt idx="372">
                  <c:v>-10.727709756117049</c:v>
                </c:pt>
                <c:pt idx="373">
                  <c:v>-10.826316756612682</c:v>
                </c:pt>
                <c:pt idx="374">
                  <c:v>-10.923976272174627</c:v>
                </c:pt>
                <c:pt idx="375">
                  <c:v>-11.020742140627352</c:v>
                </c:pt>
                <c:pt idx="376">
                  <c:v>-11.11666944676746</c:v>
                </c:pt>
                <c:pt idx="377">
                  <c:v>-11.211814342211412</c:v>
                </c:pt>
                <c:pt idx="378">
                  <c:v>-11.306233857761502</c:v>
                </c:pt>
                <c:pt idx="379">
                  <c:v>-11.399985708911522</c:v>
                </c:pt>
                <c:pt idx="380">
                  <c:v>-11.493128095122831</c:v>
                </c:pt>
                <c:pt idx="381">
                  <c:v>-11.585719493514121</c:v>
                </c:pt>
                <c:pt idx="382">
                  <c:v>-11.677818447618998</c:v>
                </c:pt>
                <c:pt idx="383">
                  <c:v>-11.769483351859957</c:v>
                </c:pt>
                <c:pt idx="384">
                  <c:v>-11.860772232401271</c:v>
                </c:pt>
                <c:pt idx="385">
                  <c:v>-11.951742525031126</c:v>
                </c:pt>
                <c:pt idx="386">
                  <c:v>-12.042450850728853</c:v>
                </c:pt>
                <c:pt idx="387">
                  <c:v>-12.132952789560106</c:v>
                </c:pt>
                <c:pt idx="388">
                  <c:v>-12.223302653540941</c:v>
                </c:pt>
                <c:pt idx="389">
                  <c:v>-12.313553259096683</c:v>
                </c:pt>
                <c:pt idx="390">
                  <c:v>-12.403755699733445</c:v>
                </c:pt>
                <c:pt idx="391">
                  <c:v>-12.493959119520321</c:v>
                </c:pt>
                <c:pt idx="392">
                  <c:v>-12.584210487966203</c:v>
                </c:pt>
                <c:pt idx="393">
                  <c:v>-12.674554376850718</c:v>
                </c:pt>
                <c:pt idx="394">
                  <c:v>-12.765032739545056</c:v>
                </c:pt>
                <c:pt idx="395">
                  <c:v>-12.855684693328415</c:v>
                </c:pt>
                <c:pt idx="396">
                  <c:v>-12.946546305173094</c:v>
                </c:pt>
                <c:pt idx="397">
                  <c:v>-13.037650381430179</c:v>
                </c:pt>
                <c:pt idx="398">
                  <c:v>-13.129026261807368</c:v>
                </c:pt>
                <c:pt idx="399">
                  <c:v>-13.220699617976367</c:v>
                </c:pt>
                <c:pt idx="400">
                  <c:v>-13.312692257096506</c:v>
                </c:pt>
                <c:pt idx="401">
                  <c:v>-13.405021930475744</c:v>
                </c:pt>
                <c:pt idx="402">
                  <c:v>-13.497702147525352</c:v>
                </c:pt>
                <c:pt idx="403">
                  <c:v>-13.590741995090927</c:v>
                </c:pt>
                <c:pt idx="404">
                  <c:v>-13.684145962162198</c:v>
                </c:pt>
                <c:pt idx="405">
                  <c:v>-13.777913769882723</c:v>
                </c:pt>
                <c:pt idx="406">
                  <c:v>-13.872040206687206</c:v>
                </c:pt>
                <c:pt idx="407">
                  <c:v>-13.966514968308367</c:v>
                </c:pt>
                <c:pt idx="408">
                  <c:v>-14.061322502292061</c:v>
                </c:pt>
                <c:pt idx="409">
                  <c:v>-14.156441856568176</c:v>
                </c:pt>
                <c:pt idx="410">
                  <c:v>-14.251846531520592</c:v>
                </c:pt>
                <c:pt idx="411">
                  <c:v>-14.347504334908436</c:v>
                </c:pt>
                <c:pt idx="412">
                  <c:v>-14.443377238887919</c:v>
                </c:pt>
                <c:pt idx="413">
                  <c:v>-14.539421238299525</c:v>
                </c:pt>
                <c:pt idx="414">
                  <c:v>-14.635586209296097</c:v>
                </c:pt>
                <c:pt idx="415">
                  <c:v>-14.731815767314789</c:v>
                </c:pt>
                <c:pt idx="416">
                  <c:v>-14.828047123325778</c:v>
                </c:pt>
                <c:pt idx="417">
                  <c:v>-14.924210937249853</c:v>
                </c:pt>
                <c:pt idx="418">
                  <c:v>-15.020231167398437</c:v>
                </c:pt>
                <c:pt idx="419">
                  <c:v>-15.116024914786717</c:v>
                </c:pt>
                <c:pt idx="420">
                  <c:v>-15.211502261193722</c:v>
                </c:pt>
                <c:pt idx="421">
                  <c:v>-15.306566099903955</c:v>
                </c:pt>
                <c:pt idx="422">
                  <c:v>-15.401111958168002</c:v>
                </c:pt>
                <c:pt idx="423">
                  <c:v>-15.495027810587905</c:v>
                </c:pt>
                <c:pt idx="424">
                  <c:v>-15.588193882866367</c:v>
                </c:pt>
                <c:pt idx="425">
                  <c:v>-15.680482445687154</c:v>
                </c:pt>
                <c:pt idx="426">
                  <c:v>-15.77175759893513</c:v>
                </c:pt>
                <c:pt idx="427">
                  <c:v>-15.861875047050091</c:v>
                </c:pt>
                <c:pt idx="428">
                  <c:v>-15.950681867082601</c:v>
                </c:pt>
                <c:pt idx="429">
                  <c:v>-16.03801627201937</c:v>
                </c:pt>
                <c:pt idx="430">
                  <c:v>-16.12370737325617</c:v>
                </c:pt>
                <c:pt idx="431">
                  <c:v>-16.207574947783097</c:v>
                </c:pt>
                <c:pt idx="432">
                  <c:v>-16.2894292178227</c:v>
                </c:pt>
                <c:pt idx="433">
                  <c:v>-16.369070653482403</c:v>
                </c:pt>
                <c:pt idx="434">
                  <c:v>-16.446289812603396</c:v>
                </c:pt>
                <c:pt idx="435">
                  <c:v>-16.520867236669979</c:v>
                </c:pt>
                <c:pt idx="436">
                  <c:v>-16.592573427677703</c:v>
                </c:pt>
                <c:pt idx="437">
                  <c:v>-16.661168938653176</c:v>
                </c:pt>
                <c:pt idx="438">
                  <c:v>-16.7264046205784</c:v>
                </c:pt>
                <c:pt idx="439">
                  <c:v>-16.788022081489267</c:v>
                </c:pt>
                <c:pt idx="440">
                  <c:v>-16.845754430338527</c:v>
                </c:pt>
                <c:pt idx="441">
                  <c:v>-16.899327399990543</c:v>
                </c:pt>
                <c:pt idx="442">
                  <c:v>-16.948460971888721</c:v>
                </c:pt>
                <c:pt idx="443">
                  <c:v>-16.992871661377713</c:v>
                </c:pt>
                <c:pt idx="444">
                  <c:v>-17.032275669773082</c:v>
                </c:pt>
                <c:pt idx="445">
                  <c:v>-17.066393170014344</c:v>
                </c:pt>
                <c:pt idx="446">
                  <c:v>-17.094954070882636</c:v>
                </c:pt>
                <c:pt idx="447">
                  <c:v>-17.117705704753412</c:v>
                </c:pt>
                <c:pt idx="448">
                  <c:v>-17.134423010950226</c:v>
                </c:pt>
                <c:pt idx="449">
                  <c:v>-17.144921946581551</c:v>
                </c:pt>
                <c:pt idx="450">
                  <c:v>-17.149077054672333</c:v>
                </c:pt>
                <c:pt idx="451">
                  <c:v>-17.146844358928533</c:v>
                </c:pt>
                <c:pt idx="452">
                  <c:v>-17.138291034236619</c:v>
                </c:pt>
                <c:pt idx="453">
                  <c:v>-17.123633610242447</c:v>
                </c:pt>
                <c:pt idx="454">
                  <c:v>-17.103286770504674</c:v>
                </c:pt>
                <c:pt idx="455">
                  <c:v>-17.077925044766886</c:v>
                </c:pt>
                <c:pt idx="456">
                  <c:v>-17.048559730417495</c:v>
                </c:pt>
                <c:pt idx="457">
                  <c:v>-17.016633001013602</c:v>
                </c:pt>
                <c:pt idx="458">
                  <c:v>-16.984130008421783</c:v>
                </c:pt>
                <c:pt idx="459">
                  <c:v>-16.95370732929409</c:v>
                </c:pt>
                <c:pt idx="460">
                  <c:v>-16.928831639661766</c:v>
                </c:pt>
                <c:pt idx="461">
                  <c:v>-16.913915254419152</c:v>
                </c:pt>
                <c:pt idx="462">
                  <c:v>-16.914424664931389</c:v>
                </c:pt>
                <c:pt idx="463">
                  <c:v>-16.936925021310579</c:v>
                </c:pt>
                <c:pt idx="464">
                  <c:v>-16.989010477590782</c:v>
                </c:pt>
                <c:pt idx="465">
                  <c:v>-17.079063866083015</c:v>
                </c:pt>
                <c:pt idx="466">
                  <c:v>-17.215799415003339</c:v>
                </c:pt>
                <c:pt idx="467">
                  <c:v>-17.407579723891182</c:v>
                </c:pt>
                <c:pt idx="468">
                  <c:v>-17.661565629665454</c:v>
                </c:pt>
                <c:pt idx="469">
                  <c:v>-17.982839085438822</c:v>
                </c:pt>
                <c:pt idx="470">
                  <c:v>-18.373697412329967</c:v>
                </c:pt>
                <c:pt idx="471">
                  <c:v>-18.833309668406503</c:v>
                </c:pt>
                <c:pt idx="472">
                  <c:v>-19.357836707656279</c:v>
                </c:pt>
                <c:pt idx="473">
                  <c:v>-19.940978822114147</c:v>
                </c:pt>
                <c:pt idx="474">
                  <c:v>-20.574794775228035</c:v>
                </c:pt>
                <c:pt idx="475">
                  <c:v>-21.250587384396766</c:v>
                </c:pt>
                <c:pt idx="476">
                  <c:v>-21.959681113180515</c:v>
                </c:pt>
                <c:pt idx="477">
                  <c:v>-22.693992819861489</c:v>
                </c:pt>
                <c:pt idx="478">
                  <c:v>-23.446374577442938</c:v>
                </c:pt>
                <c:pt idx="479">
                  <c:v>-24.210760289910333</c:v>
                </c:pt>
                <c:pt idx="480">
                  <c:v>-24.982170402447078</c:v>
                </c:pt>
                <c:pt idx="481">
                  <c:v>-25.75662934106025</c:v>
                </c:pt>
                <c:pt idx="482">
                  <c:v>-26.531039467025227</c:v>
                </c:pt>
                <c:pt idx="483">
                  <c:v>-27.303041671281733</c:v>
                </c:pt>
                <c:pt idx="484">
                  <c:v>-28.070880730983653</c:v>
                </c:pt>
                <c:pt idx="485">
                  <c:v>-28.833284719211491</c:v>
                </c:pt>
                <c:pt idx="486">
                  <c:v>-29.5893620145354</c:v>
                </c:pt>
                <c:pt idx="487">
                  <c:v>-30.338516108902763</c:v>
                </c:pt>
                <c:pt idx="488">
                  <c:v>-31.080376697407996</c:v>
                </c:pt>
                <c:pt idx="489">
                  <c:v>-31.814744829723338</c:v>
                </c:pt>
                <c:pt idx="490">
                  <c:v>-32.541549771430951</c:v>
                </c:pt>
                <c:pt idx="491">
                  <c:v>-33.260815382581427</c:v>
                </c:pt>
                <c:pt idx="492">
                  <c:v>-33.972634102847259</c:v>
                </c:pt>
                <c:pt idx="493">
                  <c:v>-34.677146945057544</c:v>
                </c:pt>
                <c:pt idx="494">
                  <c:v>-35.374528195079044</c:v>
                </c:pt>
                <c:pt idx="495">
                  <c:v>-36.064973775968483</c:v>
                </c:pt>
                <c:pt idx="496">
                  <c:v>-36.748692452470209</c:v>
                </c:pt>
                <c:pt idx="497">
                  <c:v>-37.425899229873522</c:v>
                </c:pt>
                <c:pt idx="498">
                  <c:v>-38.096810443703198</c:v>
                </c:pt>
                <c:pt idx="499">
                  <c:v>-38.761640149323696</c:v>
                </c:pt>
                <c:pt idx="500">
                  <c:v>-39.431430219724447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4D19-9DBC-690DDB1D00CA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22.351196519693048</c:v>
                </c:pt>
                <c:pt idx="1">
                  <c:v>22.156331451700623</c:v>
                </c:pt>
                <c:pt idx="2">
                  <c:v>21.961463316167841</c:v>
                </c:pt>
                <c:pt idx="3">
                  <c:v>21.766592383586108</c:v>
                </c:pt>
                <c:pt idx="4">
                  <c:v>21.571718918829834</c:v>
                </c:pt>
                <c:pt idx="5">
                  <c:v>21.376843181687963</c:v>
                </c:pt>
                <c:pt idx="6">
                  <c:v>21.181965427385325</c:v>
                </c:pt>
                <c:pt idx="7">
                  <c:v>20.987085907095047</c:v>
                </c:pt>
                <c:pt idx="8">
                  <c:v>20.792204868442788</c:v>
                </c:pt>
                <c:pt idx="9">
                  <c:v>20.597322556004038</c:v>
                </c:pt>
                <c:pt idx="10">
                  <c:v>20.402439211795382</c:v>
                </c:pt>
                <c:pt idx="11">
                  <c:v>20.207555075760467</c:v>
                </c:pt>
                <c:pt idx="12">
                  <c:v>20.012670386252335</c:v>
                </c:pt>
                <c:pt idx="13">
                  <c:v>19.817785380511687</c:v>
                </c:pt>
                <c:pt idx="14">
                  <c:v>19.622900295144177</c:v>
                </c:pt>
                <c:pt idx="15">
                  <c:v>19.428015366595297</c:v>
                </c:pt>
                <c:pt idx="16">
                  <c:v>19.233130831625715</c:v>
                </c:pt>
                <c:pt idx="17">
                  <c:v>19.038246927786769</c:v>
                </c:pt>
                <c:pt idx="18">
                  <c:v>18.843363893897834</c:v>
                </c:pt>
                <c:pt idx="19">
                  <c:v>18.648481970526085</c:v>
                </c:pt>
                <c:pt idx="20">
                  <c:v>18.45360140046964</c:v>
                </c:pt>
                <c:pt idx="21">
                  <c:v>18.25872242924537</c:v>
                </c:pt>
                <c:pt idx="22">
                  <c:v>18.0638453055819</c:v>
                </c:pt>
                <c:pt idx="23">
                  <c:v>17.868970281919065</c:v>
                </c:pt>
                <c:pt idx="24">
                  <c:v>17.674097614914686</c:v>
                </c:pt>
                <c:pt idx="25">
                  <c:v>17.479227565959942</c:v>
                </c:pt>
                <c:pt idx="26">
                  <c:v>17.284360401703715</c:v>
                </c:pt>
                <c:pt idx="27">
                  <c:v>17.089496394587812</c:v>
                </c:pt>
                <c:pt idx="28">
                  <c:v>16.89463582339334</c:v>
                </c:pt>
                <c:pt idx="29">
                  <c:v>16.699778973799852</c:v>
                </c:pt>
                <c:pt idx="30">
                  <c:v>16.504926138958037</c:v>
                </c:pt>
                <c:pt idx="31">
                  <c:v>16.310077620077351</c:v>
                </c:pt>
                <c:pt idx="32">
                  <c:v>16.115233727029384</c:v>
                </c:pt>
                <c:pt idx="33">
                  <c:v>15.920394778968568</c:v>
                </c:pt>
                <c:pt idx="34">
                  <c:v>15.725561104971213</c:v>
                </c:pt>
                <c:pt idx="35">
                  <c:v>15.530733044694035</c:v>
                </c:pt>
                <c:pt idx="36">
                  <c:v>15.335910949053645</c:v>
                </c:pt>
                <c:pt idx="37">
                  <c:v>15.141095180928357</c:v>
                </c:pt>
                <c:pt idx="38">
                  <c:v>14.94628611588344</c:v>
                </c:pt>
                <c:pt idx="39">
                  <c:v>14.75148414292142</c:v>
                </c:pt>
                <c:pt idx="40">
                  <c:v>14.556689665258949</c:v>
                </c:pt>
                <c:pt idx="41">
                  <c:v>14.361903101131352</c:v>
                </c:pt>
                <c:pt idx="42">
                  <c:v>14.167124884627192</c:v>
                </c:pt>
                <c:pt idx="43">
                  <c:v>13.972355466553489</c:v>
                </c:pt>
                <c:pt idx="44">
                  <c:v>13.777595315333848</c:v>
                </c:pt>
                <c:pt idx="45">
                  <c:v>13.582844917941275</c:v>
                </c:pt>
                <c:pt idx="46">
                  <c:v>13.388104780867398</c:v>
                </c:pt>
                <c:pt idx="47">
                  <c:v>13.193375431129004</c:v>
                </c:pt>
                <c:pt idx="48">
                  <c:v>12.998657417316222</c:v>
                </c:pt>
                <c:pt idx="49">
                  <c:v>12.803951310681043</c:v>
                </c:pt>
                <c:pt idx="50">
                  <c:v>12.609257706271128</c:v>
                </c:pt>
                <c:pt idx="51">
                  <c:v>12.414577224109483</c:v>
                </c:pt>
                <c:pt idx="52">
                  <c:v>12.219910510422668</c:v>
                </c:pt>
                <c:pt idx="53">
                  <c:v>12.025258238919774</c:v>
                </c:pt>
                <c:pt idx="54">
                  <c:v>11.830621112124467</c:v>
                </c:pt>
                <c:pt idx="55">
                  <c:v>11.635999862762809</c:v>
                </c:pt>
                <c:pt idx="56">
                  <c:v>11.441395255209525</c:v>
                </c:pt>
                <c:pt idx="57">
                  <c:v>11.24680808699447</c:v>
                </c:pt>
                <c:pt idx="58">
                  <c:v>11.052239190373413</c:v>
                </c:pt>
                <c:pt idx="59">
                  <c:v>10.857689433965119</c:v>
                </c:pt>
                <c:pt idx="60">
                  <c:v>10.663159724457682</c:v>
                </c:pt>
                <c:pt idx="61">
                  <c:v>10.468651008387742</c:v>
                </c:pt>
                <c:pt idx="62">
                  <c:v>10.274164273995526</c:v>
                </c:pt>
                <c:pt idx="63">
                  <c:v>10.079700553158414</c:v>
                </c:pt>
                <c:pt idx="64">
                  <c:v>9.8852609234077633</c:v>
                </c:pt>
                <c:pt idx="65">
                  <c:v>9.6908465100311894</c:v>
                </c:pt>
                <c:pt idx="66">
                  <c:v>9.4964584882651835</c:v>
                </c:pt>
                <c:pt idx="67">
                  <c:v>9.302098085580516</c:v>
                </c:pt>
                <c:pt idx="68">
                  <c:v>9.1077665840662032</c:v>
                </c:pt>
                <c:pt idx="69">
                  <c:v>8.9134653229139644</c:v>
                </c:pt>
                <c:pt idx="70">
                  <c:v>8.7191957010094132</c:v>
                </c:pt>
                <c:pt idx="71">
                  <c:v>8.5249591796330577</c:v>
                </c:pt>
                <c:pt idx="72">
                  <c:v>8.3307572852756238</c:v>
                </c:pt>
                <c:pt idx="73">
                  <c:v>8.1365916125736408</c:v>
                </c:pt>
                <c:pt idx="74">
                  <c:v>7.9424638273682868</c:v>
                </c:pt>
                <c:pt idx="75">
                  <c:v>7.7483756698937629</c:v>
                </c:pt>
                <c:pt idx="76">
                  <c:v>7.5543289580997461</c:v>
                </c:pt>
                <c:pt idx="77">
                  <c:v>7.3603255911133347</c:v>
                </c:pt>
                <c:pt idx="78">
                  <c:v>7.1663675528456459</c:v>
                </c:pt>
                <c:pt idx="79">
                  <c:v>6.9724569157492757</c:v>
                </c:pt>
                <c:pt idx="80">
                  <c:v>6.7785958447306829</c:v>
                </c:pt>
                <c:pt idx="81">
                  <c:v>6.5847866012260585</c:v>
                </c:pt>
                <c:pt idx="82">
                  <c:v>6.3910315474434505</c:v>
                </c:pt>
                <c:pt idx="83">
                  <c:v>6.1973331507803113</c:v>
                </c:pt>
                <c:pt idx="84">
                  <c:v>6.0036939884196725</c:v>
                </c:pt>
                <c:pt idx="85">
                  <c:v>5.8101167521144781</c:v>
                </c:pt>
                <c:pt idx="86">
                  <c:v>5.616604253163656</c:v>
                </c:pt>
                <c:pt idx="87">
                  <c:v>5.4231594275888648</c:v>
                </c:pt>
                <c:pt idx="88">
                  <c:v>5.2297853415165028</c:v>
                </c:pt>
                <c:pt idx="89">
                  <c:v>5.0364851967737154</c:v>
                </c:pt>
                <c:pt idx="90">
                  <c:v>4.8432623367037104</c:v>
                </c:pt>
                <c:pt idx="91">
                  <c:v>4.6501202522079108</c:v>
                </c:pt>
                <c:pt idx="92">
                  <c:v>4.4570625880221906</c:v>
                </c:pt>
                <c:pt idx="93">
                  <c:v>4.2640931492331866</c:v>
                </c:pt>
                <c:pt idx="94">
                  <c:v>4.071215908042368</c:v>
                </c:pt>
                <c:pt idx="95">
                  <c:v>3.8784350107843437</c:v>
                </c:pt>
                <c:pt idx="96">
                  <c:v>3.685754785206385</c:v>
                </c:pt>
                <c:pt idx="97">
                  <c:v>3.4931797480156561</c:v>
                </c:pt>
                <c:pt idx="98">
                  <c:v>3.3007146127006464</c:v>
                </c:pt>
                <c:pt idx="99">
                  <c:v>3.1083642976333263</c:v>
                </c:pt>
                <c:pt idx="100">
                  <c:v>2.9161339344579167</c:v>
                </c:pt>
                <c:pt idx="101">
                  <c:v>2.724028876771984</c:v>
                </c:pt>
                <c:pt idx="102">
                  <c:v>2.532054709105382</c:v>
                </c:pt>
                <c:pt idx="103">
                  <c:v>2.3402172562024499</c:v>
                </c:pt>
                <c:pt idx="104">
                  <c:v>2.1485225926107914</c:v>
                </c:pt>
                <c:pt idx="105">
                  <c:v>1.9569770525817944</c:v>
                </c:pt>
                <c:pt idx="106">
                  <c:v>1.7655872402859649</c:v>
                </c:pt>
                <c:pt idx="107">
                  <c:v>1.5743600403445241</c:v>
                </c:pt>
                <c:pt idx="108">
                  <c:v>1.3833026286807713</c:v>
                </c:pt>
                <c:pt idx="109">
                  <c:v>1.1924224836907056</c:v>
                </c:pt>
                <c:pt idx="110">
                  <c:v>1.0017273977323182</c:v>
                </c:pt>
                <c:pt idx="111">
                  <c:v>0.81122548893345814</c:v>
                </c:pt>
                <c:pt idx="112">
                  <c:v>0.62092521331483252</c:v>
                </c:pt>
                <c:pt idx="113">
                  <c:v>0.4308353772226009</c:v>
                </c:pt>
                <c:pt idx="114">
                  <c:v>0.24096515006746055</c:v>
                </c:pt>
                <c:pt idx="115">
                  <c:v>5.132407735917905E-2</c:v>
                </c:pt>
                <c:pt idx="116">
                  <c:v>-0.13807790596946198</c:v>
                </c:pt>
                <c:pt idx="117">
                  <c:v>-0.32723046196426769</c:v>
                </c:pt>
                <c:pt idx="118">
                  <c:v>-0.51612283578861295</c:v>
                </c:pt>
                <c:pt idx="119">
                  <c:v>-0.70474384161739478</c:v>
                </c:pt>
                <c:pt idx="120">
                  <c:v>-0.89308184830512016</c:v>
                </c:pt>
                <c:pt idx="121">
                  <c:v>-1.0811247648503279</c:v>
                </c:pt>
                <c:pt idx="122">
                  <c:v>-1.2688600256819504</c:v>
                </c:pt>
                <c:pt idx="123">
                  <c:v>-1.456274575796642</c:v>
                </c:pt>
                <c:pt idx="124">
                  <c:v>-1.6433548557795774</c:v>
                </c:pt>
                <c:pt idx="125">
                  <c:v>-1.8300867867455577</c:v>
                </c:pt>
                <c:pt idx="126">
                  <c:v>-2.0164557552412936</c:v>
                </c:pt>
                <c:pt idx="127">
                  <c:v>-2.2024465981538661</c:v>
                </c:pt>
                <c:pt idx="128">
                  <c:v>-2.3880435876762318</c:v>
                </c:pt>
                <c:pt idx="129">
                  <c:v>-2.5732304163842028</c:v>
                </c:pt>
                <c:pt idx="130">
                  <c:v>-2.7579901824859299</c:v>
                </c:pt>
                <c:pt idx="131">
                  <c:v>-2.9423053753095885</c:v>
                </c:pt>
                <c:pt idx="132">
                  <c:v>-3.126157861101484</c:v>
                </c:pt>
                <c:pt idx="133">
                  <c:v>-3.3095288692124218</c:v>
                </c:pt>
                <c:pt idx="134">
                  <c:v>-3.492398978756206</c:v>
                </c:pt>
                <c:pt idx="135">
                  <c:v>-3.6747481058318021</c:v>
                </c:pt>
                <c:pt idx="136">
                  <c:v>-3.85655549140556</c:v>
                </c:pt>
                <c:pt idx="137">
                  <c:v>-4.0377996899583977</c:v>
                </c:pt>
                <c:pt idx="138">
                  <c:v>-4.218458559008484</c:v>
                </c:pt>
                <c:pt idx="139">
                  <c:v>-4.3985092496275033</c:v>
                </c:pt>
                <c:pt idx="140">
                  <c:v>-4.5779281980752167</c:v>
                </c:pt>
                <c:pt idx="141">
                  <c:v>-4.7566911186839382</c:v>
                </c:pt>
                <c:pt idx="142">
                  <c:v>-4.9347729981307591</c:v>
                </c:pt>
                <c:pt idx="143">
                  <c:v>-5.1121480912430304</c:v>
                </c:pt>
                <c:pt idx="144">
                  <c:v>-5.2887899184865361</c:v>
                </c:pt>
                <c:pt idx="145">
                  <c:v>-5.4646712652930782</c:v>
                </c:pt>
                <c:pt idx="146">
                  <c:v>-5.6397641833887633</c:v>
                </c:pt>
                <c:pt idx="147">
                  <c:v>-5.8140399942891454</c:v>
                </c:pt>
                <c:pt idx="148">
                  <c:v>-5.9874692951283723</c:v>
                </c:pt>
                <c:pt idx="149">
                  <c:v>-6.1600219669964194</c:v>
                </c:pt>
                <c:pt idx="150">
                  <c:v>-6.3316671859556548</c:v>
                </c:pt>
                <c:pt idx="151">
                  <c:v>-6.5023734369109327</c:v>
                </c:pt>
                <c:pt idx="152">
                  <c:v>-6.6721085305049179</c:v>
                </c:pt>
                <c:pt idx="153">
                  <c:v>-6.840839623207879</c:v>
                </c:pt>
                <c:pt idx="154">
                  <c:v>-7.0085332407661429</c:v>
                </c:pt>
                <c:pt idx="155">
                  <c:v>-7.175155305168003</c:v>
                </c:pt>
                <c:pt idx="156">
                  <c:v>-7.3406711652754755</c:v>
                </c:pt>
                <c:pt idx="157">
                  <c:v>-7.5050456312610621</c:v>
                </c:pt>
                <c:pt idx="158">
                  <c:v>-7.668243012974675</c:v>
                </c:pt>
                <c:pt idx="159">
                  <c:v>-7.8302271623497983</c:v>
                </c:pt>
                <c:pt idx="160">
                  <c:v>-7.9909615199406581</c:v>
                </c:pt>
                <c:pt idx="161">
                  <c:v>-8.1504091656597737</c:v>
                </c:pt>
                <c:pt idx="162">
                  <c:v>-8.308532873763145</c:v>
                </c:pt>
                <c:pt idx="163">
                  <c:v>-8.4652951721018521</c:v>
                </c:pt>
                <c:pt idx="164">
                  <c:v>-8.6206584056320708</c:v>
                </c:pt>
                <c:pt idx="165">
                  <c:v>-8.7745848041409236</c:v>
                </c:pt>
                <c:pt idx="166">
                  <c:v>-8.9270365541140499</c:v>
                </c:pt>
                <c:pt idx="167">
                  <c:v>-9.0779758746319281</c:v>
                </c:pt>
                <c:pt idx="168">
                  <c:v>-9.22736509714513</c:v>
                </c:pt>
                <c:pt idx="169">
                  <c:v>-9.3751667489361434</c:v>
                </c:pt>
                <c:pt idx="170">
                  <c:v>-9.5213436400366405</c:v>
                </c:pt>
                <c:pt idx="171">
                  <c:v>-9.6658589533223118</c:v>
                </c:pt>
                <c:pt idx="172">
                  <c:v>-9.8086763374680785</c:v>
                </c:pt>
                <c:pt idx="173">
                  <c:v>-9.9497600024002963</c:v>
                </c:pt>
                <c:pt idx="174">
                  <c:v>-10.08907481684126</c:v>
                </c:pt>
                <c:pt idx="175">
                  <c:v>-10.226586407499521</c:v>
                </c:pt>
                <c:pt idx="176">
                  <c:v>-10.362261259421359</c:v>
                </c:pt>
                <c:pt idx="177">
                  <c:v>-10.496066816979141</c:v>
                </c:pt>
                <c:pt idx="178">
                  <c:v>-10.627971584942451</c:v>
                </c:pt>
                <c:pt idx="179">
                  <c:v>-10.757945229044983</c:v>
                </c:pt>
                <c:pt idx="180">
                  <c:v>-10.885958675439092</c:v>
                </c:pt>
                <c:pt idx="181">
                  <c:v>-11.011984208406528</c:v>
                </c:pt>
                <c:pt idx="182">
                  <c:v>-11.13599556568462</c:v>
                </c:pt>
                <c:pt idx="183">
                  <c:v>-11.257968030756775</c:v>
                </c:pt>
                <c:pt idx="184">
                  <c:v>-11.377878521459371</c:v>
                </c:pt>
                <c:pt idx="185">
                  <c:v>-11.495705674261448</c:v>
                </c:pt>
                <c:pt idx="186">
                  <c:v>-11.611429923591974</c:v>
                </c:pt>
                <c:pt idx="187">
                  <c:v>-11.725033575608155</c:v>
                </c:pt>
                <c:pt idx="188">
                  <c:v>-11.83650087583246</c:v>
                </c:pt>
                <c:pt idx="189">
                  <c:v>-11.945818070120387</c:v>
                </c:pt>
                <c:pt idx="190">
                  <c:v>-12.052973458467616</c:v>
                </c:pt>
                <c:pt idx="191">
                  <c:v>-12.157957441216363</c:v>
                </c:pt>
                <c:pt idx="192">
                  <c:v>-12.26076255727758</c:v>
                </c:pt>
                <c:pt idx="193">
                  <c:v>-12.361383514050599</c:v>
                </c:pt>
                <c:pt idx="194">
                  <c:v>-12.459817208785672</c:v>
                </c:pt>
                <c:pt idx="195">
                  <c:v>-12.556062741211338</c:v>
                </c:pt>
                <c:pt idx="196">
                  <c:v>-12.650121417316559</c:v>
                </c:pt>
                <c:pt idx="197">
                  <c:v>-12.741996744258561</c:v>
                </c:pt>
                <c:pt idx="198">
                  <c:v>-12.831694416437838</c:v>
                </c:pt>
                <c:pt idx="199">
                  <c:v>-12.919222292862065</c:v>
                </c:pt>
                <c:pt idx="200">
                  <c:v>-13.004590365989754</c:v>
                </c:pt>
                <c:pt idx="201">
                  <c:v>-13.087810722318697</c:v>
                </c:pt>
                <c:pt idx="202">
                  <c:v>-13.16889749504822</c:v>
                </c:pt>
                <c:pt idx="203">
                  <c:v>-13.24786680920864</c:v>
                </c:pt>
                <c:pt idx="204">
                  <c:v>-13.324736719707207</c:v>
                </c:pt>
                <c:pt idx="205">
                  <c:v>-13.39952714278974</c:v>
                </c:pt>
                <c:pt idx="206">
                  <c:v>-13.47225978146132</c:v>
                </c:pt>
                <c:pt idx="207">
                  <c:v>-13.542958045446589</c:v>
                </c:pt>
                <c:pt idx="208">
                  <c:v>-13.611646966297439</c:v>
                </c:pt>
                <c:pt idx="209">
                  <c:v>-13.678353108279529</c:v>
                </c:pt>
                <c:pt idx="210">
                  <c:v>-13.743104475680223</c:v>
                </c:pt>
                <c:pt idx="211">
                  <c:v>-13.805930417189172</c:v>
                </c:pt>
                <c:pt idx="212">
                  <c:v>-13.866861528000488</c:v>
                </c:pt>
                <c:pt idx="213">
                  <c:v>-13.925929550277036</c:v>
                </c:pt>
                <c:pt idx="214">
                  <c:v>-13.983167272604788</c:v>
                </c:pt>
                <c:pt idx="215">
                  <c:v>-14.038608429043187</c:v>
                </c:pt>
                <c:pt idx="216">
                  <c:v>-14.092287598353128</c:v>
                </c:pt>
                <c:pt idx="217">
                  <c:v>-14.144240103953369</c:v>
                </c:pt>
                <c:pt idx="218">
                  <c:v>-14.194501915123114</c:v>
                </c:pt>
                <c:pt idx="219">
                  <c:v>-14.243109549929896</c:v>
                </c:pt>
                <c:pt idx="220">
                  <c:v>-14.29009998032309</c:v>
                </c:pt>
                <c:pt idx="221">
                  <c:v>-14.335510539792399</c:v>
                </c:pt>
                <c:pt idx="222">
                  <c:v>-14.379378833945536</c:v>
                </c:pt>
                <c:pt idx="223">
                  <c:v>-14.421742654319241</c:v>
                </c:pt>
                <c:pt idx="224">
                  <c:v>-14.462639895691837</c:v>
                </c:pt>
                <c:pt idx="225">
                  <c:v>-14.502108477123903</c:v>
                </c:pt>
                <c:pt idx="226">
                  <c:v>-14.540186266912944</c:v>
                </c:pt>
                <c:pt idx="227">
                  <c:v>-14.576911011605883</c:v>
                </c:pt>
                <c:pt idx="228">
                  <c:v>-14.612320269176475</c:v>
                </c:pt>
                <c:pt idx="229">
                  <c:v>-14.646451346436853</c:v>
                </c:pt>
                <c:pt idx="230">
                  <c:v>-14.679341240721604</c:v>
                </c:pt>
                <c:pt idx="231">
                  <c:v>-14.7110265858469</c:v>
                </c:pt>
                <c:pt idx="232">
                  <c:v>-14.741543602322796</c:v>
                </c:pt>
                <c:pt idx="233">
                  <c:v>-14.770928051767942</c:v>
                </c:pt>
                <c:pt idx="234">
                  <c:v>-14.799215195453923</c:v>
                </c:pt>
                <c:pt idx="235">
                  <c:v>-14.826439756885716</c:v>
                </c:pt>
                <c:pt idx="236">
                  <c:v>-14.852635888306089</c:v>
                </c:pt>
                <c:pt idx="237">
                  <c:v>-14.87783714099769</c:v>
                </c:pt>
                <c:pt idx="238">
                  <c:v>-14.902076439243622</c:v>
                </c:pt>
                <c:pt idx="239">
                  <c:v>-14.925386057794018</c:v>
                </c:pt>
                <c:pt idx="240">
                  <c:v>-14.947797602683526</c:v>
                </c:pt>
                <c:pt idx="241">
                  <c:v>-14.969341995232012</c:v>
                </c:pt>
                <c:pt idx="242">
                  <c:v>-14.990049459061341</c:v>
                </c:pt>
                <c:pt idx="243">
                  <c:v>-15.009949509956256</c:v>
                </c:pt>
                <c:pt idx="244">
                  <c:v>-15.029070948396885</c:v>
                </c:pt>
                <c:pt idx="245">
                  <c:v>-15.047441854590542</c:v>
                </c:pt>
                <c:pt idx="246">
                  <c:v>-15.065089585833215</c:v>
                </c:pt>
                <c:pt idx="247">
                  <c:v>-15.082040776031935</c:v>
                </c:pt>
                <c:pt idx="248">
                  <c:v>-15.098321337225748</c:v>
                </c:pt>
                <c:pt idx="249">
                  <c:v>-15.113956462944468</c:v>
                </c:pt>
                <c:pt idx="250">
                  <c:v>-15.128970633251566</c:v>
                </c:pt>
                <c:pt idx="251">
                  <c:v>-15.143387621322507</c:v>
                </c:pt>
                <c:pt idx="252">
                  <c:v>-15.15723050141659</c:v>
                </c:pt>
                <c:pt idx="253">
                  <c:v>-15.170521658106003</c:v>
                </c:pt>
                <c:pt idx="254">
                  <c:v>-15.183282796632655</c:v>
                </c:pt>
                <c:pt idx="255">
                  <c:v>-15.195534954271379</c:v>
                </c:pt>
                <c:pt idx="256">
                  <c:v>-15.207298512583236</c:v>
                </c:pt>
                <c:pt idx="257">
                  <c:v>-15.218593210450857</c:v>
                </c:pt>
                <c:pt idx="258">
                  <c:v>-15.229438157794888</c:v>
                </c:pt>
                <c:pt idx="259">
                  <c:v>-15.239851849874906</c:v>
                </c:pt>
                <c:pt idx="260">
                  <c:v>-15.249852182090166</c:v>
                </c:pt>
                <c:pt idx="261">
                  <c:v>-15.259456465195175</c:v>
                </c:pt>
                <c:pt idx="262">
                  <c:v>-15.268681440857373</c:v>
                </c:pt>
                <c:pt idx="263">
                  <c:v>-15.277543297486673</c:v>
                </c:pt>
                <c:pt idx="264">
                  <c:v>-15.286057686274063</c:v>
                </c:pt>
                <c:pt idx="265">
                  <c:v>-15.294239737381815</c:v>
                </c:pt>
                <c:pt idx="266">
                  <c:v>-15.302104076232988</c:v>
                </c:pt>
                <c:pt idx="267">
                  <c:v>-15.309664839852493</c:v>
                </c:pt>
                <c:pt idx="268">
                  <c:v>-15.316935693218721</c:v>
                </c:pt>
                <c:pt idx="269">
                  <c:v>-15.323929845586719</c:v>
                </c:pt>
                <c:pt idx="270">
                  <c:v>-15.330660066749415</c:v>
                </c:pt>
                <c:pt idx="271">
                  <c:v>-15.337138703209384</c:v>
                </c:pt>
                <c:pt idx="272">
                  <c:v>-15.343377694232206</c:v>
                </c:pt>
                <c:pt idx="273">
                  <c:v>-15.349388587762128</c:v>
                </c:pt>
                <c:pt idx="274">
                  <c:v>-15.355182556180033</c:v>
                </c:pt>
                <c:pt idx="275">
                  <c:v>-15.360770411887083</c:v>
                </c:pt>
                <c:pt idx="276">
                  <c:v>-15.366162622702554</c:v>
                </c:pt>
                <c:pt idx="277">
                  <c:v>-15.371369327064674</c:v>
                </c:pt>
                <c:pt idx="278">
                  <c:v>-15.376400349025987</c:v>
                </c:pt>
                <c:pt idx="279">
                  <c:v>-15.381265213038658</c:v>
                </c:pt>
                <c:pt idx="280">
                  <c:v>-15.385973158525008</c:v>
                </c:pt>
                <c:pt idx="281">
                  <c:v>-15.390533154232207</c:v>
                </c:pt>
                <c:pt idx="282">
                  <c:v>-15.394953912370413</c:v>
                </c:pt>
                <c:pt idx="283">
                  <c:v>-15.399243902536417</c:v>
                </c:pt>
                <c:pt idx="284">
                  <c:v>-15.403411365425052</c:v>
                </c:pt>
                <c:pt idx="285">
                  <c:v>-15.407464326333331</c:v>
                </c:pt>
                <c:pt idx="286">
                  <c:v>-15.41141060846217</c:v>
                </c:pt>
                <c:pt idx="287">
                  <c:v>-15.415257846022584</c:v>
                </c:pt>
                <c:pt idx="288">
                  <c:v>-15.419013497153371</c:v>
                </c:pt>
                <c:pt idx="289">
                  <c:v>-15.422684856658964</c:v>
                </c:pt>
                <c:pt idx="290">
                  <c:v>-15.426279068576633</c:v>
                </c:pt>
                <c:pt idx="291">
                  <c:v>-15.429803138582454</c:v>
                </c:pt>
                <c:pt idx="292">
                  <c:v>-15.433263946246921</c:v>
                </c:pt>
                <c:pt idx="293">
                  <c:v>-15.436668257150997</c:v>
                </c:pt>
                <c:pt idx="294">
                  <c:v>-15.440022734874134</c:v>
                </c:pt>
                <c:pt idx="295">
                  <c:v>-15.443333952866347</c:v>
                </c:pt>
                <c:pt idx="296">
                  <c:v>-15.446608406216205</c:v>
                </c:pt>
                <c:pt idx="297">
                  <c:v>-15.449852523328129</c:v>
                </c:pt>
                <c:pt idx="298">
                  <c:v>-15.453072677521234</c:v>
                </c:pt>
                <c:pt idx="299">
                  <c:v>-15.456275198563095</c:v>
                </c:pt>
                <c:pt idx="300">
                  <c:v>-15.459466384151511</c:v>
                </c:pt>
                <c:pt idx="301">
                  <c:v>-15.462652511358964</c:v>
                </c:pt>
                <c:pt idx="302">
                  <c:v>-15.465839848051166</c:v>
                </c:pt>
                <c:pt idx="303">
                  <c:v>-15.469034664295231</c:v>
                </c:pt>
                <c:pt idx="304">
                  <c:v>-15.472243243770672</c:v>
                </c:pt>
                <c:pt idx="305">
                  <c:v>-15.475471895196041</c:v>
                </c:pt>
                <c:pt idx="306">
                  <c:v>-15.478726963786206</c:v>
                </c:pt>
                <c:pt idx="307">
                  <c:v>-15.482014842752516</c:v>
                </c:pt>
                <c:pt idx="308">
                  <c:v>-15.485341984860463</c:v>
                </c:pt>
                <c:pt idx="309">
                  <c:v>-15.488714914056892</c:v>
                </c:pt>
                <c:pt idx="310">
                  <c:v>-15.49214023718095</c:v>
                </c:pt>
                <c:pt idx="311">
                  <c:v>-15.49562465577069</c:v>
                </c:pt>
                <c:pt idx="312">
                  <c:v>-15.499174977978594</c:v>
                </c:pt>
                <c:pt idx="313">
                  <c:v>-15.502798130607596</c:v>
                </c:pt>
                <c:pt idx="314">
                  <c:v>-15.506501171279428</c:v>
                </c:pt>
                <c:pt idx="315">
                  <c:v>-15.510291300747401</c:v>
                </c:pt>
                <c:pt idx="316">
                  <c:v>-15.514175875362975</c:v>
                </c:pt>
                <c:pt idx="317">
                  <c:v>-15.518162419708016</c:v>
                </c:pt>
                <c:pt idx="318">
                  <c:v>-15.522258639400832</c:v>
                </c:pt>
                <c:pt idx="319">
                  <c:v>-15.526472434085928</c:v>
                </c:pt>
                <c:pt idx="320">
                  <c:v>-15.530811910614563</c:v>
                </c:pt>
                <c:pt idx="321">
                  <c:v>-15.535285396423983</c:v>
                </c:pt>
                <c:pt idx="322">
                  <c:v>-15.539901453120947</c:v>
                </c:pt>
                <c:pt idx="323">
                  <c:v>-15.544668890274824</c:v>
                </c:pt>
                <c:pt idx="324">
                  <c:v>-15.54959677942356</c:v>
                </c:pt>
                <c:pt idx="325">
                  <c:v>-15.554694468295367</c:v>
                </c:pt>
                <c:pt idx="326">
                  <c:v>-15.559971595246793</c:v>
                </c:pt>
                <c:pt idx="327">
                  <c:v>-15.565438103916531</c:v>
                </c:pt>
                <c:pt idx="328">
                  <c:v>-15.571104258092394</c:v>
                </c:pt>
                <c:pt idx="329">
                  <c:v>-15.576980656786777</c:v>
                </c:pt>
                <c:pt idx="330">
                  <c:v>-15.583078249514307</c:v>
                </c:pt>
                <c:pt idx="331">
                  <c:v>-15.589408351763247</c:v>
                </c:pt>
                <c:pt idx="332">
                  <c:v>-15.595982660647927</c:v>
                </c:pt>
                <c:pt idx="333">
                  <c:v>-15.602813270729454</c:v>
                </c:pt>
                <c:pt idx="334">
                  <c:v>-15.609912689987095</c:v>
                </c:pt>
                <c:pt idx="335">
                  <c:v>-15.617293855920312</c:v>
                </c:pt>
                <c:pt idx="336">
                  <c:v>-15.624970151757847</c:v>
                </c:pt>
                <c:pt idx="337">
                  <c:v>-15.632955422747104</c:v>
                </c:pt>
                <c:pt idx="338">
                  <c:v>-15.641263992492204</c:v>
                </c:pt>
                <c:pt idx="339">
                  <c:v>-15.649910679306107</c:v>
                </c:pt>
                <c:pt idx="340">
                  <c:v>-15.658910812537608</c:v>
                </c:pt>
                <c:pt idx="341">
                  <c:v>-15.668280248827692</c:v>
                </c:pt>
                <c:pt idx="342">
                  <c:v>-15.678035388248283</c:v>
                </c:pt>
                <c:pt idx="343">
                  <c:v>-15.688193190266674</c:v>
                </c:pt>
                <c:pt idx="344">
                  <c:v>-15.698771189478766</c:v>
                </c:pt>
                <c:pt idx="345">
                  <c:v>-15.709787511042371</c:v>
                </c:pt>
                <c:pt idx="346">
                  <c:v>-15.721260885742577</c:v>
                </c:pt>
                <c:pt idx="347">
                  <c:v>-15.733210664608952</c:v>
                </c:pt>
                <c:pt idx="348">
                  <c:v>-15.745656833002325</c:v>
                </c:pt>
                <c:pt idx="349">
                  <c:v>-15.758620024079368</c:v>
                </c:pt>
                <c:pt idx="350">
                  <c:v>-15.772121531538751</c:v>
                </c:pt>
                <c:pt idx="351">
                  <c:v>-15.786183321544133</c:v>
                </c:pt>
                <c:pt idx="352">
                  <c:v>-15.800828043713031</c:v>
                </c:pt>
                <c:pt idx="353">
                  <c:v>-15.81607904105284</c:v>
                </c:pt>
                <c:pt idx="354">
                  <c:v>-15.831960358720687</c:v>
                </c:pt>
                <c:pt idx="355">
                  <c:v>-15.848496751473979</c:v>
                </c:pt>
                <c:pt idx="356">
                  <c:v>-15.865713689672633</c:v>
                </c:pt>
                <c:pt idx="357">
                  <c:v>-15.883637363690635</c:v>
                </c:pt>
                <c:pt idx="358">
                  <c:v>-15.902294686583552</c:v>
                </c:pt>
                <c:pt idx="359">
                  <c:v>-15.921713294857165</c:v>
                </c:pt>
                <c:pt idx="360">
                  <c:v>-15.941921547175896</c:v>
                </c:pt>
                <c:pt idx="361">
                  <c:v>-15.962948520844369</c:v>
                </c:pt>
                <c:pt idx="362">
                  <c:v>-15.984824005895566</c:v>
                </c:pt>
                <c:pt idx="363">
                  <c:v>-16.007578496612162</c:v>
                </c:pt>
                <c:pt idx="364">
                  <c:v>-16.031243180310245</c:v>
                </c:pt>
                <c:pt idx="365">
                  <c:v>-16.055849923211689</c:v>
                </c:pt>
                <c:pt idx="366">
                  <c:v>-16.081431253236687</c:v>
                </c:pt>
                <c:pt idx="367">
                  <c:v>-16.108020339546577</c:v>
                </c:pt>
                <c:pt idx="368">
                  <c:v>-16.135650968675691</c:v>
                </c:pt>
                <c:pt idx="369">
                  <c:v>-16.164357517097173</c:v>
                </c:pt>
                <c:pt idx="370">
                  <c:v>-16.194174920074733</c:v>
                </c:pt>
                <c:pt idx="371">
                  <c:v>-16.225138636667285</c:v>
                </c:pt>
                <c:pt idx="372">
                  <c:v>-16.257284610763296</c:v>
                </c:pt>
                <c:pt idx="373">
                  <c:v>-16.290649228041595</c:v>
                </c:pt>
                <c:pt idx="374">
                  <c:v>-16.325269268771276</c:v>
                </c:pt>
                <c:pt idx="375">
                  <c:v>-16.361181856386807</c:v>
                </c:pt>
                <c:pt idx="376">
                  <c:v>-16.398424401798618</c:v>
                </c:pt>
                <c:pt idx="377">
                  <c:v>-16.437034543425288</c:v>
                </c:pt>
                <c:pt idx="378">
                  <c:v>-16.477050082965267</c:v>
                </c:pt>
                <c:pt idx="379">
                  <c:v>-16.518508916956183</c:v>
                </c:pt>
                <c:pt idx="380">
                  <c:v>-16.561448964206459</c:v>
                </c:pt>
                <c:pt idx="381">
                  <c:v>-16.60590808921966</c:v>
                </c:pt>
                <c:pt idx="382">
                  <c:v>-16.651924021772412</c:v>
                </c:pt>
                <c:pt idx="383">
                  <c:v>-16.699534272845998</c:v>
                </c:pt>
                <c:pt idx="384">
                  <c:v>-16.748776047155239</c:v>
                </c:pt>
                <c:pt idx="385">
                  <c:v>-16.799686152559914</c:v>
                </c:pt>
                <c:pt idx="386">
                  <c:v>-16.852300906688853</c:v>
                </c:pt>
                <c:pt idx="387">
                  <c:v>-16.906656041147638</c:v>
                </c:pt>
                <c:pt idx="388">
                  <c:v>-16.962786603726954</c:v>
                </c:pt>
                <c:pt idx="389">
                  <c:v>-17.0207268590643</c:v>
                </c:pt>
                <c:pt idx="390">
                  <c:v>-17.080510188256739</c:v>
                </c:pt>
                <c:pt idx="391">
                  <c:v>-17.142168987952967</c:v>
                </c:pt>
                <c:pt idx="392">
                  <c:v>-17.205734569489447</c:v>
                </c:pt>
                <c:pt idx="393">
                  <c:v>-17.271237058661274</c:v>
                </c:pt>
                <c:pt idx="394">
                  <c:v>-17.338705296743711</c:v>
                </c:pt>
                <c:pt idx="395">
                  <c:v>-17.408166743397111</c:v>
                </c:pt>
                <c:pt idx="396">
                  <c:v>-17.479647382100495</c:v>
                </c:pt>
                <c:pt idx="397">
                  <c:v>-17.553171628763788</c:v>
                </c:pt>
                <c:pt idx="398">
                  <c:v>-17.628762244167987</c:v>
                </c:pt>
                <c:pt idx="399">
                  <c:v>-17.706440250872355</c:v>
                </c:pt>
                <c:pt idx="400">
                  <c:v>-17.78622485521166</c:v>
                </c:pt>
                <c:pt idx="401">
                  <c:v>-17.868133374981795</c:v>
                </c:pt>
                <c:pt idx="402">
                  <c:v>-17.952181173380605</c:v>
                </c:pt>
                <c:pt idx="403">
                  <c:v>-18.038381599731682</c:v>
                </c:pt>
                <c:pt idx="404">
                  <c:v>-18.126745937470833</c:v>
                </c:pt>
                <c:pt idx="405">
                  <c:v>-18.217283359825153</c:v>
                </c:pt>
                <c:pt idx="406">
                  <c:v>-18.310000893551663</c:v>
                </c:pt>
                <c:pt idx="407">
                  <c:v>-18.404903391042943</c:v>
                </c:pt>
                <c:pt idx="408">
                  <c:v>-18.501993511034062</c:v>
                </c:pt>
                <c:pt idx="409">
                  <c:v>-18.601271708077562</c:v>
                </c:pt>
                <c:pt idx="410">
                  <c:v>-18.702736230874912</c:v>
                </c:pt>
                <c:pt idx="411">
                  <c:v>-18.806383129481578</c:v>
                </c:pt>
                <c:pt idx="412">
                  <c:v>-18.9122062713224</c:v>
                </c:pt>
                <c:pt idx="413">
                  <c:v>-19.020197365882808</c:v>
                </c:pt>
                <c:pt idx="414">
                  <c:v>-19.130345997866666</c:v>
                </c:pt>
                <c:pt idx="415">
                  <c:v>-19.242639668542243</c:v>
                </c:pt>
                <c:pt idx="416">
                  <c:v>-19.35706384493049</c:v>
                </c:pt>
                <c:pt idx="417">
                  <c:v>-19.473602016431883</c:v>
                </c:pt>
                <c:pt idx="418">
                  <c:v>-19.592235758429279</c:v>
                </c:pt>
                <c:pt idx="419">
                  <c:v>-19.712944802357285</c:v>
                </c:pt>
                <c:pt idx="420">
                  <c:v>-19.835707111686489</c:v>
                </c:pt>
                <c:pt idx="421">
                  <c:v>-19.960498963235175</c:v>
                </c:pt>
                <c:pt idx="422">
                  <c:v>-20.087295033195073</c:v>
                </c:pt>
                <c:pt idx="423">
                  <c:v>-20.216068487236413</c:v>
                </c:pt>
                <c:pt idx="424">
                  <c:v>-20.346791074047733</c:v>
                </c:pt>
                <c:pt idx="425">
                  <c:v>-20.479433221659228</c:v>
                </c:pt>
                <c:pt idx="426">
                  <c:v>-20.613964135902314</c:v>
                </c:pt>
                <c:pt idx="427">
                  <c:v>-20.75035190036731</c:v>
                </c:pt>
                <c:pt idx="428">
                  <c:v>-20.888563577236056</c:v>
                </c:pt>
                <c:pt idx="429">
                  <c:v>-21.028565308389449</c:v>
                </c:pt>
                <c:pt idx="430">
                  <c:v>-21.170322416214063</c:v>
                </c:pt>
                <c:pt idx="431">
                  <c:v>-21.313799503565185</c:v>
                </c:pt>
                <c:pt idx="432">
                  <c:v>-21.458960552378294</c:v>
                </c:pt>
                <c:pt idx="433">
                  <c:v>-21.605769020456371</c:v>
                </c:pt>
                <c:pt idx="434">
                  <c:v>-21.754187936004183</c:v>
                </c:pt>
                <c:pt idx="435">
                  <c:v>-21.904179989520088</c:v>
                </c:pt>
                <c:pt idx="436">
                  <c:v>-22.055707622700439</c:v>
                </c:pt>
                <c:pt idx="437">
                  <c:v>-22.208733114053267</c:v>
                </c:pt>
                <c:pt idx="438">
                  <c:v>-22.363218660962975</c:v>
                </c:pt>
                <c:pt idx="439">
                  <c:v>-22.519126457988769</c:v>
                </c:pt>
                <c:pt idx="440">
                  <c:v>-22.676418771221911</c:v>
                </c:pt>
                <c:pt idx="441">
                  <c:v>-22.835058008566339</c:v>
                </c:pt>
                <c:pt idx="442">
                  <c:v>-22.995006785844645</c:v>
                </c:pt>
                <c:pt idx="443">
                  <c:v>-23.156227988667155</c:v>
                </c:pt>
                <c:pt idx="444">
                  <c:v>-23.318684830037508</c:v>
                </c:pt>
                <c:pt idx="445">
                  <c:v>-23.482340903693718</c:v>
                </c:pt>
                <c:pt idx="446">
                  <c:v>-23.647160233218912</c:v>
                </c:pt>
                <c:pt idx="447">
                  <c:v>-23.813107316973916</c:v>
                </c:pt>
                <c:pt idx="448">
                  <c:v>-23.980147168933904</c:v>
                </c:pt>
                <c:pt idx="449">
                  <c:v>-24.148245355523706</c:v>
                </c:pt>
                <c:pt idx="450">
                  <c:v>-24.317368028571561</c:v>
                </c:pt>
                <c:pt idx="451">
                  <c:v>-24.487481954508894</c:v>
                </c:pt>
                <c:pt idx="452">
                  <c:v>-24.658554539960825</c:v>
                </c:pt>
                <c:pt idx="453">
                  <c:v>-24.830553853879582</c:v>
                </c:pt>
                <c:pt idx="454">
                  <c:v>-25.003448646382253</c:v>
                </c:pt>
                <c:pt idx="455">
                  <c:v>-25.177208364458199</c:v>
                </c:pt>
                <c:pt idx="456">
                  <c:v>-25.351803164718195</c:v>
                </c:pt>
                <c:pt idx="457">
                  <c:v>-25.52720392335706</c:v>
                </c:pt>
                <c:pt idx="458">
                  <c:v>-25.703382243501931</c:v>
                </c:pt>
                <c:pt idx="459">
                  <c:v>-25.880310460122274</c:v>
                </c:pt>
                <c:pt idx="460">
                  <c:v>-26.057961642668438</c:v>
                </c:pt>
                <c:pt idx="461">
                  <c:v>-26.236309595609583</c:v>
                </c:pt>
                <c:pt idx="462">
                  <c:v>-26.415328857032691</c:v>
                </c:pt>
                <c:pt idx="463">
                  <c:v>-26.594994695464468</c:v>
                </c:pt>
                <c:pt idx="464">
                  <c:v>-26.775283105067565</c:v>
                </c:pt>
                <c:pt idx="465">
                  <c:v>-26.956170799361558</c:v>
                </c:pt>
                <c:pt idx="466">
                  <c:v>-27.13763520360984</c:v>
                </c:pt>
                <c:pt idx="467">
                  <c:v>-27.319654446008212</c:v>
                </c:pt>
                <c:pt idx="468">
                  <c:v>-27.502207347804219</c:v>
                </c:pt>
                <c:pt idx="469">
                  <c:v>-27.685273412469073</c:v>
                </c:pt>
                <c:pt idx="470">
                  <c:v>-27.868832814038175</c:v>
                </c:pt>
                <c:pt idx="471">
                  <c:v>-28.052866384727587</c:v>
                </c:pt>
                <c:pt idx="472">
                  <c:v>-28.237355601928577</c:v>
                </c:pt>
                <c:pt idx="473">
                  <c:v>-28.422282574674572</c:v>
                </c:pt>
                <c:pt idx="474">
                  <c:v>-28.607630029669497</c:v>
                </c:pt>
                <c:pt idx="475">
                  <c:v>-28.793381296958582</c:v>
                </c:pt>
                <c:pt idx="476">
                  <c:v>-28.979520295316821</c:v>
                </c:pt>
                <c:pt idx="477">
                  <c:v>-29.166031517426202</c:v>
                </c:pt>
                <c:pt idx="478">
                  <c:v>-29.352900014904336</c:v>
                </c:pt>
                <c:pt idx="479">
                  <c:v>-29.540111383242902</c:v>
                </c:pt>
                <c:pt idx="480">
                  <c:v>-29.727651746709952</c:v>
                </c:pt>
                <c:pt idx="481">
                  <c:v>-29.915507743263792</c:v>
                </c:pt>
                <c:pt idx="482">
                  <c:v>-30.103666509521915</c:v>
                </c:pt>
                <c:pt idx="483">
                  <c:v>-30.29211566582476</c:v>
                </c:pt>
                <c:pt idx="484">
                  <c:v>-30.480843301428497</c:v>
                </c:pt>
                <c:pt idx="485">
                  <c:v>-30.669837959859493</c:v>
                </c:pt>
                <c:pt idx="486">
                  <c:v>-30.859088624456014</c:v>
                </c:pt>
                <c:pt idx="487">
                  <c:v>-31.048584704123911</c:v>
                </c:pt>
                <c:pt idx="488">
                  <c:v>-31.238316019324948</c:v>
                </c:pt>
                <c:pt idx="489">
                  <c:v>-31.42827278831799</c:v>
                </c:pt>
                <c:pt idx="490">
                  <c:v>-31.618445613667447</c:v>
                </c:pt>
                <c:pt idx="491">
                  <c:v>-31.808825469032776</c:v>
                </c:pt>
                <c:pt idx="492">
                  <c:v>-31.999403686249298</c:v>
                </c:pt>
                <c:pt idx="493">
                  <c:v>-32.190171942710165</c:v>
                </c:pt>
                <c:pt idx="494">
                  <c:v>-32.381122249055139</c:v>
                </c:pt>
                <c:pt idx="495">
                  <c:v>-32.572246937172523</c:v>
                </c:pt>
                <c:pt idx="496">
                  <c:v>-32.763538648517404</c:v>
                </c:pt>
                <c:pt idx="497">
                  <c:v>-32.954990322748181</c:v>
                </c:pt>
                <c:pt idx="498">
                  <c:v>-33.14659518668369</c:v>
                </c:pt>
                <c:pt idx="499">
                  <c:v>-33.338346743578683</c:v>
                </c:pt>
                <c:pt idx="500">
                  <c:v>-33.530238762718973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4D19-9DBC-690DDB1D00CA}"/>
            </c:ext>
          </c:extLst>
        </c:ser>
        <c:ser>
          <c:idx val="0"/>
          <c:order val="6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Signal'!$J$511:$J$612</c:f>
              <c:numCache>
                <c:formatCode>General</c:formatCode>
                <c:ptCount val="102"/>
                <c:pt idx="0">
                  <c:v>37.660600000000002</c:v>
                </c:pt>
                <c:pt idx="1">
                  <c:v>40.938000000000002</c:v>
                </c:pt>
                <c:pt idx="2">
                  <c:v>45.019300000000001</c:v>
                </c:pt>
                <c:pt idx="3">
                  <c:v>41.562100000000001</c:v>
                </c:pt>
                <c:pt idx="4">
                  <c:v>43.169699999999999</c:v>
                </c:pt>
                <c:pt idx="5">
                  <c:v>42.245800000000003</c:v>
                </c:pt>
                <c:pt idx="6">
                  <c:v>41.420299999999997</c:v>
                </c:pt>
                <c:pt idx="7">
                  <c:v>41.924500000000002</c:v>
                </c:pt>
                <c:pt idx="8">
                  <c:v>40.187199999999997</c:v>
                </c:pt>
                <c:pt idx="9">
                  <c:v>38.4514</c:v>
                </c:pt>
                <c:pt idx="10">
                  <c:v>36.996499999999997</c:v>
                </c:pt>
                <c:pt idx="11">
                  <c:v>35.101599999999998</c:v>
                </c:pt>
                <c:pt idx="12">
                  <c:v>33.128500000000003</c:v>
                </c:pt>
                <c:pt idx="13">
                  <c:v>31.1892</c:v>
                </c:pt>
                <c:pt idx="14">
                  <c:v>29.313400000000001</c:v>
                </c:pt>
                <c:pt idx="15">
                  <c:v>27.4208</c:v>
                </c:pt>
                <c:pt idx="16">
                  <c:v>25.543299999999999</c:v>
                </c:pt>
                <c:pt idx="17">
                  <c:v>23.7925</c:v>
                </c:pt>
                <c:pt idx="18">
                  <c:v>22.151800000000001</c:v>
                </c:pt>
                <c:pt idx="19">
                  <c:v>20.708300000000001</c:v>
                </c:pt>
                <c:pt idx="20">
                  <c:v>19.408200000000001</c:v>
                </c:pt>
                <c:pt idx="21">
                  <c:v>18.206299999999999</c:v>
                </c:pt>
                <c:pt idx="22">
                  <c:v>16.799600000000002</c:v>
                </c:pt>
                <c:pt idx="23">
                  <c:v>15.136699999999999</c:v>
                </c:pt>
                <c:pt idx="24">
                  <c:v>13.201000000000001</c:v>
                </c:pt>
                <c:pt idx="25">
                  <c:v>11.1213</c:v>
                </c:pt>
                <c:pt idx="26">
                  <c:v>9.0173299999999994</c:v>
                </c:pt>
                <c:pt idx="27">
                  <c:v>6.94102</c:v>
                </c:pt>
                <c:pt idx="28">
                  <c:v>4.9103399999999997</c:v>
                </c:pt>
                <c:pt idx="29">
                  <c:v>2.9131499999999999</c:v>
                </c:pt>
                <c:pt idx="30">
                  <c:v>0.95159800000000005</c:v>
                </c:pt>
                <c:pt idx="31">
                  <c:v>-0.97999400000000003</c:v>
                </c:pt>
                <c:pt idx="32">
                  <c:v>-3.0378500000000002</c:v>
                </c:pt>
                <c:pt idx="33">
                  <c:v>-5.0957600000000003</c:v>
                </c:pt>
                <c:pt idx="34">
                  <c:v>-6.9738800000000003</c:v>
                </c:pt>
                <c:pt idx="35">
                  <c:v>-8.6015200000000007</c:v>
                </c:pt>
                <c:pt idx="36">
                  <c:v>-9.9493500000000008</c:v>
                </c:pt>
                <c:pt idx="37">
                  <c:v>-10.9834</c:v>
                </c:pt>
                <c:pt idx="38">
                  <c:v>-11.75</c:v>
                </c:pt>
                <c:pt idx="39">
                  <c:v>-12.6732</c:v>
                </c:pt>
                <c:pt idx="40">
                  <c:v>-13.494400000000001</c:v>
                </c:pt>
                <c:pt idx="41">
                  <c:v>-14.252599999999999</c:v>
                </c:pt>
                <c:pt idx="42">
                  <c:v>-14.984500000000001</c:v>
                </c:pt>
                <c:pt idx="43">
                  <c:v>-15.6913</c:v>
                </c:pt>
                <c:pt idx="44">
                  <c:v>-16.584</c:v>
                </c:pt>
                <c:pt idx="45">
                  <c:v>-18.080200000000001</c:v>
                </c:pt>
                <c:pt idx="46">
                  <c:v>-23.304200000000002</c:v>
                </c:pt>
                <c:pt idx="47">
                  <c:v>-38.991999999999997</c:v>
                </c:pt>
                <c:pt idx="48">
                  <c:v>-30.333600000000001</c:v>
                </c:pt>
                <c:pt idx="49">
                  <c:v>-25.927700000000002</c:v>
                </c:pt>
                <c:pt idx="50">
                  <c:v>-25.588000000000001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1-4D19-9DBC-690DDB1D00CA}"/>
            </c:ext>
          </c:extLst>
        </c:ser>
        <c:ser>
          <c:idx val="8"/>
          <c:order val="8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Signal'!$N$511:$N$612</c:f>
              <c:numCache>
                <c:formatCode>General</c:formatCode>
                <c:ptCount val="102"/>
                <c:pt idx="0">
                  <c:v>18.21</c:v>
                </c:pt>
                <c:pt idx="1">
                  <c:v>18.2605</c:v>
                </c:pt>
                <c:pt idx="2">
                  <c:v>18.195399999999999</c:v>
                </c:pt>
                <c:pt idx="3">
                  <c:v>18.6417</c:v>
                </c:pt>
                <c:pt idx="4">
                  <c:v>18.401</c:v>
                </c:pt>
                <c:pt idx="5">
                  <c:v>18.456</c:v>
                </c:pt>
                <c:pt idx="6">
                  <c:v>18.449200000000001</c:v>
                </c:pt>
                <c:pt idx="7">
                  <c:v>18.566299999999998</c:v>
                </c:pt>
                <c:pt idx="8">
                  <c:v>18.429400000000001</c:v>
                </c:pt>
                <c:pt idx="9">
                  <c:v>18.380700000000001</c:v>
                </c:pt>
                <c:pt idx="10">
                  <c:v>18.421800000000001</c:v>
                </c:pt>
                <c:pt idx="11">
                  <c:v>18.415299999999998</c:v>
                </c:pt>
                <c:pt idx="12">
                  <c:v>18.372299999999999</c:v>
                </c:pt>
                <c:pt idx="13">
                  <c:v>18.3811</c:v>
                </c:pt>
                <c:pt idx="14">
                  <c:v>18.360399999999998</c:v>
                </c:pt>
                <c:pt idx="15">
                  <c:v>18.352900000000002</c:v>
                </c:pt>
                <c:pt idx="16">
                  <c:v>18.329999999999998</c:v>
                </c:pt>
                <c:pt idx="17">
                  <c:v>18.350000000000001</c:v>
                </c:pt>
                <c:pt idx="18">
                  <c:v>18.415500000000002</c:v>
                </c:pt>
                <c:pt idx="19">
                  <c:v>18.587599999999998</c:v>
                </c:pt>
                <c:pt idx="20">
                  <c:v>18.744800000000001</c:v>
                </c:pt>
                <c:pt idx="21">
                  <c:v>18.844999999999999</c:v>
                </c:pt>
                <c:pt idx="22">
                  <c:v>18.576599999999999</c:v>
                </c:pt>
                <c:pt idx="23">
                  <c:v>17.8185</c:v>
                </c:pt>
                <c:pt idx="24">
                  <c:v>16.533100000000001</c:v>
                </c:pt>
                <c:pt idx="25">
                  <c:v>14.869</c:v>
                </c:pt>
                <c:pt idx="26">
                  <c:v>13.0419</c:v>
                </c:pt>
                <c:pt idx="27">
                  <c:v>11.1648</c:v>
                </c:pt>
                <c:pt idx="28">
                  <c:v>9.2243700000000004</c:v>
                </c:pt>
                <c:pt idx="29">
                  <c:v>7.2900400000000003</c:v>
                </c:pt>
                <c:pt idx="30">
                  <c:v>5.4023700000000003</c:v>
                </c:pt>
                <c:pt idx="31">
                  <c:v>3.5295200000000002</c:v>
                </c:pt>
                <c:pt idx="32">
                  <c:v>1.69167</c:v>
                </c:pt>
                <c:pt idx="33">
                  <c:v>-7.7088799999999999E-2</c:v>
                </c:pt>
                <c:pt idx="34">
                  <c:v>-1.73281</c:v>
                </c:pt>
                <c:pt idx="35">
                  <c:v>-3.2250700000000001</c:v>
                </c:pt>
                <c:pt idx="36">
                  <c:v>-4.5564999999999998</c:v>
                </c:pt>
                <c:pt idx="37">
                  <c:v>-5.5935600000000001</c:v>
                </c:pt>
                <c:pt idx="38">
                  <c:v>-6.4191700000000003</c:v>
                </c:pt>
                <c:pt idx="39">
                  <c:v>-6.9911099999999999</c:v>
                </c:pt>
                <c:pt idx="40">
                  <c:v>-7.3113000000000001</c:v>
                </c:pt>
                <c:pt idx="41">
                  <c:v>-7.4893900000000002</c:v>
                </c:pt>
                <c:pt idx="42">
                  <c:v>-7.4759000000000002</c:v>
                </c:pt>
                <c:pt idx="43">
                  <c:v>-7.1994300000000004</c:v>
                </c:pt>
                <c:pt idx="44">
                  <c:v>-6.92408</c:v>
                </c:pt>
                <c:pt idx="45">
                  <c:v>-6.6042899999999998</c:v>
                </c:pt>
                <c:pt idx="46">
                  <c:v>-8.0669299999999993</c:v>
                </c:pt>
                <c:pt idx="47">
                  <c:v>-13.757400000000001</c:v>
                </c:pt>
                <c:pt idx="48">
                  <c:v>-23.852499999999999</c:v>
                </c:pt>
                <c:pt idx="49">
                  <c:v>-23.9956</c:v>
                </c:pt>
                <c:pt idx="50">
                  <c:v>-14.6715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1-4D19-9DBC-690DDB1D00CA}"/>
            </c:ext>
          </c:extLst>
        </c:ser>
        <c:ser>
          <c:idx val="10"/>
          <c:order val="10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Signal'!$R$511:$R$612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6288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-0.4104002904350742</c:v>
                </c:pt>
                <c:pt idx="1">
                  <c:v>-0.41971789353272115</c:v>
                </c:pt>
                <c:pt idx="2">
                  <c:v>-0.42924702715225616</c:v>
                </c:pt>
                <c:pt idx="3">
                  <c:v>-0.43899249257128714</c:v>
                </c:pt>
                <c:pt idx="4">
                  <c:v>-0.4489591999803656</c:v>
                </c:pt>
                <c:pt idx="5">
                  <c:v>-0.4591521709489863</c:v>
                </c:pt>
                <c:pt idx="6">
                  <c:v>-0.46957654094715129</c:v>
                </c:pt>
                <c:pt idx="7">
                  <c:v>-0.48023756192367795</c:v>
                </c:pt>
                <c:pt idx="8">
                  <c:v>-0.49114060494248268</c:v>
                </c:pt>
                <c:pt idx="9">
                  <c:v>-0.50229116287814879</c:v>
                </c:pt>
                <c:pt idx="10">
                  <c:v>-0.51369485317211727</c:v>
                </c:pt>
                <c:pt idx="11">
                  <c:v>-0.52535742065071511</c:v>
                </c:pt>
                <c:pt idx="12">
                  <c:v>-0.53728474040654717</c:v>
                </c:pt>
                <c:pt idx="13">
                  <c:v>-0.54948282074449495</c:v>
                </c:pt>
                <c:pt idx="14">
                  <c:v>-0.56195780619382829</c:v>
                </c:pt>
                <c:pt idx="15">
                  <c:v>-0.57471598058779461</c:v>
                </c:pt>
                <c:pt idx="16">
                  <c:v>-0.58776377021226667</c:v>
                </c:pt>
                <c:pt idx="17">
                  <c:v>-0.6011077470248517</c:v>
                </c:pt>
                <c:pt idx="18">
                  <c:v>-0.61475463194602908</c:v>
                </c:pt>
                <c:pt idx="19">
                  <c:v>-0.62871129822388838</c:v>
                </c:pt>
                <c:pt idx="20">
                  <c:v>-0.64298477487407568</c:v>
                </c:pt>
                <c:pt idx="21">
                  <c:v>-0.65758225019649097</c:v>
                </c:pt>
                <c:pt idx="22">
                  <c:v>-0.67251107537049926</c:v>
                </c:pt>
                <c:pt idx="23">
                  <c:v>-0.68777876813029115</c:v>
                </c:pt>
                <c:pt idx="24">
                  <c:v>-0.70339301652204378</c:v>
                </c:pt>
                <c:pt idx="25">
                  <c:v>-0.71936168274476819</c:v>
                </c:pt>
                <c:pt idx="26">
                  <c:v>-0.735692807076477</c:v>
                </c:pt>
                <c:pt idx="27">
                  <c:v>-0.75239461188767176</c:v>
                </c:pt>
                <c:pt idx="28">
                  <c:v>-0.7694755057437197</c:v>
                </c:pt>
                <c:pt idx="29">
                  <c:v>-0.78694408759829271</c:v>
                </c:pt>
                <c:pt idx="30">
                  <c:v>-0.80480915107957329</c:v>
                </c:pt>
                <c:pt idx="31">
                  <c:v>-0.823079688871307</c:v>
                </c:pt>
                <c:pt idx="32">
                  <c:v>-0.84176489719048264</c:v>
                </c:pt>
                <c:pt idx="33">
                  <c:v>-0.86087418036397478</c:v>
                </c:pt>
                <c:pt idx="34">
                  <c:v>-0.88041715550578181</c:v>
                </c:pt>
                <c:pt idx="35">
                  <c:v>-0.90040365729732752</c:v>
                </c:pt>
                <c:pt idx="36">
                  <c:v>-0.92084374287257098</c:v>
                </c:pt>
                <c:pt idx="37">
                  <c:v>-0.9417476968104399</c:v>
                </c:pt>
                <c:pt idx="38">
                  <c:v>-0.96312603623631299</c:v>
                </c:pt>
                <c:pt idx="39">
                  <c:v>-0.98498951603526241</c:v>
                </c:pt>
                <c:pt idx="40">
                  <c:v>-1.0073491341787315</c:v>
                </c:pt>
                <c:pt idx="41">
                  <c:v>-1.0302161371674596</c:v>
                </c:pt>
                <c:pt idx="42">
                  <c:v>-1.0536020255924454</c:v>
                </c:pt>
                <c:pt idx="43">
                  <c:v>-1.0775185598166583</c:v>
                </c:pt>
                <c:pt idx="44">
                  <c:v>-1.1019777657795944</c:v>
                </c:pt>
                <c:pt idx="45">
                  <c:v>-1.1269919409271376</c:v>
                </c:pt>
                <c:pt idx="46">
                  <c:v>-1.1525736602690928</c:v>
                </c:pt>
                <c:pt idx="47">
                  <c:v>-1.1787357825669296</c:v>
                </c:pt>
                <c:pt idx="48">
                  <c:v>-1.2054914566539046</c:v>
                </c:pt>
                <c:pt idx="49">
                  <c:v>-1.2328541278903054</c:v>
                </c:pt>
                <c:pt idx="50">
                  <c:v>-1.260837544756146</c:v>
                </c:pt>
                <c:pt idx="51">
                  <c:v>-1.2894557655838643</c:v>
                </c:pt>
                <c:pt idx="52">
                  <c:v>-1.3187231654333311</c:v>
                </c:pt>
                <c:pt idx="53">
                  <c:v>-1.3486544431121195</c:v>
                </c:pt>
                <c:pt idx="54">
                  <c:v>-1.3792646283430647</c:v>
                </c:pt>
                <c:pt idx="55">
                  <c:v>-1.4105690890819189</c:v>
                </c:pt>
                <c:pt idx="56">
                  <c:v>-1.4425835389876109</c:v>
                </c:pt>
                <c:pt idx="57">
                  <c:v>-1.4753240450475895</c:v>
                </c:pt>
                <c:pt idx="58">
                  <c:v>-1.5088070353606353</c:v>
                </c:pt>
                <c:pt idx="59">
                  <c:v>-1.5430493070799867</c:v>
                </c:pt>
                <c:pt idx="60">
                  <c:v>-1.5780680345189191</c:v>
                </c:pt>
                <c:pt idx="61">
                  <c:v>-1.6138807774213644</c:v>
                </c:pt>
                <c:pt idx="62">
                  <c:v>-1.6505054894000699</c:v>
                </c:pt>
                <c:pt idx="63">
                  <c:v>-1.6879605265446882</c:v>
                </c:pt>
                <c:pt idx="64">
                  <c:v>-1.7262646562019435</c:v>
                </c:pt>
                <c:pt idx="65">
                  <c:v>-1.7654370659305521</c:v>
                </c:pt>
                <c:pt idx="66">
                  <c:v>-1.8054973726327446</c:v>
                </c:pt>
                <c:pt idx="67">
                  <c:v>-1.8464656318649679</c:v>
                </c:pt>
                <c:pt idx="68">
                  <c:v>-1.8883623473294013</c:v>
                </c:pt>
                <c:pt idx="69">
                  <c:v>-1.931208480548996</c:v>
                </c:pt>
                <c:pt idx="70">
                  <c:v>-1.9750254607270394</c:v>
                </c:pt>
                <c:pt idx="71">
                  <c:v>-2.0198351947939917</c:v>
                </c:pt>
                <c:pt idx="72">
                  <c:v>-2.0656600776425926</c:v>
                </c:pt>
                <c:pt idx="73">
                  <c:v>-2.1125230025531865</c:v>
                </c:pt>
                <c:pt idx="74">
                  <c:v>-2.160447371810521</c:v>
                </c:pt>
                <c:pt idx="75">
                  <c:v>-2.2094571075131935</c:v>
                </c:pt>
                <c:pt idx="76">
                  <c:v>-2.2595766625770093</c:v>
                </c:pt>
                <c:pt idx="77">
                  <c:v>-2.3108310319328833</c:v>
                </c:pt>
                <c:pt idx="78">
                  <c:v>-2.363245763919986</c:v>
                </c:pt>
                <c:pt idx="79">
                  <c:v>-2.4168469718746608</c:v>
                </c:pt>
                <c:pt idx="80">
                  <c:v>-2.4716613459149941</c:v>
                </c:pt>
                <c:pt idx="81">
                  <c:v>-2.5277161649210496</c:v>
                </c:pt>
                <c:pt idx="82">
                  <c:v>-2.5850393087100616</c:v>
                </c:pt>
                <c:pt idx="83">
                  <c:v>-2.6436592704063133</c:v>
                </c:pt>
                <c:pt idx="84">
                  <c:v>-2.7036051690033291</c:v>
                </c:pt>
                <c:pt idx="85">
                  <c:v>-2.7649067621184877</c:v>
                </c:pt>
                <c:pt idx="86">
                  <c:v>-2.8275944589362312</c:v>
                </c:pt>
                <c:pt idx="87">
                  <c:v>-2.8916993333386221</c:v>
                </c:pt>
                <c:pt idx="88">
                  <c:v>-2.9572531372194213</c:v>
                </c:pt>
                <c:pt idx="89">
                  <c:v>-3.0242883139787176</c:v>
                </c:pt>
                <c:pt idx="90">
                  <c:v>-3.0928380121933423</c:v>
                </c:pt>
                <c:pt idx="91">
                  <c:v>-3.1629360994585132</c:v>
                </c:pt>
                <c:pt idx="92">
                  <c:v>-3.2346171763950791</c:v>
                </c:pt>
                <c:pt idx="93">
                  <c:v>-3.3079165908161778</c:v>
                </c:pt>
                <c:pt idx="94">
                  <c:v>-3.382870452045915</c:v>
                </c:pt>
                <c:pt idx="95">
                  <c:v>-3.4595156453825511</c:v>
                </c:pt>
                <c:pt idx="96">
                  <c:v>-3.5378898466965474</c:v>
                </c:pt>
                <c:pt idx="97">
                  <c:v>-3.6180315371542608</c:v>
                </c:pt>
                <c:pt idx="98">
                  <c:v>-3.6999800180559883</c:v>
                </c:pt>
                <c:pt idx="99">
                  <c:v>-3.7837754257760761</c:v>
                </c:pt>
                <c:pt idx="100">
                  <c:v>-3.8694587467918091</c:v>
                </c:pt>
                <c:pt idx="101">
                  <c:v>-3.9570718327864691</c:v>
                </c:pt>
                <c:pt idx="102">
                  <c:v>-4.0466574158102411</c:v>
                </c:pt>
                <c:pt idx="103">
                  <c:v>-4.138259123481201</c:v>
                </c:pt>
                <c:pt idx="104">
                  <c:v>-4.2319214942076027</c:v>
                </c:pt>
                <c:pt idx="105">
                  <c:v>-4.3276899924096259</c:v>
                </c:pt>
                <c:pt idx="106">
                  <c:v>-4.4256110237188944</c:v>
                </c:pt>
                <c:pt idx="107">
                  <c:v>-4.5257319501291917</c:v>
                </c:pt>
                <c:pt idx="108">
                  <c:v>-4.6281011050737115</c:v>
                </c:pt>
                <c:pt idx="109">
                  <c:v>-4.7327678083973526</c:v>
                </c:pt>
                <c:pt idx="110">
                  <c:v>-4.8397823811941185</c:v>
                </c:pt>
                <c:pt idx="111">
                  <c:v>-4.9491961604751467</c:v>
                </c:pt>
                <c:pt idx="112">
                  <c:v>-5.061061513629709</c:v>
                </c:pt>
                <c:pt idx="113">
                  <c:v>-5.1754318526414673</c:v>
                </c:pt>
                <c:pt idx="114">
                  <c:v>-5.2923616480147508</c:v>
                </c:pt>
                <c:pt idx="115">
                  <c:v>-5.4119064423674343</c:v>
                </c:pt>
                <c:pt idx="116">
                  <c:v>-5.5341228636392943</c:v>
                </c:pt>
                <c:pt idx="117">
                  <c:v>-5.6590686378645696</c:v>
                </c:pt>
                <c:pt idx="118">
                  <c:v>-5.7868026014498444</c:v>
                </c:pt>
                <c:pt idx="119">
                  <c:v>-5.9173847128988921</c:v>
                </c:pt>
                <c:pt idx="120">
                  <c:v>-6.0508760639178085</c:v>
                </c:pt>
                <c:pt idx="121">
                  <c:v>-6.1873388898315813</c:v>
                </c:pt>
                <c:pt idx="122">
                  <c:v>-6.3268365792374679</c:v>
                </c:pt>
                <c:pt idx="123">
                  <c:v>-6.469433682816697</c:v>
                </c:pt>
                <c:pt idx="124">
                  <c:v>-6.6151959212190494</c:v>
                </c:pt>
                <c:pt idx="125">
                  <c:v>-6.7641901919310978</c:v>
                </c:pt>
                <c:pt idx="126">
                  <c:v>-6.9164845750320936</c:v>
                </c:pt>
                <c:pt idx="127">
                  <c:v>-7.0721483377353822</c:v>
                </c:pt>
                <c:pt idx="128">
                  <c:v>-7.2312519376084028</c:v>
                </c:pt>
                <c:pt idx="129">
                  <c:v>-7.3938670243540248</c:v>
                </c:pt>
                <c:pt idx="130">
                  <c:v>-7.5600664400358237</c:v>
                </c:pt>
                <c:pt idx="131">
                  <c:v>-7.7299242176133962</c:v>
                </c:pt>
                <c:pt idx="132">
                  <c:v>-7.9035155776560018</c:v>
                </c:pt>
                <c:pt idx="133">
                  <c:v>-8.080916923087992</c:v>
                </c:pt>
                <c:pt idx="134">
                  <c:v>-8.2622058318148834</c:v>
                </c:pt>
                <c:pt idx="135">
                  <c:v>-8.447461047069897</c:v>
                </c:pt>
                <c:pt idx="136">
                  <c:v>-8.6367624653130122</c:v>
                </c:pt>
                <c:pt idx="137">
                  <c:v>-8.8301911215036615</c:v>
                </c:pt>
                <c:pt idx="138">
                  <c:v>-9.0278291715626562</c:v>
                </c:pt>
                <c:pt idx="139">
                  <c:v>-9.2297598718265483</c:v>
                </c:pt>
                <c:pt idx="140">
                  <c:v>-9.436067555291741</c:v>
                </c:pt>
                <c:pt idx="141">
                  <c:v>-9.6468376044322142</c:v>
                </c:pt>
                <c:pt idx="142">
                  <c:v>-9.8621564203696686</c:v>
                </c:pt>
                <c:pt idx="143">
                  <c:v>-10.082111388163122</c:v>
                </c:pt>
                <c:pt idx="144">
                  <c:v>-10.306790837975496</c:v>
                </c:pt>
                <c:pt idx="145">
                  <c:v>-10.53628400186701</c:v>
                </c:pt>
                <c:pt idx="146">
                  <c:v>-10.770680965954133</c:v>
                </c:pt>
                <c:pt idx="147">
                  <c:v>-11.010072617668124</c:v>
                </c:pt>
                <c:pt idx="148">
                  <c:v>-11.254550587832625</c:v>
                </c:pt>
                <c:pt idx="149">
                  <c:v>-11.504207187278134</c:v>
                </c:pt>
                <c:pt idx="150">
                  <c:v>-11.759135337700599</c:v>
                </c:pt>
                <c:pt idx="151">
                  <c:v>-12.019428496466411</c:v>
                </c:pt>
                <c:pt idx="152">
                  <c:v>-12.285180575058551</c:v>
                </c:pt>
                <c:pt idx="153">
                  <c:v>-12.556485850858241</c:v>
                </c:pt>
                <c:pt idx="154">
                  <c:v>-12.833438871947934</c:v>
                </c:pt>
                <c:pt idx="155">
                  <c:v>-13.116134354625482</c:v>
                </c:pt>
                <c:pt idx="156">
                  <c:v>-13.404667073314695</c:v>
                </c:pt>
                <c:pt idx="157">
                  <c:v>-13.699131742562635</c:v>
                </c:pt>
                <c:pt idx="158">
                  <c:v>-13.999622890815916</c:v>
                </c:pt>
                <c:pt idx="159">
                  <c:v>-14.306234725675695</c:v>
                </c:pt>
                <c:pt idx="160">
                  <c:v>-14.619060990342192</c:v>
                </c:pt>
                <c:pt idx="161">
                  <c:v>-14.938194810965577</c:v>
                </c:pt>
                <c:pt idx="162">
                  <c:v>-15.263728534645734</c:v>
                </c:pt>
                <c:pt idx="163">
                  <c:v>-15.595753557830273</c:v>
                </c:pt>
                <c:pt idx="164">
                  <c:v>-15.934360144894903</c:v>
                </c:pt>
                <c:pt idx="165">
                  <c:v>-16.279637236708631</c:v>
                </c:pt>
                <c:pt idx="166">
                  <c:v>-16.631672249023666</c:v>
                </c:pt>
                <c:pt idx="167">
                  <c:v>-16.990550860563939</c:v>
                </c:pt>
                <c:pt idx="168">
                  <c:v>-17.356356790730519</c:v>
                </c:pt>
                <c:pt idx="169">
                  <c:v>-17.729171566886269</c:v>
                </c:pt>
                <c:pt idx="170">
                  <c:v>-18.109074281241874</c:v>
                </c:pt>
                <c:pt idx="171">
                  <c:v>-18.496141337418223</c:v>
                </c:pt>
                <c:pt idx="172">
                  <c:v>-18.890446186831159</c:v>
                </c:pt>
                <c:pt idx="173">
                  <c:v>-19.292059055117747</c:v>
                </c:pt>
                <c:pt idx="174">
                  <c:v>-19.701046658896388</c:v>
                </c:pt>
                <c:pt idx="175">
                  <c:v>-20.117471913250213</c:v>
                </c:pt>
                <c:pt idx="176">
                  <c:v>-20.541393630409893</c:v>
                </c:pt>
                <c:pt idx="177">
                  <c:v>-20.972866210205673</c:v>
                </c:pt>
                <c:pt idx="178">
                  <c:v>-21.411939322985752</c:v>
                </c:pt>
                <c:pt idx="179">
                  <c:v>-21.858657585786563</c:v>
                </c:pt>
                <c:pt idx="180">
                  <c:v>-22.313060232678144</c:v>
                </c:pt>
                <c:pt idx="181">
                  <c:v>-22.775180780321964</c:v>
                </c:pt>
                <c:pt idx="182">
                  <c:v>-23.245046689914009</c:v>
                </c:pt>
                <c:pt idx="183">
                  <c:v>-23.722679026810518</c:v>
                </c:pt>
                <c:pt idx="184">
                  <c:v>-24.208092119281797</c:v>
                </c:pt>
                <c:pt idx="185">
                  <c:v>-24.701293217962625</c:v>
                </c:pt>
                <c:pt idx="186">
                  <c:v>-25.202282157716521</c:v>
                </c:pt>
                <c:pt idx="187">
                  <c:v>-25.711051023758486</c:v>
                </c:pt>
                <c:pt idx="188">
                  <c:v>-26.227583824019913</c:v>
                </c:pt>
                <c:pt idx="189">
                  <c:v>-26.751856169862574</c:v>
                </c:pt>
                <c:pt idx="190">
                  <c:v>-27.283834967369064</c:v>
                </c:pt>
                <c:pt idx="191">
                  <c:v>-27.823478121550238</c:v>
                </c:pt>
                <c:pt idx="192">
                  <c:v>-28.370734255904456</c:v>
                </c:pt>
                <c:pt idx="193">
                  <c:v>-28.925542449850134</c:v>
                </c:pt>
                <c:pt idx="194">
                  <c:v>-29.487831996620869</c:v>
                </c:pt>
                <c:pt idx="195">
                  <c:v>-30.057522184258136</c:v>
                </c:pt>
                <c:pt idx="196">
                  <c:v>-30.634522102357504</c:v>
                </c:pt>
                <c:pt idx="197">
                  <c:v>-31.218730477235578</c:v>
                </c:pt>
                <c:pt idx="198">
                  <c:v>-31.810035538147751</c:v>
                </c:pt>
                <c:pt idx="199">
                  <c:v>-32.4083149171326</c:v>
                </c:pt>
                <c:pt idx="200">
                  <c:v>-33.013435584980606</c:v>
                </c:pt>
                <c:pt idx="201">
                  <c:v>-33.625253825693648</c:v>
                </c:pt>
                <c:pt idx="202">
                  <c:v>-34.243615251651946</c:v>
                </c:pt>
                <c:pt idx="203">
                  <c:v>-34.868354861525262</c:v>
                </c:pt>
                <c:pt idx="204">
                  <c:v>-35.499297142732381</c:v>
                </c:pt>
                <c:pt idx="205">
                  <c:v>-36.136256219998657</c:v>
                </c:pt>
                <c:pt idx="206">
                  <c:v>-36.779036051279171</c:v>
                </c:pt>
                <c:pt idx="207">
                  <c:v>-37.427430671983124</c:v>
                </c:pt>
                <c:pt idx="208">
                  <c:v>-38.081224488095593</c:v>
                </c:pt>
                <c:pt idx="209">
                  <c:v>-38.740192618406844</c:v>
                </c:pt>
                <c:pt idx="210">
                  <c:v>-39.404101285675758</c:v>
                </c:pt>
                <c:pt idx="211">
                  <c:v>-40.072708256120691</c:v>
                </c:pt>
                <c:pt idx="212">
                  <c:v>-40.745763326221095</c:v>
                </c:pt>
                <c:pt idx="213">
                  <c:v>-41.423008855364834</c:v>
                </c:pt>
                <c:pt idx="214">
                  <c:v>-42.104180342449133</c:v>
                </c:pt>
                <c:pt idx="215">
                  <c:v>-42.789007044110711</c:v>
                </c:pt>
                <c:pt idx="216">
                  <c:v>-43.477212631831307</c:v>
                </c:pt>
                <c:pt idx="217">
                  <c:v>-44.168515884787467</c:v>
                </c:pt>
                <c:pt idx="218">
                  <c:v>-44.862631414909877</c:v>
                </c:pt>
                <c:pt idx="219">
                  <c:v>-45.559270420291952</c:v>
                </c:pt>
                <c:pt idx="220">
                  <c:v>-46.258141462775093</c:v>
                </c:pt>
                <c:pt idx="221">
                  <c:v>-46.958951265263984</c:v>
                </c:pt>
                <c:pt idx="222">
                  <c:v>-47.661405524117093</c:v>
                </c:pt>
                <c:pt idx="223">
                  <c:v>-48.365209731783544</c:v>
                </c:pt>
                <c:pt idx="224">
                  <c:v>-49.070070004737893</c:v>
                </c:pt>
                <c:pt idx="225">
                  <c:v>-49.775693911721326</c:v>
                </c:pt>
                <c:pt idx="226">
                  <c:v>-50.481791297274903</c:v>
                </c:pt>
                <c:pt idx="227">
                  <c:v>-51.188075095624853</c:v>
                </c:pt>
                <c:pt idx="228">
                  <c:v>-51.89426213007313</c:v>
                </c:pt>
                <c:pt idx="229">
                  <c:v>-52.600073893233223</c:v>
                </c:pt>
                <c:pt idx="230">
                  <c:v>-53.305237303638521</c:v>
                </c:pt>
                <c:pt idx="231">
                  <c:v>-54.009485434539648</c:v>
                </c:pt>
                <c:pt idx="232">
                  <c:v>-54.712558210999276</c:v>
                </c:pt>
                <c:pt idx="233">
                  <c:v>-55.414203071733716</c:v>
                </c:pt>
                <c:pt idx="234">
                  <c:v>-56.114175592531573</c:v>
                </c:pt>
                <c:pt idx="235">
                  <c:v>-56.812240068468668</c:v>
                </c:pt>
                <c:pt idx="236">
                  <c:v>-57.508170052566186</c:v>
                </c:pt>
                <c:pt idx="237">
                  <c:v>-58.201748848955596</c:v>
                </c:pt>
                <c:pt idx="238">
                  <c:v>-58.89276995906382</c:v>
                </c:pt>
                <c:pt idx="239">
                  <c:v>-59.581037479742925</c:v>
                </c:pt>
                <c:pt idx="240">
                  <c:v>-60.266366452722991</c:v>
                </c:pt>
                <c:pt idx="241">
                  <c:v>-60.948583165154432</c:v>
                </c:pt>
                <c:pt idx="242">
                  <c:v>-61.627525401421899</c:v>
                </c:pt>
                <c:pt idx="243">
                  <c:v>-62.303042646779801</c:v>
                </c:pt>
                <c:pt idx="244">
                  <c:v>-62.974996243703337</c:v>
                </c:pt>
                <c:pt idx="245">
                  <c:v>-63.643259502178942</c:v>
                </c:pt>
                <c:pt idx="246">
                  <c:v>-64.307717765442817</c:v>
                </c:pt>
                <c:pt idx="247">
                  <c:v>-64.968268432928738</c:v>
                </c:pt>
                <c:pt idx="248">
                  <c:v>-65.624820942408036</c:v>
                </c:pt>
                <c:pt idx="249">
                  <c:v>-66.277296713505137</c:v>
                </c:pt>
                <c:pt idx="250">
                  <c:v>-66.925629054899161</c:v>
                </c:pt>
                <c:pt idx="251">
                  <c:v>-67.569763037663051</c:v>
                </c:pt>
                <c:pt idx="252">
                  <c:v>-68.209655337265758</c:v>
                </c:pt>
                <c:pt idx="253">
                  <c:v>-68.845274046819682</c:v>
                </c:pt>
                <c:pt idx="254">
                  <c:v>-69.476598464178409</c:v>
                </c:pt>
                <c:pt idx="255">
                  <c:v>-70.103618855490637</c:v>
                </c:pt>
                <c:pt idx="256">
                  <c:v>-70.726336197783965</c:v>
                </c:pt>
                <c:pt idx="257">
                  <c:v>-71.344761903106573</c:v>
                </c:pt>
                <c:pt idx="258">
                  <c:v>-71.958917526679386</c:v>
                </c:pt>
                <c:pt idx="259">
                  <c:v>-72.568834461425297</c:v>
                </c:pt>
                <c:pt idx="260">
                  <c:v>-73.174553621145805</c:v>
                </c:pt>
                <c:pt idx="261">
                  <c:v>-73.776125114482539</c:v>
                </c:pt>
                <c:pt idx="262">
                  <c:v>-74.373607911708149</c:v>
                </c:pt>
                <c:pt idx="263">
                  <c:v>-74.967069506214742</c:v>
                </c:pt>
                <c:pt idx="264">
                  <c:v>-75.556585572473338</c:v>
                </c:pt>
                <c:pt idx="265">
                  <c:v>-76.142239622065617</c:v>
                </c:pt>
                <c:pt idx="266">
                  <c:v>-76.724122659261369</c:v>
                </c:pt>
                <c:pt idx="267">
                  <c:v>-77.302332837462728</c:v>
                </c:pt>
                <c:pt idx="268">
                  <c:v>-77.876975117700553</c:v>
                </c:pt>
                <c:pt idx="269">
                  <c:v>-78.448160930221221</c:v>
                </c:pt>
                <c:pt idx="270">
                  <c:v>-79.016007840074948</c:v>
                </c:pt>
                <c:pt idx="271">
                  <c:v>-79.580639217466626</c:v>
                </c:pt>
                <c:pt idx="272">
                  <c:v>-80.142183913528726</c:v>
                </c:pt>
                <c:pt idx="273">
                  <c:v>-80.700775942027789</c:v>
                </c:pt>
                <c:pt idx="274">
                  <c:v>-81.25655416742039</c:v>
                </c:pt>
                <c:pt idx="275">
                  <c:v>-81.809661999548823</c:v>
                </c:pt>
                <c:pt idx="276">
                  <c:v>-82.360247095182558</c:v>
                </c:pt>
                <c:pt idx="277">
                  <c:v>-82.908461066495192</c:v>
                </c:pt>
                <c:pt idx="278">
                  <c:v>-83.454459196495563</c:v>
                </c:pt>
                <c:pt idx="279">
                  <c:v>-83.9984001613348</c:v>
                </c:pt>
                <c:pt idx="280">
                  <c:v>-84.540445759346753</c:v>
                </c:pt>
                <c:pt idx="281">
                  <c:v>-85.080760646600424</c:v>
                </c:pt>
                <c:pt idx="282">
                  <c:v>-85.619512078687578</c:v>
                </c:pt>
                <c:pt idx="283">
                  <c:v>-86.156869658404361</c:v>
                </c:pt>
                <c:pt idx="284">
                  <c:v>-86.693005088940239</c:v>
                </c:pt>
                <c:pt idx="285">
                  <c:v>-87.228091932142064</c:v>
                </c:pt>
                <c:pt idx="286">
                  <c:v>-87.762305371371056</c:v>
                </c:pt>
                <c:pt idx="287">
                  <c:v>-88.295821978454939</c:v>
                </c:pt>
                <c:pt idx="288">
                  <c:v>-88.828819484182546</c:v>
                </c:pt>
                <c:pt idx="289">
                  <c:v>-89.361476551786708</c:v>
                </c:pt>
                <c:pt idx="290">
                  <c:v>-89.893972552824081</c:v>
                </c:pt>
                <c:pt idx="291">
                  <c:v>-90.426487344852944</c:v>
                </c:pt>
                <c:pt idx="292">
                  <c:v>-90.959201050291696</c:v>
                </c:pt>
                <c:pt idx="293">
                  <c:v>-91.492293835845203</c:v>
                </c:pt>
                <c:pt idx="294">
                  <c:v>-92.025945691864678</c:v>
                </c:pt>
                <c:pt idx="295">
                  <c:v>-92.56033621102533</c:v>
                </c:pt>
                <c:pt idx="296">
                  <c:v>-93.095644365700664</c:v>
                </c:pt>
                <c:pt idx="297">
                  <c:v>-93.632048283424439</c:v>
                </c:pt>
                <c:pt idx="298">
                  <c:v>-94.169725019846027</c:v>
                </c:pt>
                <c:pt idx="299">
                  <c:v>-94.708850328599766</c:v>
                </c:pt>
                <c:pt idx="300">
                  <c:v>-95.249598427535844</c:v>
                </c:pt>
                <c:pt idx="301">
                  <c:v>-95.79214176078473</c:v>
                </c:pt>
                <c:pt idx="302">
                  <c:v>-96.336650756158051</c:v>
                </c:pt>
                <c:pt idx="303">
                  <c:v>-96.883293577428518</c:v>
                </c:pt>
                <c:pt idx="304">
                  <c:v>-97.432235871073104</c:v>
                </c:pt>
                <c:pt idx="305">
                  <c:v>-97.983640507112966</c:v>
                </c:pt>
                <c:pt idx="306">
                  <c:v>-98.537667313731873</c:v>
                </c:pt>
                <c:pt idx="307">
                  <c:v>-99.094472805421844</c:v>
                </c:pt>
                <c:pt idx="308">
                  <c:v>-99.654209904466342</c:v>
                </c:pt>
                <c:pt idx="309">
                  <c:v>-100.21702765564228</c:v>
                </c:pt>
                <c:pt idx="310">
                  <c:v>-100.78307093410636</c:v>
                </c:pt>
                <c:pt idx="311">
                  <c:v>-101.35248014650774</c:v>
                </c:pt>
                <c:pt idx="312">
                  <c:v>-101.92539092547237</c:v>
                </c:pt>
                <c:pt idx="313">
                  <c:v>-102.5019338176905</c:v>
                </c:pt>
                <c:pt idx="314">
                  <c:v>-103.08223396595753</c:v>
                </c:pt>
                <c:pt idx="315">
                  <c:v>-103.66641078561676</c:v>
                </c:pt>
                <c:pt idx="316">
                  <c:v>-104.25457763598472</c:v>
                </c:pt>
                <c:pt idx="317">
                  <c:v>-104.84684148745274</c:v>
                </c:pt>
                <c:pt idx="318">
                  <c:v>-105.44330258509297</c:v>
                </c:pt>
                <c:pt idx="319">
                  <c:v>-106.04405410973588</c:v>
                </c:pt>
                <c:pt idx="320">
                  <c:v>-106.64918183761348</c:v>
                </c:pt>
                <c:pt idx="321">
                  <c:v>-107.2587637998176</c:v>
                </c:pt>
                <c:pt idx="322">
                  <c:v>-107.87286994295623</c:v>
                </c:pt>
                <c:pt idx="323">
                  <c:v>-108.49156179254148</c:v>
                </c:pt>
                <c:pt idx="324">
                  <c:v>-109.11489212078068</c:v>
                </c:pt>
                <c:pt idx="325">
                  <c:v>-109.7429046205924</c:v>
                </c:pt>
                <c:pt idx="326">
                  <c:v>-110.37563358779445</c:v>
                </c:pt>
                <c:pt idx="327">
                  <c:v>-111.01310361355189</c:v>
                </c:pt>
                <c:pt idx="328">
                  <c:v>-111.65532928928995</c:v>
                </c:pt>
                <c:pt idx="329">
                  <c:v>-112.30231492638785</c:v>
                </c:pt>
                <c:pt idx="330">
                  <c:v>-112.95405429307201</c:v>
                </c:pt>
                <c:pt idx="331">
                  <c:v>-113.6105303710028</c:v>
                </c:pt>
                <c:pt idx="332">
                  <c:v>-114.27171513412108</c:v>
                </c:pt>
                <c:pt idx="333">
                  <c:v>-114.93756935235592</c:v>
                </c:pt>
                <c:pt idx="334">
                  <c:v>-115.60804242282272</c:v>
                </c:pt>
                <c:pt idx="335">
                  <c:v>-116.28307223112529</c:v>
                </c:pt>
                <c:pt idx="336">
                  <c:v>-116.96258504535081</c:v>
                </c:pt>
                <c:pt idx="337">
                  <c:v>-117.64649544527965</c:v>
                </c:pt>
                <c:pt idx="338">
                  <c:v>-118.33470628922643</c:v>
                </c:pt>
                <c:pt idx="339">
                  <c:v>-119.02710872081678</c:v>
                </c:pt>
                <c:pt idx="340">
                  <c:v>-119.7235822178249</c:v>
                </c:pt>
                <c:pt idx="341">
                  <c:v>-120.42399468500871</c:v>
                </c:pt>
                <c:pt idx="342">
                  <c:v>-121.12820259263864</c:v>
                </c:pt>
                <c:pt idx="343">
                  <c:v>-121.83605116216019</c:v>
                </c:pt>
                <c:pt idx="344">
                  <c:v>-122.54737460012116</c:v>
                </c:pt>
                <c:pt idx="345">
                  <c:v>-123.26199638117284</c:v>
                </c:pt>
                <c:pt idx="346">
                  <c:v>-123.97972958058988</c:v>
                </c:pt>
                <c:pt idx="347">
                  <c:v>-124.7003772563862</c:v>
                </c:pt>
                <c:pt idx="348">
                  <c:v>-125.42373288068565</c:v>
                </c:pt>
                <c:pt idx="349">
                  <c:v>-126.14958081960401</c:v>
                </c:pt>
                <c:pt idx="350">
                  <c:v>-126.87769686046767</c:v>
                </c:pt>
                <c:pt idx="351">
                  <c:v>-127.60784878475891</c:v>
                </c:pt>
                <c:pt idx="352">
                  <c:v>-128.33979698475949</c:v>
                </c:pt>
                <c:pt idx="353">
                  <c:v>-129.07329512143062</c:v>
                </c:pt>
                <c:pt idx="354">
                  <c:v>-129.80809082067356</c:v>
                </c:pt>
                <c:pt idx="355">
                  <c:v>-130.54392640471991</c:v>
                </c:pt>
                <c:pt idx="356">
                  <c:v>-131.28053965505174</c:v>
                </c:pt>
                <c:pt idx="357">
                  <c:v>-132.01766460292598</c:v>
                </c:pt>
                <c:pt idx="358">
                  <c:v>-132.75503234329349</c:v>
                </c:pt>
                <c:pt idx="359">
                  <c:v>-133.49237186766035</c:v>
                </c:pt>
                <c:pt idx="360">
                  <c:v>-134.22941091126455</c:v>
                </c:pt>
                <c:pt idx="361">
                  <c:v>-134.96587680978141</c:v>
                </c:pt>
                <c:pt idx="362">
                  <c:v>-135.70149736071272</c:v>
                </c:pt>
                <c:pt idx="363">
                  <c:v>-136.43600168457306</c:v>
                </c:pt>
                <c:pt idx="364">
                  <c:v>-137.16912108103176</c:v>
                </c:pt>
                <c:pt idx="365">
                  <c:v>-137.90058987525171</c:v>
                </c:pt>
                <c:pt idx="366">
                  <c:v>-138.63014624981983</c:v>
                </c:pt>
                <c:pt idx="367">
                  <c:v>-139.35753305786125</c:v>
                </c:pt>
                <c:pt idx="368">
                  <c:v>-140.08249861318245</c:v>
                </c:pt>
                <c:pt idx="369">
                  <c:v>-140.80479745358241</c:v>
                </c:pt>
                <c:pt idx="370">
                  <c:v>-141.52419107381911</c:v>
                </c:pt>
                <c:pt idx="371">
                  <c:v>-142.24044862508208</c:v>
                </c:pt>
                <c:pt idx="372">
                  <c:v>-142.95334757823719</c:v>
                </c:pt>
                <c:pt idx="373">
                  <c:v>-143.66267434853739</c:v>
                </c:pt>
                <c:pt idx="374">
                  <c:v>-144.36822487992794</c:v>
                </c:pt>
                <c:pt idx="375">
                  <c:v>-145.06980518756347</c:v>
                </c:pt>
                <c:pt idx="376">
                  <c:v>-145.76723185758135</c:v>
                </c:pt>
                <c:pt idx="377">
                  <c:v>-146.46033250366122</c:v>
                </c:pt>
                <c:pt idx="378">
                  <c:v>-147.14894618036178</c:v>
                </c:pt>
                <c:pt idx="379">
                  <c:v>-147.83292375364385</c:v>
                </c:pt>
                <c:pt idx="380">
                  <c:v>-148.51212822945493</c:v>
                </c:pt>
                <c:pt idx="381">
                  <c:v>-149.18643504163231</c:v>
                </c:pt>
                <c:pt idx="382">
                  <c:v>-149.85573230077028</c:v>
                </c:pt>
                <c:pt idx="383">
                  <c:v>-150.51992100608555</c:v>
                </c:pt>
                <c:pt idx="384">
                  <c:v>-151.17891522260945</c:v>
                </c:pt>
                <c:pt idx="385">
                  <c:v>-151.83264222638221</c:v>
                </c:pt>
                <c:pt idx="386">
                  <c:v>-152.48104262056745</c:v>
                </c:pt>
                <c:pt idx="387">
                  <c:v>-153.1240704256887</c:v>
                </c:pt>
                <c:pt idx="388">
                  <c:v>-153.76169314739334</c:v>
                </c:pt>
                <c:pt idx="389">
                  <c:v>-154.39389182535533</c:v>
                </c:pt>
                <c:pt idx="390">
                  <c:v>-155.02066106711666</c:v>
                </c:pt>
                <c:pt idx="391">
                  <c:v>-155.64200907081138</c:v>
                </c:pt>
                <c:pt idx="392">
                  <c:v>-156.2579576408699</c:v>
                </c:pt>
                <c:pt idx="393">
                  <c:v>-156.86854220092957</c:v>
                </c:pt>
                <c:pt idx="394">
                  <c:v>-157.47381180829845</c:v>
                </c:pt>
                <c:pt idx="395">
                  <c:v>-158.0738291744413</c:v>
                </c:pt>
                <c:pt idx="396">
                  <c:v>-158.66867069607343</c:v>
                </c:pt>
                <c:pt idx="397">
                  <c:v>-159.25842650157762</c:v>
                </c:pt>
                <c:pt idx="398">
                  <c:v>-159.84320051759411</c:v>
                </c:pt>
                <c:pt idx="399">
                  <c:v>-160.4231105607906</c:v>
                </c:pt>
                <c:pt idx="400">
                  <c:v>-160.99828845999232</c:v>
                </c:pt>
                <c:pt idx="401">
                  <c:v>-161.56888021406743</c:v>
                </c:pt>
                <c:pt idx="402">
                  <c:v>-162.13504619119834</c:v>
                </c:pt>
                <c:pt idx="403">
                  <c:v>-162.69696137546219</c:v>
                </c:pt>
                <c:pt idx="404">
                  <c:v>-163.25481566698028</c:v>
                </c:pt>
                <c:pt idx="405">
                  <c:v>-163.80881424229676</c:v>
                </c:pt>
                <c:pt idx="406">
                  <c:v>-164.35917798211892</c:v>
                </c:pt>
                <c:pt idx="407">
                  <c:v>-164.90614397409624</c:v>
                </c:pt>
                <c:pt idx="408">
                  <c:v>-165.44996609896725</c:v>
                </c:pt>
                <c:pt idx="409">
                  <c:v>-165.99091570914646</c:v>
                </c:pt>
                <c:pt idx="410">
                  <c:v>-166.52928240970294</c:v>
                </c:pt>
                <c:pt idx="411">
                  <c:v>-167.06537495268876</c:v>
                </c:pt>
                <c:pt idx="412">
                  <c:v>-167.59952225695417</c:v>
                </c:pt>
                <c:pt idx="413">
                  <c:v>-168.13207456693689</c:v>
                </c:pt>
                <c:pt idx="414">
                  <c:v>-168.66340476548746</c:v>
                </c:pt>
                <c:pt idx="415">
                  <c:v>-169.19390985759438</c:v>
                </c:pt>
                <c:pt idx="416">
                  <c:v>-169.72401264396734</c:v>
                </c:pt>
                <c:pt idx="417">
                  <c:v>-170.25416360584464</c:v>
                </c:pt>
                <c:pt idx="418">
                  <c:v>-170.78484302516958</c:v>
                </c:pt>
                <c:pt idx="419">
                  <c:v>-171.31656336749771</c:v>
                </c:pt>
                <c:pt idx="420">
                  <c:v>-171.84987195869846</c:v>
                </c:pt>
                <c:pt idx="421">
                  <c:v>-172.3853539908053</c:v>
                </c:pt>
                <c:pt idx="422">
                  <c:v>-172.92363589732645</c:v>
                </c:pt>
                <c:pt idx="423">
                  <c:v>-173.4653891440615</c:v>
                </c:pt>
                <c:pt idx="424">
                  <c:v>-174.01133448812325</c:v>
                </c:pt>
                <c:pt idx="425">
                  <c:v>-174.56224676556678</c:v>
                </c:pt>
                <c:pt idx="426">
                  <c:v>-175.11896027697117</c:v>
                </c:pt>
                <c:pt idx="427">
                  <c:v>-175.68237485070833</c:v>
                </c:pt>
                <c:pt idx="428">
                  <c:v>-176.25346267568455</c:v>
                </c:pt>
                <c:pt idx="429">
                  <c:v>-176.8332760093775</c:v>
                </c:pt>
                <c:pt idx="430">
                  <c:v>-177.42295588327505</c:v>
                </c:pt>
                <c:pt idx="431">
                  <c:v>-178.02374194676054</c:v>
                </c:pt>
                <c:pt idx="432">
                  <c:v>-178.63698361250013</c:v>
                </c:pt>
                <c:pt idx="433">
                  <c:v>-179.264152691867</c:v>
                </c:pt>
                <c:pt idx="434">
                  <c:v>-179.9068577385014</c:v>
                </c:pt>
                <c:pt idx="435">
                  <c:v>-180.56686035217436</c:v>
                </c:pt>
                <c:pt idx="436">
                  <c:v>-181.24609373430889</c:v>
                </c:pt>
                <c:pt idx="437">
                  <c:v>-181.946683831277</c:v>
                </c:pt>
                <c:pt idx="438">
                  <c:v>-182.67097345231323</c:v>
                </c:pt>
                <c:pt idx="439">
                  <c:v>-183.42154980567696</c:v>
                </c:pt>
                <c:pt idx="440">
                  <c:v>-184.20127595920169</c:v>
                </c:pt>
                <c:pt idx="441">
                  <c:v>-185.01332679848394</c:v>
                </c:pt>
                <c:pt idx="442">
                  <c:v>-185.86123012522981</c:v>
                </c:pt>
                <c:pt idx="443">
                  <c:v>-186.7489136052537</c:v>
                </c:pt>
                <c:pt idx="444">
                  <c:v>-187.68075833256603</c:v>
                </c:pt>
                <c:pt idx="445">
                  <c:v>-188.66165981025893</c:v>
                </c:pt>
                <c:pt idx="446">
                  <c:v>-189.69709714017475</c:v>
                </c:pt>
                <c:pt idx="447">
                  <c:v>-190.79321112988919</c:v>
                </c:pt>
                <c:pt idx="448">
                  <c:v>-191.95689181852364</c:v>
                </c:pt>
                <c:pt idx="449">
                  <c:v>-193.19587551830327</c:v>
                </c:pt>
                <c:pt idx="450">
                  <c:v>-194.51885075618108</c:v>
                </c:pt>
                <c:pt idx="451">
                  <c:v>-195.935571317198</c:v>
                </c:pt>
                <c:pt idx="452">
                  <c:v>-197.45697270553492</c:v>
                </c:pt>
                <c:pt idx="453">
                  <c:v>-199.09528542423487</c:v>
                </c:pt>
                <c:pt idx="454">
                  <c:v>-200.86413409053986</c:v>
                </c:pt>
                <c:pt idx="455">
                  <c:v>-202.77860499138345</c:v>
                </c:pt>
                <c:pt idx="456">
                  <c:v>-204.85525559853619</c:v>
                </c:pt>
                <c:pt idx="457">
                  <c:v>-207.11202720385015</c:v>
                </c:pt>
                <c:pt idx="458">
                  <c:v>-209.56800595435345</c:v>
                </c:pt>
                <c:pt idx="459">
                  <c:v>-212.24295890410576</c:v>
                </c:pt>
                <c:pt idx="460">
                  <c:v>-215.15655310186492</c:v>
                </c:pt>
                <c:pt idx="461">
                  <c:v>-218.32715385285181</c:v>
                </c:pt>
                <c:pt idx="462">
                  <c:v>-221.77010558011526</c:v>
                </c:pt>
                <c:pt idx="463">
                  <c:v>-225.49544449947291</c:v>
                </c:pt>
                <c:pt idx="464">
                  <c:v>-229.50510014709292</c:v>
                </c:pt>
                <c:pt idx="465">
                  <c:v>-233.78982945057282</c:v>
                </c:pt>
                <c:pt idx="466">
                  <c:v>-238.32637992881985</c:v>
                </c:pt>
                <c:pt idx="467">
                  <c:v>-243.07562690006029</c:v>
                </c:pt>
                <c:pt idx="468">
                  <c:v>-247.98253314758369</c:v>
                </c:pt>
                <c:pt idx="469">
                  <c:v>-252.9785749931832</c:v>
                </c:pt>
                <c:pt idx="470">
                  <c:v>-257.98669846814192</c:v>
                </c:pt>
                <c:pt idx="471">
                  <c:v>-262.92806647364421</c:v>
                </c:pt>
                <c:pt idx="472">
                  <c:v>-267.72919785671377</c:v>
                </c:pt>
                <c:pt idx="473">
                  <c:v>-272.3279463301073</c:v>
                </c:pt>
                <c:pt idx="474">
                  <c:v>-276.67721142063647</c:v>
                </c:pt>
                <c:pt idx="475">
                  <c:v>-280.74605871812912</c:v>
                </c:pt>
                <c:pt idx="476">
                  <c:v>-284.51865146079251</c:v>
                </c:pt>
                <c:pt idx="477">
                  <c:v>-287.99178799747915</c:v>
                </c:pt>
                <c:pt idx="478">
                  <c:v>-291.17186972680389</c:v>
                </c:pt>
                <c:pt idx="479">
                  <c:v>-294.07192605923404</c:v>
                </c:pt>
                <c:pt idx="480">
                  <c:v>-296.70905894807265</c:v>
                </c:pt>
                <c:pt idx="481">
                  <c:v>-299.10244574591991</c:v>
                </c:pt>
                <c:pt idx="482">
                  <c:v>-301.27189348150046</c:v>
                </c:pt>
                <c:pt idx="483">
                  <c:v>-303.23686425545395</c:v>
                </c:pt>
                <c:pt idx="484">
                  <c:v>-305.01586803926244</c:v>
                </c:pt>
                <c:pt idx="485">
                  <c:v>-306.62612359686773</c:v>
                </c:pt>
                <c:pt idx="486">
                  <c:v>-308.08340468858688</c:v>
                </c:pt>
                <c:pt idx="487">
                  <c:v>-309.40200789394299</c:v>
                </c:pt>
                <c:pt idx="488">
                  <c:v>-310.59479582967703</c:v>
                </c:pt>
                <c:pt idx="489">
                  <c:v>-311.67328364122534</c:v>
                </c:pt>
                <c:pt idx="490">
                  <c:v>-312.64774727805212</c:v>
                </c:pt>
                <c:pt idx="491">
                  <c:v>-313.52733970786528</c:v>
                </c:pt>
                <c:pt idx="492">
                  <c:v>-314.32020652977519</c:v>
                </c:pt>
                <c:pt idx="493">
                  <c:v>-315.03359602147339</c:v>
                </c:pt>
                <c:pt idx="494">
                  <c:v>-315.67396100006994</c:v>
                </c:pt>
                <c:pt idx="495">
                  <c:v>-316.24705137024722</c:v>
                </c:pt>
                <c:pt idx="496">
                  <c:v>-316.75799715302327</c:v>
                </c:pt>
                <c:pt idx="497">
                  <c:v>-317.21138232781288</c:v>
                </c:pt>
                <c:pt idx="498">
                  <c:v>-317.61131011341178</c:v>
                </c:pt>
                <c:pt idx="499">
                  <c:v>-317.96146045023909</c:v>
                </c:pt>
                <c:pt idx="500">
                  <c:v>-318.13231781226506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41-4D19-9DBC-690DDB1D00CA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91.661109807680972</c:v>
                </c:pt>
                <c:pt idx="1">
                  <c:v>91.638626212888354</c:v>
                </c:pt>
                <c:pt idx="2">
                  <c:v>91.616967488916032</c:v>
                </c:pt>
                <c:pt idx="3">
                  <c:v>91.596122768469272</c:v>
                </c:pt>
                <c:pt idx="4">
                  <c:v>91.576081589918459</c:v>
                </c:pt>
                <c:pt idx="5">
                  <c:v>91.556833892229918</c:v>
                </c:pt>
                <c:pt idx="6">
                  <c:v>91.538370010078424</c:v>
                </c:pt>
                <c:pt idx="7">
                  <c:v>91.520680669140205</c:v>
                </c:pt>
                <c:pt idx="8">
                  <c:v>91.503756981564479</c:v>
                </c:pt>
                <c:pt idx="9">
                  <c:v>91.487590441622061</c:v>
                </c:pt>
                <c:pt idx="10">
                  <c:v>91.472172921529236</c:v>
                </c:pt>
                <c:pt idx="11">
                  <c:v>91.457496667445724</c:v>
                </c:pt>
                <c:pt idx="12">
                  <c:v>91.443554295644489</c:v>
                </c:pt>
                <c:pt idx="13">
                  <c:v>91.430338788852566</c:v>
                </c:pt>
                <c:pt idx="14">
                  <c:v>91.417843492760582</c:v>
                </c:pt>
                <c:pt idx="15">
                  <c:v>91.406062112700127</c:v>
                </c:pt>
                <c:pt idx="16">
                  <c:v>91.394988710486828</c:v>
                </c:pt>
                <c:pt idx="17">
                  <c:v>91.384617701428226</c:v>
                </c:pt>
                <c:pt idx="18">
                  <c:v>91.374943851494265</c:v>
                </c:pt>
                <c:pt idx="19">
                  <c:v>91.365962274649462</c:v>
                </c:pt>
                <c:pt idx="20">
                  <c:v>91.3576684303451</c:v>
                </c:pt>
                <c:pt idx="21">
                  <c:v>91.350058121169823</c:v>
                </c:pt>
                <c:pt idx="22">
                  <c:v>91.343127490657423</c:v>
                </c:pt>
                <c:pt idx="23">
                  <c:v>91.336873021250099</c:v>
                </c:pt>
                <c:pt idx="24">
                  <c:v>91.331291532416159</c:v>
                </c:pt>
                <c:pt idx="25">
                  <c:v>91.326380178920203</c:v>
                </c:pt>
                <c:pt idx="26">
                  <c:v>91.322136449244724</c:v>
                </c:pt>
                <c:pt idx="27">
                  <c:v>91.318558164161573</c:v>
                </c:pt>
                <c:pt idx="28">
                  <c:v>91.315643475451822</c:v>
                </c:pt>
                <c:pt idx="29">
                  <c:v>91.313390864772558</c:v>
                </c:pt>
                <c:pt idx="30">
                  <c:v>91.311799142669173</c:v>
                </c:pt>
                <c:pt idx="31">
                  <c:v>91.310867447731539</c:v>
                </c:pt>
                <c:pt idx="32">
                  <c:v>91.310595245892827</c:v>
                </c:pt>
                <c:pt idx="33">
                  <c:v>91.310982329869034</c:v>
                </c:pt>
                <c:pt idx="34">
                  <c:v>91.312028818737858</c:v>
                </c:pt>
                <c:pt idx="35">
                  <c:v>91.313735157655429</c:v>
                </c:pt>
                <c:pt idx="36">
                  <c:v>91.31610211770878</c:v>
                </c:pt>
                <c:pt idx="37">
                  <c:v>91.319130795902794</c:v>
                </c:pt>
                <c:pt idx="38">
                  <c:v>91.322822615279492</c:v>
                </c:pt>
                <c:pt idx="39">
                  <c:v>91.327179325167904</c:v>
                </c:pt>
                <c:pt idx="40">
                  <c:v>91.332203001562647</c:v>
                </c:pt>
                <c:pt idx="41">
                  <c:v>91.337896047629002</c:v>
                </c:pt>
                <c:pt idx="42">
                  <c:v>91.344261194332304</c:v>
                </c:pt>
                <c:pt idx="43">
                  <c:v>91.351301501189667</c:v>
                </c:pt>
                <c:pt idx="44">
                  <c:v>91.359020357141048</c:v>
                </c:pt>
                <c:pt idx="45">
                  <c:v>91.367421481537988</c:v>
                </c:pt>
                <c:pt idx="46">
                  <c:v>91.376508925246412</c:v>
                </c:pt>
                <c:pt idx="47">
                  <c:v>91.386287071860991</c:v>
                </c:pt>
                <c:pt idx="48">
                  <c:v>91.396760639028372</c:v>
                </c:pt>
                <c:pt idx="49">
                  <c:v>91.407934679875254</c:v>
                </c:pt>
                <c:pt idx="50">
                  <c:v>91.419814584538557</c:v>
                </c:pt>
                <c:pt idx="51">
                  <c:v>91.432406081793218</c:v>
                </c:pt>
                <c:pt idx="52">
                  <c:v>91.445715240774547</c:v>
                </c:pt>
                <c:pt idx="53">
                  <c:v>91.459748472789698</c:v>
                </c:pt>
                <c:pt idx="54">
                  <c:v>91.474512533214806</c:v>
                </c:pt>
                <c:pt idx="55">
                  <c:v>91.490014523471999</c:v>
                </c:pt>
                <c:pt idx="56">
                  <c:v>91.506261893081501</c:v>
                </c:pt>
                <c:pt idx="57">
                  <c:v>91.523262441782862</c:v>
                </c:pt>
                <c:pt idx="58">
                  <c:v>91.541024321719448</c:v>
                </c:pt>
                <c:pt idx="59">
                  <c:v>91.55955603967935</c:v>
                </c:pt>
                <c:pt idx="60">
                  <c:v>91.578866459385821</c:v>
                </c:pt>
                <c:pt idx="61">
                  <c:v>91.598964803829887</c:v>
                </c:pt>
                <c:pt idx="62">
                  <c:v>91.619860657636423</c:v>
                </c:pt>
                <c:pt idx="63">
                  <c:v>91.641563969455362</c:v>
                </c:pt>
                <c:pt idx="64">
                  <c:v>91.66408505436884</c:v>
                </c:pt>
                <c:pt idx="65">
                  <c:v>91.68743459630349</c:v>
                </c:pt>
                <c:pt idx="66">
                  <c:v>91.711623650437573</c:v>
                </c:pt>
                <c:pt idx="67">
                  <c:v>91.736663645591264</c:v>
                </c:pt>
                <c:pt idx="68">
                  <c:v>91.762566386587338</c:v>
                </c:pt>
                <c:pt idx="69">
                  <c:v>91.789344056568893</c:v>
                </c:pt>
                <c:pt idx="70">
                  <c:v>91.817009219259944</c:v>
                </c:pt>
                <c:pt idx="71">
                  <c:v>91.845574821153065</c:v>
                </c:pt>
                <c:pt idx="72">
                  <c:v>91.875054193607809</c:v>
                </c:pt>
                <c:pt idx="73">
                  <c:v>91.905461054841879</c:v>
                </c:pt>
                <c:pt idx="74">
                  <c:v>91.936809511796056</c:v>
                </c:pt>
                <c:pt idx="75">
                  <c:v>91.969114061852949</c:v>
                </c:pt>
                <c:pt idx="76">
                  <c:v>92.002389594386543</c:v>
                </c:pt>
                <c:pt idx="77">
                  <c:v>92.036651392120945</c:v>
                </c:pt>
                <c:pt idx="78">
                  <c:v>92.071915132271187</c:v>
                </c:pt>
                <c:pt idx="79">
                  <c:v>92.108196887441323</c:v>
                </c:pt>
                <c:pt idx="80">
                  <c:v>92.145513126249639</c:v>
                </c:pt>
                <c:pt idx="81">
                  <c:v>92.183880713651618</c:v>
                </c:pt>
                <c:pt idx="82">
                  <c:v>92.223316910926968</c:v>
                </c:pt>
                <c:pt idx="83">
                  <c:v>92.263839375296541</c:v>
                </c:pt>
                <c:pt idx="84">
                  <c:v>92.305466159132123</c:v>
                </c:pt>
                <c:pt idx="85">
                  <c:v>92.348215708718271</c:v>
                </c:pt>
                <c:pt idx="86">
                  <c:v>92.392106862525537</c:v>
                </c:pt>
                <c:pt idx="87">
                  <c:v>92.4371588489484</c:v>
                </c:pt>
                <c:pt idx="88">
                  <c:v>92.483391283461714</c:v>
                </c:pt>
                <c:pt idx="89">
                  <c:v>92.530824165142718</c:v>
                </c:pt>
                <c:pt idx="90">
                  <c:v>92.579477872505819</c:v>
                </c:pt>
                <c:pt idx="91">
                  <c:v>92.629373158591974</c:v>
                </c:pt>
                <c:pt idx="92">
                  <c:v>92.680531145251052</c:v>
                </c:pt>
                <c:pt idx="93">
                  <c:v>92.732973316552474</c:v>
                </c:pt>
                <c:pt idx="94">
                  <c:v>92.786721511255138</c:v>
                </c:pt>
                <c:pt idx="95">
                  <c:v>92.84179791426331</c:v>
                </c:pt>
                <c:pt idx="96">
                  <c:v>92.898225046990959</c:v>
                </c:pt>
                <c:pt idx="97">
                  <c:v>92.956025756552719</c:v>
                </c:pt>
                <c:pt idx="98">
                  <c:v>93.015223203694632</c:v>
                </c:pt>
                <c:pt idx="99">
                  <c:v>93.075840849372298</c:v>
                </c:pt>
                <c:pt idx="100">
                  <c:v>93.137902439881131</c:v>
                </c:pt>
                <c:pt idx="101">
                  <c:v>93.20143199043487</c:v>
                </c:pt>
                <c:pt idx="102">
                  <c:v>93.26645376708602</c:v>
                </c:pt>
                <c:pt idx="103">
                  <c:v>93.332992266873703</c:v>
                </c:pt>
                <c:pt idx="104">
                  <c:v>93.40107219608123</c:v>
                </c:pt>
                <c:pt idx="105">
                  <c:v>93.470718446476624</c:v>
                </c:pt>
                <c:pt idx="106">
                  <c:v>93.541956069405344</c:v>
                </c:pt>
                <c:pt idx="107">
                  <c:v>93.614810247598228</c:v>
                </c:pt>
                <c:pt idx="108">
                  <c:v>93.689306264548719</c:v>
                </c:pt>
                <c:pt idx="109">
                  <c:v>93.765469471310666</c:v>
                </c:pt>
                <c:pt idx="110">
                  <c:v>93.843325250558792</c:v>
                </c:pt>
                <c:pt idx="111">
                  <c:v>93.922898977747394</c:v>
                </c:pt>
                <c:pt idx="112">
                  <c:v>94.004215979198023</c:v>
                </c:pt>
                <c:pt idx="113">
                  <c:v>94.087301486938898</c:v>
                </c:pt>
                <c:pt idx="114">
                  <c:v>94.172180590112788</c:v>
                </c:pt>
                <c:pt idx="115">
                  <c:v>94.258878182764931</c:v>
                </c:pt>
                <c:pt idx="116">
                  <c:v>94.34741890781423</c:v>
                </c:pt>
                <c:pt idx="117">
                  <c:v>94.437827097008352</c:v>
                </c:pt>
                <c:pt idx="118">
                  <c:v>94.530126706656475</c:v>
                </c:pt>
                <c:pt idx="119">
                  <c:v>94.62434124892836</c:v>
                </c:pt>
                <c:pt idx="120">
                  <c:v>94.720493718506347</c:v>
                </c:pt>
                <c:pt idx="121">
                  <c:v>94.818606514371496</c:v>
                </c:pt>
                <c:pt idx="122">
                  <c:v>94.918701356503519</c:v>
                </c:pt>
                <c:pt idx="123">
                  <c:v>95.020799197274982</c:v>
                </c:pt>
                <c:pt idx="124">
                  <c:v>95.124920127313942</c:v>
                </c:pt>
                <c:pt idx="125">
                  <c:v>95.231083275620406</c:v>
                </c:pt>
                <c:pt idx="126">
                  <c:v>95.339306703712111</c:v>
                </c:pt>
                <c:pt idx="127">
                  <c:v>95.449607293592919</c:v>
                </c:pt>
                <c:pt idx="128">
                  <c:v>95.562000629331877</c:v>
                </c:pt>
                <c:pt idx="129">
                  <c:v>95.676500872059265</c:v>
                </c:pt>
                <c:pt idx="130">
                  <c:v>95.793120628189158</c:v>
                </c:pt>
                <c:pt idx="131">
                  <c:v>95.911870810698431</c:v>
                </c:pt>
                <c:pt idx="132">
                  <c:v>96.032760493305489</c:v>
                </c:pt>
                <c:pt idx="133">
                  <c:v>96.155796757411039</c:v>
                </c:pt>
                <c:pt idx="134">
                  <c:v>96.280984531692965</c:v>
                </c:pt>
                <c:pt idx="135">
                  <c:v>96.408326424267344</c:v>
                </c:pt>
                <c:pt idx="136">
                  <c:v>96.53782254736447</c:v>
                </c:pt>
                <c:pt idx="137">
                  <c:v>96.66947033450559</c:v>
                </c:pt>
                <c:pt idx="138">
                  <c:v>96.80326435020342</c:v>
                </c:pt>
                <c:pt idx="139">
                  <c:v>96.939196092259976</c:v>
                </c:pt>
                <c:pt idx="140">
                  <c:v>97.077253786783928</c:v>
                </c:pt>
                <c:pt idx="141">
                  <c:v>97.217422176111313</c:v>
                </c:pt>
                <c:pt idx="142">
                  <c:v>97.359682299872503</c:v>
                </c:pt>
                <c:pt idx="143">
                  <c:v>97.504011269520646</c:v>
                </c:pt>
                <c:pt idx="144">
                  <c:v>97.650382036714319</c:v>
                </c:pt>
                <c:pt idx="145">
                  <c:v>97.798763156025416</c:v>
                </c:pt>
                <c:pt idx="146">
                  <c:v>97.949118542539807</c:v>
                </c:pt>
                <c:pt idx="147">
                  <c:v>98.101407225003442</c:v>
                </c:pt>
                <c:pt idx="148">
                  <c:v>98.255583095282972</c:v>
                </c:pt>
                <c:pt idx="149">
                  <c:v>98.411594655004819</c:v>
                </c:pt>
                <c:pt idx="150">
                  <c:v>98.569384760360322</c:v>
                </c:pt>
                <c:pt idx="151">
                  <c:v>98.728890366181275</c:v>
                </c:pt>
                <c:pt idx="152">
                  <c:v>98.890042270516247</c:v>
                </c:pt>
                <c:pt idx="153">
                  <c:v>99.052764861064702</c:v>
                </c:pt>
                <c:pt idx="154">
                  <c:v>99.216975864964439</c:v>
                </c:pt>
                <c:pt idx="155">
                  <c:v>99.382586103555212</c:v>
                </c:pt>
                <c:pt idx="156">
                  <c:v>99.54949925388263</c:v>
                </c:pt>
                <c:pt idx="157">
                  <c:v>99.717611618839015</c:v>
                </c:pt>
                <c:pt idx="158">
                  <c:v>99.886811907973268</c:v>
                </c:pt>
                <c:pt idx="159">
                  <c:v>100.05698103112718</c:v>
                </c:pt>
                <c:pt idx="160">
                  <c:v>100.22799190718149</c:v>
                </c:pt>
                <c:pt idx="161">
                  <c:v>100.39970929030935</c:v>
                </c:pt>
                <c:pt idx="162">
                  <c:v>100.57198961623406</c:v>
                </c:pt>
                <c:pt idx="163">
                  <c:v>100.74468087108849</c:v>
                </c:pt>
                <c:pt idx="164">
                  <c:v>100.91762248553081</c:v>
                </c:pt>
                <c:pt idx="165">
                  <c:v>101.09064525684693</c:v>
                </c:pt>
                <c:pt idx="166">
                  <c:v>101.26357130178273</c:v>
                </c:pt>
                <c:pt idx="167">
                  <c:v>101.43621404287352</c:v>
                </c:pt>
                <c:pt idx="168">
                  <c:v>101.60837823100711</c:v>
                </c:pt>
                <c:pt idx="169">
                  <c:v>101.77986000691577</c:v>
                </c:pt>
                <c:pt idx="170">
                  <c:v>101.95044700420108</c:v>
                </c:pt>
                <c:pt idx="171">
                  <c:v>102.1199184963826</c:v>
                </c:pt>
                <c:pt idx="172">
                  <c:v>102.28804559030402</c:v>
                </c:pt>
                <c:pt idx="173">
                  <c:v>102.45459146802799</c:v>
                </c:pt>
                <c:pt idx="174">
                  <c:v>102.61931167912809</c:v>
                </c:pt>
                <c:pt idx="175">
                  <c:v>102.78195448499159</c:v>
                </c:pt>
                <c:pt idx="176">
                  <c:v>102.94226125644005</c:v>
                </c:pt>
                <c:pt idx="177">
                  <c:v>103.09996692561208</c:v>
                </c:pt>
                <c:pt idx="178">
                  <c:v>103.25480049264644</c:v>
                </c:pt>
                <c:pt idx="179">
                  <c:v>103.4064855872759</c:v>
                </c:pt>
                <c:pt idx="180">
                  <c:v>103.55474108496368</c:v>
                </c:pt>
                <c:pt idx="181">
                  <c:v>103.69928177671574</c:v>
                </c:pt>
                <c:pt idx="182">
                  <c:v>103.83981909117091</c:v>
                </c:pt>
                <c:pt idx="183">
                  <c:v>103.97606186702609</c:v>
                </c:pt>
                <c:pt idx="184">
                  <c:v>104.10771717328133</c:v>
                </c:pt>
                <c:pt idx="185">
                  <c:v>104.23449117422645</c:v>
                </c:pt>
                <c:pt idx="186">
                  <c:v>104.35609003551386</c:v>
                </c:pt>
                <c:pt idx="187">
                  <c:v>104.47222086709469</c:v>
                </c:pt>
                <c:pt idx="188">
                  <c:v>104.5825926982516</c:v>
                </c:pt>
                <c:pt idx="189">
                  <c:v>104.68691747943134</c:v>
                </c:pt>
                <c:pt idx="190">
                  <c:v>104.78491110508888</c:v>
                </c:pt>
                <c:pt idx="191">
                  <c:v>104.87629445130347</c:v>
                </c:pt>
                <c:pt idx="192">
                  <c:v>104.96079442152653</c:v>
                </c:pt>
                <c:pt idx="193">
                  <c:v>105.03814499347305</c:v>
                </c:pt>
                <c:pt idx="194">
                  <c:v>105.10808825988859</c:v>
                </c:pt>
                <c:pt idx="195">
                  <c:v>105.17037545571536</c:v>
                </c:pt>
                <c:pt idx="196">
                  <c:v>105.22476796405009</c:v>
                </c:pt>
                <c:pt idx="197">
                  <c:v>105.27103829322179</c:v>
                </c:pt>
                <c:pt idx="198">
                  <c:v>105.3089710173669</c:v>
                </c:pt>
                <c:pt idx="199">
                  <c:v>105.33836367297874</c:v>
                </c:pt>
                <c:pt idx="200">
                  <c:v>105.35902760412682</c:v>
                </c:pt>
                <c:pt idx="201">
                  <c:v>105.37078874931726</c:v>
                </c:pt>
                <c:pt idx="202">
                  <c:v>105.37348836335984</c:v>
                </c:pt>
                <c:pt idx="203">
                  <c:v>105.3669836680437</c:v>
                </c:pt>
                <c:pt idx="204">
                  <c:v>105.35114842596394</c:v>
                </c:pt>
                <c:pt idx="205">
                  <c:v>105.32587343245318</c:v>
                </c:pt>
                <c:pt idx="206">
                  <c:v>105.29106692121829</c:v>
                </c:pt>
                <c:pt idx="207">
                  <c:v>105.24665488002989</c:v>
                </c:pt>
                <c:pt idx="208">
                  <c:v>105.19258127355772</c:v>
                </c:pt>
                <c:pt idx="209">
                  <c:v>105.12880817127007</c:v>
                </c:pt>
                <c:pt idx="210">
                  <c:v>105.05531577913612</c:v>
                </c:pt>
                <c:pt idx="211">
                  <c:v>104.97210237472883</c:v>
                </c:pt>
                <c:pt idx="212">
                  <c:v>104.87918414617189</c:v>
                </c:pt>
                <c:pt idx="213">
                  <c:v>104.77659493623096</c:v>
                </c:pt>
                <c:pt idx="214">
                  <c:v>104.66438589368008</c:v>
                </c:pt>
                <c:pt idx="215">
                  <c:v>104.5426250348676</c:v>
                </c:pt>
                <c:pt idx="216">
                  <c:v>104.41139671919974</c:v>
                </c:pt>
                <c:pt idx="217">
                  <c:v>104.27080104294322</c:v>
                </c:pt>
                <c:pt idx="218">
                  <c:v>104.12095315644441</c:v>
                </c:pt>
                <c:pt idx="219">
                  <c:v>103.96198251044537</c:v>
                </c:pt>
                <c:pt idx="220">
                  <c:v>103.79403203770551</c:v>
                </c:pt>
                <c:pt idx="221">
                  <c:v>103.61725727659746</c:v>
                </c:pt>
                <c:pt idx="222">
                  <c:v>103.43182544371055</c:v>
                </c:pt>
                <c:pt idx="223">
                  <c:v>103.23791446277801</c:v>
                </c:pt>
                <c:pt idx="224">
                  <c:v>103.0357119574582</c:v>
                </c:pt>
                <c:pt idx="225">
                  <c:v>102.82541421559179</c:v>
                </c:pt>
                <c:pt idx="226">
                  <c:v>102.60722513260373</c:v>
                </c:pt>
                <c:pt idx="227">
                  <c:v>102.38135514164777</c:v>
                </c:pt>
                <c:pt idx="228">
                  <c:v>102.14802013796638</c:v>
                </c:pt>
                <c:pt idx="229">
                  <c:v>101.90744040471017</c:v>
                </c:pt>
                <c:pt idx="230">
                  <c:v>101.65983954719401</c:v>
                </c:pt>
                <c:pt idx="231">
                  <c:v>101.40544344220882</c:v>
                </c:pt>
                <c:pt idx="232">
                  <c:v>101.14447920860272</c:v>
                </c:pt>
                <c:pt idx="233">
                  <c:v>100.87717420490191</c:v>
                </c:pt>
                <c:pt idx="234">
                  <c:v>100.60375505923668</c:v>
                </c:pt>
                <c:pt idx="235">
                  <c:v>100.32444673632128</c:v>
                </c:pt>
                <c:pt idx="236">
                  <c:v>100.03947164567936</c:v>
                </c:pt>
                <c:pt idx="237">
                  <c:v>99.749048794748489</c:v>
                </c:pt>
                <c:pt idx="238">
                  <c:v>99.45339298991351</c:v>
                </c:pt>
                <c:pt idx="239">
                  <c:v>99.152714087974402</c:v>
                </c:pt>
                <c:pt idx="240">
                  <c:v>98.847216299953573</c:v>
                </c:pt>
                <c:pt idx="241">
                  <c:v>98.537097548640659</c:v>
                </c:pt>
                <c:pt idx="242">
                  <c:v>98.222548880717596</c:v>
                </c:pt>
                <c:pt idx="243">
                  <c:v>97.903753933820468</c:v>
                </c:pt>
                <c:pt idx="244">
                  <c:v>97.580888458429627</c:v>
                </c:pt>
                <c:pt idx="245">
                  <c:v>97.254119894039405</c:v>
                </c:pt>
                <c:pt idx="246">
                  <c:v>96.923606998663729</c:v>
                </c:pt>
                <c:pt idx="247">
                  <c:v>96.589499530385012</c:v>
                </c:pt>
                <c:pt idx="248">
                  <c:v>96.251937979337043</c:v>
                </c:pt>
                <c:pt idx="249">
                  <c:v>95.911053348228677</c:v>
                </c:pt>
                <c:pt idx="250">
                  <c:v>95.566966979303658</c:v>
                </c:pt>
                <c:pt idx="251">
                  <c:v>95.219790425425117</c:v>
                </c:pt>
                <c:pt idx="252">
                  <c:v>94.869625362828032</c:v>
                </c:pt>
                <c:pt idx="253">
                  <c:v>94.51656354296891</c:v>
                </c:pt>
                <c:pt idx="254">
                  <c:v>94.160686780827632</c:v>
                </c:pt>
                <c:pt idx="255">
                  <c:v>93.802066976964184</c:v>
                </c:pt>
                <c:pt idx="256">
                  <c:v>93.440766170627384</c:v>
                </c:pt>
                <c:pt idx="257">
                  <c:v>93.076836621219385</c:v>
                </c:pt>
                <c:pt idx="258">
                  <c:v>92.710320915465275</c:v>
                </c:pt>
                <c:pt idx="259">
                  <c:v>92.341252097695588</c:v>
                </c:pt>
                <c:pt idx="260">
                  <c:v>91.969653820721817</c:v>
                </c:pt>
                <c:pt idx="261">
                  <c:v>91.595540514901785</c:v>
                </c:pt>
                <c:pt idx="262">
                  <c:v>91.218917573068296</c:v>
                </c:pt>
                <c:pt idx="263">
                  <c:v>90.839781549157962</c:v>
                </c:pt>
                <c:pt idx="264">
                  <c:v>90.458120368465714</c:v>
                </c:pt>
                <c:pt idx="265">
                  <c:v>90.073913547612861</c:v>
                </c:pt>
                <c:pt idx="266">
                  <c:v>89.687132422445146</c:v>
                </c:pt>
                <c:pt idx="267">
                  <c:v>89.297740382224845</c:v>
                </c:pt>
                <c:pt idx="268">
                  <c:v>88.905693108617854</c:v>
                </c:pt>
                <c:pt idx="269">
                  <c:v>88.510938818126348</c:v>
                </c:pt>
                <c:pt idx="270">
                  <c:v>88.11341850674917</c:v>
                </c:pt>
                <c:pt idx="271">
                  <c:v>87.71306619580443</c:v>
                </c:pt>
                <c:pt idx="272">
                  <c:v>87.309809177959636</c:v>
                </c:pt>
                <c:pt idx="273">
                  <c:v>86.903568262667321</c:v>
                </c:pt>
                <c:pt idx="274">
                  <c:v>86.494258020307612</c:v>
                </c:pt>
                <c:pt idx="275">
                  <c:v>86.081787024475247</c:v>
                </c:pt>
                <c:pt idx="276">
                  <c:v>85.66605809193922</c:v>
                </c:pt>
                <c:pt idx="277">
                  <c:v>85.246968519929965</c:v>
                </c:pt>
                <c:pt idx="278">
                  <c:v>84.824410320491253</c:v>
                </c:pt>
                <c:pt idx="279">
                  <c:v>84.398270451737275</c:v>
                </c:pt>
                <c:pt idx="280">
                  <c:v>83.968431045934736</c:v>
                </c:pt>
                <c:pt idx="281">
                  <c:v>83.53476963441372</c:v>
                </c:pt>
                <c:pt idx="282">
                  <c:v>83.097159369381401</c:v>
                </c:pt>
                <c:pt idx="283">
                  <c:v>82.655469242784221</c:v>
                </c:pt>
                <c:pt idx="284">
                  <c:v>82.209564302421612</c:v>
                </c:pt>
                <c:pt idx="285">
                  <c:v>81.759305865570497</c:v>
                </c:pt>
                <c:pt idx="286">
                  <c:v>81.304551730437211</c:v>
                </c:pt>
                <c:pt idx="287">
                  <c:v>80.845156385783383</c:v>
                </c:pt>
                <c:pt idx="288">
                  <c:v>80.380971219133684</c:v>
                </c:pt>
                <c:pt idx="289">
                  <c:v>79.911844723985936</c:v>
                </c:pt>
                <c:pt idx="290">
                  <c:v>79.437622706491354</c:v>
                </c:pt>
                <c:pt idx="291">
                  <c:v>78.95814849208864</c:v>
                </c:pt>
                <c:pt idx="292">
                  <c:v>78.473263132604714</c:v>
                </c:pt>
                <c:pt idx="293">
                  <c:v>77.982805614338218</c:v>
                </c:pt>
                <c:pt idx="294">
                  <c:v>77.486613067673545</c:v>
                </c:pt>
                <c:pt idx="295">
                  <c:v>76.984520978762973</c:v>
                </c:pt>
                <c:pt idx="296">
                  <c:v>76.476363403828415</c:v>
                </c:pt>
                <c:pt idx="297">
                  <c:v>75.961973186631468</c:v>
                </c:pt>
                <c:pt idx="298">
                  <c:v>75.441182179653538</c:v>
                </c:pt>
                <c:pt idx="299">
                  <c:v>74.913821469522162</c:v>
                </c:pt>
                <c:pt idx="300">
                  <c:v>74.379721607200437</c:v>
                </c:pt>
                <c:pt idx="301">
                  <c:v>73.83871284343941</c:v>
                </c:pt>
                <c:pt idx="302">
                  <c:v>73.290625369974308</c:v>
                </c:pt>
                <c:pt idx="303">
                  <c:v>72.735289566907923</c:v>
                </c:pt>
                <c:pt idx="304">
                  <c:v>72.172536256697398</c:v>
                </c:pt>
                <c:pt idx="305">
                  <c:v>71.6021969651147</c:v>
                </c:pt>
                <c:pt idx="306">
                  <c:v>71.024104189513707</c:v>
                </c:pt>
                <c:pt idx="307">
                  <c:v>70.438091674677224</c:v>
                </c:pt>
                <c:pt idx="308">
                  <c:v>69.843994696462772</c:v>
                </c:pt>
                <c:pt idx="309">
                  <c:v>69.241650353406584</c:v>
                </c:pt>
                <c:pt idx="310">
                  <c:v>68.630897866364833</c:v>
                </c:pt>
                <c:pt idx="311">
                  <c:v>68.01157888620763</c:v>
                </c:pt>
                <c:pt idx="312">
                  <c:v>67.383537809482576</c:v>
                </c:pt>
                <c:pt idx="313">
                  <c:v>66.746622101890623</c:v>
                </c:pt>
                <c:pt idx="314">
                  <c:v>66.1006826293046</c:v>
                </c:pt>
                <c:pt idx="315">
                  <c:v>65.445573995973035</c:v>
                </c:pt>
                <c:pt idx="316">
                  <c:v>64.781154889427327</c:v>
                </c:pt>
                <c:pt idx="317">
                  <c:v>64.107288431507783</c:v>
                </c:pt>
                <c:pt idx="318">
                  <c:v>63.423842534799348</c:v>
                </c:pt>
                <c:pt idx="319">
                  <c:v>62.730690263635822</c:v>
                </c:pt>
                <c:pt idx="320">
                  <c:v>62.027710198718538</c:v>
                </c:pt>
                <c:pt idx="321">
                  <c:v>61.314786804244577</c:v>
                </c:pt>
                <c:pt idx="322">
                  <c:v>60.591810796321099</c:v>
                </c:pt>
                <c:pt idx="323">
                  <c:v>59.858679511298831</c:v>
                </c:pt>
                <c:pt idx="324">
                  <c:v>59.115297272530356</c:v>
                </c:pt>
                <c:pt idx="325">
                  <c:v>58.361575753921059</c:v>
                </c:pt>
                <c:pt idx="326">
                  <c:v>57.597434338521424</c:v>
                </c:pt>
                <c:pt idx="327">
                  <c:v>56.822800470284449</c:v>
                </c:pt>
                <c:pt idx="328">
                  <c:v>56.037609996999223</c:v>
                </c:pt>
                <c:pt idx="329">
                  <c:v>55.24180750231659</c:v>
                </c:pt>
                <c:pt idx="330">
                  <c:v>54.435346624686503</c:v>
                </c:pt>
                <c:pt idx="331">
                  <c:v>53.618190360961364</c:v>
                </c:pt>
                <c:pt idx="332">
                  <c:v>52.790311352360703</c:v>
                </c:pt>
                <c:pt idx="333">
                  <c:v>51.951692150461099</c:v>
                </c:pt>
                <c:pt idx="334">
                  <c:v>51.102325460861138</c:v>
                </c:pt>
                <c:pt idx="335">
                  <c:v>50.242214362191419</c:v>
                </c:pt>
                <c:pt idx="336">
                  <c:v>49.371372498175333</c:v>
                </c:pt>
                <c:pt idx="337">
                  <c:v>48.489824240515006</c:v>
                </c:pt>
                <c:pt idx="338">
                  <c:v>47.597604820493331</c:v>
                </c:pt>
                <c:pt idx="339">
                  <c:v>46.694760427295876</c:v>
                </c:pt>
                <c:pt idx="340">
                  <c:v>45.78134827123985</c:v>
                </c:pt>
                <c:pt idx="341">
                  <c:v>44.857436610286655</c:v>
                </c:pt>
                <c:pt idx="342">
                  <c:v>43.923104738457056</c:v>
                </c:pt>
                <c:pt idx="343">
                  <c:v>42.978442935017725</c:v>
                </c:pt>
                <c:pt idx="344">
                  <c:v>42.023552373616965</c:v>
                </c:pt>
                <c:pt idx="345">
                  <c:v>41.058544990859374</c:v>
                </c:pt>
                <c:pt idx="346">
                  <c:v>40.083543314162981</c:v>
                </c:pt>
                <c:pt idx="347">
                  <c:v>39.098680249100553</c:v>
                </c:pt>
                <c:pt idx="348">
                  <c:v>38.104098826823915</c:v>
                </c:pt>
                <c:pt idx="349">
                  <c:v>37.099951912557259</c:v>
                </c:pt>
                <c:pt idx="350">
                  <c:v>36.086401876548024</c:v>
                </c:pt>
                <c:pt idx="351">
                  <c:v>35.063620229273795</c:v>
                </c:pt>
                <c:pt idx="352">
                  <c:v>34.031787223085729</c:v>
                </c:pt>
                <c:pt idx="353">
                  <c:v>32.991091422868436</c:v>
                </c:pt>
                <c:pt idx="354">
                  <c:v>31.941729248640769</c:v>
                </c:pt>
                <c:pt idx="355">
                  <c:v>30.883904493371517</c:v>
                </c:pt>
                <c:pt idx="356">
                  <c:v>29.817827819577445</c:v>
                </c:pt>
                <c:pt idx="357">
                  <c:v>28.743716238531306</c:v>
                </c:pt>
                <c:pt idx="358">
                  <c:v>27.661792576127596</c:v>
                </c:pt>
                <c:pt idx="359">
                  <c:v>26.572284929618746</c:v>
                </c:pt>
                <c:pt idx="360">
                  <c:v>25.475426119527839</c:v>
                </c:pt>
                <c:pt idx="361">
                  <c:v>24.371453141115296</c:v>
                </c:pt>
                <c:pt idx="362">
                  <c:v>23.260606619739406</c:v>
                </c:pt>
                <c:pt idx="363">
                  <c:v>22.143130274390558</c:v>
                </c:pt>
                <c:pt idx="364">
                  <c:v>21.019270393520827</c:v>
                </c:pt>
                <c:pt idx="365">
                  <c:v>19.889275327103945</c:v>
                </c:pt>
                <c:pt idx="366">
                  <c:v>18.753394998568837</c:v>
                </c:pt>
                <c:pt idx="367">
                  <c:v>17.61188043994477</c:v>
                </c:pt>
                <c:pt idx="368">
                  <c:v>16.464983353159283</c:v>
                </c:pt>
                <c:pt idx="369">
                  <c:v>15.312955700009638</c:v>
                </c:pt>
                <c:pt idx="370">
                  <c:v>14.156049322840403</c:v>
                </c:pt>
                <c:pt idx="371">
                  <c:v>12.994515597462538</c:v>
                </c:pt>
                <c:pt idx="372">
                  <c:v>11.828605119292689</c:v>
                </c:pt>
                <c:pt idx="373">
                  <c:v>10.658567423132297</c:v>
                </c:pt>
                <c:pt idx="374">
                  <c:v>9.4846507364385388</c:v>
                </c:pt>
                <c:pt idx="375">
                  <c:v>8.30710176532844</c:v>
                </c:pt>
                <c:pt idx="376">
                  <c:v>7.1261655120057696</c:v>
                </c:pt>
                <c:pt idx="377">
                  <c:v>5.9420851217181792</c:v>
                </c:pt>
                <c:pt idx="378">
                  <c:v>4.7551017567875249</c:v>
                </c:pt>
                <c:pt idx="379">
                  <c:v>3.5654544947680336</c:v>
                </c:pt>
                <c:pt idx="380">
                  <c:v>2.3733802472506227</c:v>
                </c:pt>
                <c:pt idx="381">
                  <c:v>1.1791136954213641</c:v>
                </c:pt>
                <c:pt idx="382">
                  <c:v>-1.7112761935123899E-2</c:v>
                </c:pt>
                <c:pt idx="383">
                  <c:v>-1.2150690526699464</c:v>
                </c:pt>
                <c:pt idx="384">
                  <c:v>-2.4145274726854211</c:v>
                </c:pt>
                <c:pt idx="385">
                  <c:v>-3.6152627297523736</c:v>
                </c:pt>
                <c:pt idx="386">
                  <c:v>-4.8170519951038102</c:v>
                </c:pt>
                <c:pt idx="387">
                  <c:v>-6.0196749683225335</c:v>
                </c:pt>
                <c:pt idx="388">
                  <c:v>-7.2229139610867321</c:v>
                </c:pt>
                <c:pt idx="389">
                  <c:v>-8.4265540053387156</c:v>
                </c:pt>
                <c:pt idx="390">
                  <c:v>-9.630382991403593</c:v>
                </c:pt>
                <c:pt idx="391">
                  <c:v>-10.834191841454356</c:v>
                </c:pt>
                <c:pt idx="392">
                  <c:v>-12.037774723577854</c:v>
                </c:pt>
                <c:pt idx="393">
                  <c:v>-13.24092931149363</c:v>
                </c:pt>
                <c:pt idx="394">
                  <c:v>-14.443457094735805</c:v>
                </c:pt>
                <c:pt idx="395">
                  <c:v>-15.645163743855647</c:v>
                </c:pt>
                <c:pt idx="396">
                  <c:v>-16.845859534905003</c:v>
                </c:pt>
                <c:pt idx="397">
                  <c:v>-18.045359837177813</c:v>
                </c:pt>
                <c:pt idx="398">
                  <c:v>-19.243485667888848</c:v>
                </c:pt>
                <c:pt idx="399">
                  <c:v>-20.440064317191656</c:v>
                </c:pt>
                <c:pt idx="400">
                  <c:v>-21.634930046671883</c:v>
                </c:pt>
                <c:pt idx="401">
                  <c:v>-22.827924864245915</c:v>
                </c:pt>
                <c:pt idx="402">
                  <c:v>-24.018899378212154</c:v>
                </c:pt>
                <c:pt idx="403">
                  <c:v>-25.207713733105777</c:v>
                </c:pt>
                <c:pt idx="404">
                  <c:v>-26.39423862997478</c:v>
                </c:pt>
                <c:pt idx="405">
                  <c:v>-27.578356433763645</c:v>
                </c:pt>
                <c:pt idx="406">
                  <c:v>-28.759962370672127</c:v>
                </c:pt>
                <c:pt idx="407">
                  <c:v>-29.938965818643709</c:v>
                </c:pt>
                <c:pt idx="408">
                  <c:v>-31.115291694594731</c:v>
                </c:pt>
                <c:pt idx="409">
                  <c:v>-32.288881942583942</c:v>
                </c:pt>
                <c:pt idx="410">
                  <c:v>-33.459697127905969</c:v>
                </c:pt>
                <c:pt idx="411">
                  <c:v>-34.627718143061855</c:v>
                </c:pt>
                <c:pt idx="412">
                  <c:v>-35.792948032752463</c:v>
                </c:pt>
                <c:pt idx="413">
                  <c:v>-36.955413946467132</c:v>
                </c:pt>
                <c:pt idx="414">
                  <c:v>-38.115169228943785</c:v>
                </c:pt>
                <c:pt idx="415">
                  <c:v>-39.272295660764598</c:v>
                </c:pt>
                <c:pt idx="416">
                  <c:v>-40.426905863668708</c:v>
                </c:pt>
                <c:pt idx="417">
                  <c:v>-41.57914588786241</c:v>
                </c:pt>
                <c:pt idx="418">
                  <c:v>-42.729198001695238</c:v>
                </c:pt>
                <c:pt idx="419">
                  <c:v>-43.877283707642022</c:v>
                </c:pt>
                <c:pt idx="420">
                  <c:v>-45.023667012623818</c:v>
                </c:pt>
                <c:pt idx="421">
                  <c:v>-46.168657985387455</c:v>
                </c:pt>
                <c:pt idx="422">
                  <c:v>-47.312616639050702</c:v>
                </c:pt>
                <c:pt idx="423">
                  <c:v>-48.455957183081935</c:v>
                </c:pt>
                <c:pt idx="424">
                  <c:v>-49.59915269607734</c:v>
                </c:pt>
                <c:pt idx="425">
                  <c:v>-50.742740278830908</c:v>
                </c:pt>
                <c:pt idx="426">
                  <c:v>-51.88732675656064</c:v>
                </c:pt>
                <c:pt idx="427">
                  <c:v>-53.033595009957963</c:v>
                </c:pt>
                <c:pt idx="428">
                  <c:v>-54.182311027164346</c:v>
                </c:pt>
                <c:pt idx="429">
                  <c:v>-55.334331783191658</c:v>
                </c:pt>
                <c:pt idx="430">
                  <c:v>-56.490614069919246</c:v>
                </c:pt>
                <c:pt idx="431">
                  <c:v>-57.652224419061724</c:v>
                </c:pt>
                <c:pt idx="432">
                  <c:v>-58.820350282785398</c:v>
                </c:pt>
                <c:pt idx="433">
                  <c:v>-59.996312662377917</c:v>
                </c:pt>
                <c:pt idx="434">
                  <c:v>-61.181580405156282</c:v>
                </c:pt>
                <c:pt idx="435">
                  <c:v>-62.377786424041204</c:v>
                </c:pt>
                <c:pt idx="436">
                  <c:v>-63.586746133560339</c:v>
                </c:pt>
                <c:pt idx="437">
                  <c:v>-64.810478440908099</c:v>
                </c:pt>
                <c:pt idx="438">
                  <c:v>-66.051229681505077</c:v>
                </c:pt>
                <c:pt idx="439">
                  <c:v>-67.311500945321569</c:v>
                </c:pt>
                <c:pt idx="440">
                  <c:v>-68.594079302771078</c:v>
                </c:pt>
                <c:pt idx="441">
                  <c:v>-69.902073506073776</c:v>
                </c:pt>
                <c:pt idx="442">
                  <c:v>-71.238954811230968</c:v>
                </c:pt>
                <c:pt idx="443">
                  <c:v>-72.608603632671759</c:v>
                </c:pt>
                <c:pt idx="444">
                  <c:v>-74.015362799506704</c:v>
                </c:pt>
                <c:pt idx="445">
                  <c:v>-75.464098216501242</c:v>
                </c:pt>
                <c:pt idx="446">
                  <c:v>-76.960267724063115</c:v>
                </c:pt>
                <c:pt idx="447">
                  <c:v>-78.509998867964597</c:v>
                </c:pt>
                <c:pt idx="448">
                  <c:v>-80.120176082387218</c:v>
                </c:pt>
                <c:pt idx="449">
                  <c:v>-81.798537385141998</c:v>
                </c:pt>
                <c:pt idx="450">
                  <c:v>-83.553779971197343</c:v>
                </c:pt>
                <c:pt idx="451">
                  <c:v>-85.395672907852074</c:v>
                </c:pt>
                <c:pt idx="452">
                  <c:v>-87.335173249045766</c:v>
                </c:pt>
                <c:pt idx="453">
                  <c:v>-89.384538971179467</c:v>
                </c:pt>
                <c:pt idx="454">
                  <c:v>-91.55742774865449</c:v>
                </c:pt>
                <c:pt idx="455">
                  <c:v>-93.868964174800112</c:v>
                </c:pt>
                <c:pt idx="456">
                  <c:v>-96.335748948690039</c:v>
                </c:pt>
                <c:pt idx="457">
                  <c:v>-98.975771189172917</c:v>
                </c:pt>
                <c:pt idx="458">
                  <c:v>-101.8081691566296</c:v>
                </c:pt>
                <c:pt idx="459">
                  <c:v>-104.85276600002058</c:v>
                </c:pt>
                <c:pt idx="460">
                  <c:v>-108.12928854881692</c:v>
                </c:pt>
                <c:pt idx="461">
                  <c:v>-111.65616528855131</c:v>
                </c:pt>
                <c:pt idx="462">
                  <c:v>-115.44880694584684</c:v>
                </c:pt>
                <c:pt idx="463">
                  <c:v>-119.51731889717031</c:v>
                </c:pt>
                <c:pt idx="464">
                  <c:v>-123.8637024405691</c:v>
                </c:pt>
                <c:pt idx="465">
                  <c:v>-128.47878862137128</c:v>
                </c:pt>
                <c:pt idx="466">
                  <c:v>-133.33940119721075</c:v>
                </c:pt>
                <c:pt idx="467">
                  <c:v>-138.40649362170703</c:v>
                </c:pt>
                <c:pt idx="468">
                  <c:v>-143.62510849635163</c:v>
                </c:pt>
                <c:pt idx="469">
                  <c:v>-148.92680344046715</c:v>
                </c:pt>
                <c:pt idx="470">
                  <c:v>-154.23460706894866</c:v>
                </c:pt>
                <c:pt idx="471">
                  <c:v>-159.46976596949466</c:v>
                </c:pt>
                <c:pt idx="472">
                  <c:v>-164.55888360522323</c:v>
                </c:pt>
                <c:pt idx="473">
                  <c:v>-169.43989907087268</c:v>
                </c:pt>
                <c:pt idx="474">
                  <c:v>-174.06579788680892</c:v>
                </c:pt>
                <c:pt idx="475">
                  <c:v>-178.40573210277716</c:v>
                </c:pt>
                <c:pt idx="476">
                  <c:v>-182.44395174687884</c:v>
                </c:pt>
                <c:pt idx="477">
                  <c:v>-186.177342159977</c:v>
                </c:pt>
                <c:pt idx="478">
                  <c:v>-189.61239181517527</c:v>
                </c:pt>
                <c:pt idx="479">
                  <c:v>-192.76221716818142</c:v>
                </c:pt>
                <c:pt idx="480">
                  <c:v>-195.64400708416213</c:v>
                </c:pt>
                <c:pt idx="481">
                  <c:v>-198.27702559736065</c:v>
                </c:pt>
                <c:pt idx="482">
                  <c:v>-200.68116609804804</c:v>
                </c:pt>
                <c:pt idx="483">
                  <c:v>-202.87597664509599</c:v>
                </c:pt>
                <c:pt idx="484">
                  <c:v>-204.88005268803397</c:v>
                </c:pt>
                <c:pt idx="485">
                  <c:v>-206.710697917841</c:v>
                </c:pt>
                <c:pt idx="486">
                  <c:v>-208.38377040578166</c:v>
                </c:pt>
                <c:pt idx="487">
                  <c:v>-209.91365036661279</c:v>
                </c:pt>
                <c:pt idx="488">
                  <c:v>-211.31328332214014</c:v>
                </c:pt>
                <c:pt idx="489">
                  <c:v>-212.59426654313668</c:v>
                </c:pt>
                <c:pt idx="490">
                  <c:v>-213.76695727974152</c:v>
                </c:pt>
                <c:pt idx="491">
                  <c:v>-214.84058893511059</c:v>
                </c:pt>
                <c:pt idx="492">
                  <c:v>-215.82338664212693</c:v>
                </c:pt>
                <c:pt idx="493">
                  <c:v>-216.72267727800954</c:v>
                </c:pt>
                <c:pt idx="494">
                  <c:v>-217.54499129622582</c:v>
                </c:pt>
                <c:pt idx="495">
                  <c:v>-218.29615524914487</c:v>
                </c:pt>
                <c:pt idx="496">
                  <c:v>-218.9813747945125</c:v>
                </c:pt>
                <c:pt idx="497">
                  <c:v>-219.60530851823148</c:v>
                </c:pt>
                <c:pt idx="498">
                  <c:v>-220.1721331988806</c:v>
                </c:pt>
                <c:pt idx="499">
                  <c:v>-220.68560127612122</c:v>
                </c:pt>
                <c:pt idx="500">
                  <c:v>-221.01626865124203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41-4D19-9DBC-690DDB1D00CA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92.07151009811605</c:v>
                </c:pt>
                <c:pt idx="1">
                  <c:v>92.058344106421075</c:v>
                </c:pt>
                <c:pt idx="2">
                  <c:v>92.046214516068289</c:v>
                </c:pt>
                <c:pt idx="3">
                  <c:v>92.035115261040559</c:v>
                </c:pt>
                <c:pt idx="4">
                  <c:v>92.025040789898824</c:v>
                </c:pt>
                <c:pt idx="5">
                  <c:v>92.0159860631789</c:v>
                </c:pt>
                <c:pt idx="6">
                  <c:v>92.007946551025569</c:v>
                </c:pt>
                <c:pt idx="7">
                  <c:v>92.000918231063878</c:v>
                </c:pt>
                <c:pt idx="8">
                  <c:v>91.994897586506966</c:v>
                </c:pt>
                <c:pt idx="9">
                  <c:v>91.989881604500212</c:v>
                </c:pt>
                <c:pt idx="10">
                  <c:v>91.985867774701347</c:v>
                </c:pt>
                <c:pt idx="11">
                  <c:v>91.982854088096445</c:v>
                </c:pt>
                <c:pt idx="12">
                  <c:v>91.980839036051037</c:v>
                </c:pt>
                <c:pt idx="13">
                  <c:v>91.979821609597067</c:v>
                </c:pt>
                <c:pt idx="14">
                  <c:v>91.979801298954413</c:v>
                </c:pt>
                <c:pt idx="15">
                  <c:v>91.980778093287924</c:v>
                </c:pt>
                <c:pt idx="16">
                  <c:v>91.982752480699091</c:v>
                </c:pt>
                <c:pt idx="17">
                  <c:v>91.985725448453081</c:v>
                </c:pt>
                <c:pt idx="18">
                  <c:v>91.989698483440293</c:v>
                </c:pt>
                <c:pt idx="19">
                  <c:v>91.994673572873353</c:v>
                </c:pt>
                <c:pt idx="20">
                  <c:v>92.00065320521918</c:v>
                </c:pt>
                <c:pt idx="21">
                  <c:v>92.007640371366321</c:v>
                </c:pt>
                <c:pt idx="22">
                  <c:v>92.015638566027917</c:v>
                </c:pt>
                <c:pt idx="23">
                  <c:v>92.024651789380385</c:v>
                </c:pt>
                <c:pt idx="24">
                  <c:v>92.034684548938202</c:v>
                </c:pt>
                <c:pt idx="25">
                  <c:v>92.045741861664965</c:v>
                </c:pt>
                <c:pt idx="26">
                  <c:v>92.057829256321199</c:v>
                </c:pt>
                <c:pt idx="27">
                  <c:v>92.070952776049239</c:v>
                </c:pt>
                <c:pt idx="28">
                  <c:v>92.085118981195535</c:v>
                </c:pt>
                <c:pt idx="29">
                  <c:v>92.100334952370844</c:v>
                </c:pt>
                <c:pt idx="30">
                  <c:v>92.11660829374874</c:v>
                </c:pt>
                <c:pt idx="31">
                  <c:v>92.133947136602842</c:v>
                </c:pt>
                <c:pt idx="32">
                  <c:v>92.152360143083314</c:v>
                </c:pt>
                <c:pt idx="33">
                  <c:v>92.171856510233013</c:v>
                </c:pt>
                <c:pt idx="34">
                  <c:v>92.19244597424364</c:v>
                </c:pt>
                <c:pt idx="35">
                  <c:v>92.214138814952761</c:v>
                </c:pt>
                <c:pt idx="36">
                  <c:v>92.236945860581358</c:v>
                </c:pt>
                <c:pt idx="37">
                  <c:v>92.260878492713232</c:v>
                </c:pt>
                <c:pt idx="38">
                  <c:v>92.28594865151581</c:v>
                </c:pt>
                <c:pt idx="39">
                  <c:v>92.31216884120316</c:v>
                </c:pt>
                <c:pt idx="40">
                  <c:v>92.339552135741371</c:v>
                </c:pt>
                <c:pt idx="41">
                  <c:v>92.368112184796459</c:v>
                </c:pt>
                <c:pt idx="42">
                  <c:v>92.397863219924744</c:v>
                </c:pt>
                <c:pt idx="43">
                  <c:v>92.42882006100632</c:v>
                </c:pt>
                <c:pt idx="44">
                  <c:v>92.460998122920643</c:v>
                </c:pt>
                <c:pt idx="45">
                  <c:v>92.494413422465129</c:v>
                </c:pt>
                <c:pt idx="46">
                  <c:v>92.529082585515511</c:v>
                </c:pt>
                <c:pt idx="47">
                  <c:v>92.565022854427923</c:v>
                </c:pt>
                <c:pt idx="48">
                  <c:v>92.602252095682275</c:v>
                </c:pt>
                <c:pt idx="49">
                  <c:v>92.64078880776556</c:v>
                </c:pt>
                <c:pt idx="50">
                  <c:v>92.6806521292947</c:v>
                </c:pt>
                <c:pt idx="51">
                  <c:v>92.721861847377085</c:v>
                </c:pt>
                <c:pt idx="52">
                  <c:v>92.764438406207873</c:v>
                </c:pt>
                <c:pt idx="53">
                  <c:v>92.808402915901823</c:v>
                </c:pt>
                <c:pt idx="54">
                  <c:v>92.853777161557872</c:v>
                </c:pt>
                <c:pt idx="55">
                  <c:v>92.900583612553916</c:v>
                </c:pt>
                <c:pt idx="56">
                  <c:v>92.948845432069106</c:v>
                </c:pt>
                <c:pt idx="57">
                  <c:v>92.998586486830447</c:v>
                </c:pt>
                <c:pt idx="58">
                  <c:v>93.04983135708008</c:v>
                </c:pt>
                <c:pt idx="59">
                  <c:v>93.102605346759333</c:v>
                </c:pt>
                <c:pt idx="60">
                  <c:v>93.156934493904743</c:v>
                </c:pt>
                <c:pt idx="61">
                  <c:v>93.212845581251244</c:v>
                </c:pt>
                <c:pt idx="62">
                  <c:v>93.270366147036498</c:v>
                </c:pt>
                <c:pt idx="63">
                  <c:v>93.329524496000047</c:v>
                </c:pt>
                <c:pt idx="64">
                  <c:v>93.390349710570788</c:v>
                </c:pt>
                <c:pt idx="65">
                  <c:v>93.452871662234045</c:v>
                </c:pt>
                <c:pt idx="66">
                  <c:v>93.517121023070317</c:v>
                </c:pt>
                <c:pt idx="67">
                  <c:v>93.583129277456237</c:v>
                </c:pt>
                <c:pt idx="68">
                  <c:v>93.650928733916743</c:v>
                </c:pt>
                <c:pt idx="69">
                  <c:v>93.720552537117896</c:v>
                </c:pt>
                <c:pt idx="70">
                  <c:v>93.792034679986983</c:v>
                </c:pt>
                <c:pt idx="71">
                  <c:v>93.865410015947063</c:v>
                </c:pt>
                <c:pt idx="72">
                  <c:v>93.9407142712504</c:v>
                </c:pt>
                <c:pt idx="73">
                  <c:v>94.017984057395068</c:v>
                </c:pt>
                <c:pt idx="74">
                  <c:v>94.097256883606576</c:v>
                </c:pt>
                <c:pt idx="75">
                  <c:v>94.178571169366137</c:v>
                </c:pt>
                <c:pt idx="76">
                  <c:v>94.261966256963547</c:v>
                </c:pt>
                <c:pt idx="77">
                  <c:v>94.347482424053823</c:v>
                </c:pt>
                <c:pt idx="78">
                  <c:v>94.435160896191178</c:v>
                </c:pt>
                <c:pt idx="79">
                  <c:v>94.525043859315986</c:v>
                </c:pt>
                <c:pt idx="80">
                  <c:v>94.617174472164635</c:v>
                </c:pt>
                <c:pt idx="81">
                  <c:v>94.711596878572664</c:v>
                </c:pt>
                <c:pt idx="82">
                  <c:v>94.808356219637034</c:v>
                </c:pt>
                <c:pt idx="83">
                  <c:v>94.907498645702859</c:v>
                </c:pt>
                <c:pt idx="84">
                  <c:v>95.009071328135448</c:v>
                </c:pt>
                <c:pt idx="85">
                  <c:v>95.113122470836757</c:v>
                </c:pt>
                <c:pt idx="86">
                  <c:v>95.21970132146177</c:v>
                </c:pt>
                <c:pt idx="87">
                  <c:v>95.328858182287021</c:v>
                </c:pt>
                <c:pt idx="88">
                  <c:v>95.440644420681139</c:v>
                </c:pt>
                <c:pt idx="89">
                  <c:v>95.555112479121433</c:v>
                </c:pt>
                <c:pt idx="90">
                  <c:v>95.672315884699159</c:v>
                </c:pt>
                <c:pt idx="91">
                  <c:v>95.792309258050494</c:v>
                </c:pt>
                <c:pt idx="92">
                  <c:v>95.915148321646129</c:v>
                </c:pt>
                <c:pt idx="93">
                  <c:v>96.040889907368651</c:v>
                </c:pt>
                <c:pt idx="94">
                  <c:v>96.169591963301059</c:v>
                </c:pt>
                <c:pt idx="95">
                  <c:v>96.301313559645862</c:v>
                </c:pt>
                <c:pt idx="96">
                  <c:v>96.436114893687503</c:v>
                </c:pt>
                <c:pt idx="97">
                  <c:v>96.574057293706986</c:v>
                </c:pt>
                <c:pt idx="98">
                  <c:v>96.715203221750613</c:v>
                </c:pt>
                <c:pt idx="99">
                  <c:v>96.859616275148369</c:v>
                </c:pt>
                <c:pt idx="100">
                  <c:v>97.007361186672938</c:v>
                </c:pt>
                <c:pt idx="101">
                  <c:v>97.158503823221338</c:v>
                </c:pt>
                <c:pt idx="102">
                  <c:v>97.313111182896264</c:v>
                </c:pt>
                <c:pt idx="103">
                  <c:v>97.471251390354908</c:v>
                </c:pt>
                <c:pt idx="104">
                  <c:v>97.632993690288828</c:v>
                </c:pt>
                <c:pt idx="105">
                  <c:v>97.798408438886256</c:v>
                </c:pt>
                <c:pt idx="106">
                  <c:v>97.967567093124245</c:v>
                </c:pt>
                <c:pt idx="107">
                  <c:v>98.140542197727413</c:v>
                </c:pt>
                <c:pt idx="108">
                  <c:v>98.31740736962243</c:v>
                </c:pt>
                <c:pt idx="109">
                  <c:v>98.498237279708022</c:v>
                </c:pt>
                <c:pt idx="110">
                  <c:v>98.683107631752904</c:v>
                </c:pt>
                <c:pt idx="111">
                  <c:v>98.872095138222534</c:v>
                </c:pt>
                <c:pt idx="112">
                  <c:v>99.065277492827732</c:v>
                </c:pt>
                <c:pt idx="113">
                  <c:v>99.262733339580365</c:v>
                </c:pt>
                <c:pt idx="114">
                  <c:v>99.464542238127535</c:v>
                </c:pt>
                <c:pt idx="115">
                  <c:v>99.67078462513237</c:v>
                </c:pt>
                <c:pt idx="116">
                  <c:v>99.881541771453527</c:v>
                </c:pt>
                <c:pt idx="117">
                  <c:v>100.09689573487292</c:v>
                </c:pt>
                <c:pt idx="118">
                  <c:v>100.31692930810632</c:v>
                </c:pt>
                <c:pt idx="119">
                  <c:v>100.54172596182725</c:v>
                </c:pt>
                <c:pt idx="120">
                  <c:v>100.77136978242416</c:v>
                </c:pt>
                <c:pt idx="121">
                  <c:v>101.00594540420308</c:v>
                </c:pt>
                <c:pt idx="122">
                  <c:v>101.24553793574098</c:v>
                </c:pt>
                <c:pt idx="123">
                  <c:v>101.49023288009168</c:v>
                </c:pt>
                <c:pt idx="124">
                  <c:v>101.740116048533</c:v>
                </c:pt>
                <c:pt idx="125">
                  <c:v>101.9952734675515</c:v>
                </c:pt>
                <c:pt idx="126">
                  <c:v>102.25579127874421</c:v>
                </c:pt>
                <c:pt idx="127">
                  <c:v>102.5217556313283</c:v>
                </c:pt>
                <c:pt idx="128">
                  <c:v>102.79325256694028</c:v>
                </c:pt>
                <c:pt idx="129">
                  <c:v>103.07036789641329</c:v>
                </c:pt>
                <c:pt idx="130">
                  <c:v>103.35318706822498</c:v>
                </c:pt>
                <c:pt idx="131">
                  <c:v>103.64179502831183</c:v>
                </c:pt>
                <c:pt idx="132">
                  <c:v>103.93627607096148</c:v>
                </c:pt>
                <c:pt idx="133">
                  <c:v>104.23671368049904</c:v>
                </c:pt>
                <c:pt idx="134">
                  <c:v>104.54319036350785</c:v>
                </c:pt>
                <c:pt idx="135">
                  <c:v>104.85578747133724</c:v>
                </c:pt>
                <c:pt idx="136">
                  <c:v>105.17458501267748</c:v>
                </c:pt>
                <c:pt idx="137">
                  <c:v>105.49966145600925</c:v>
                </c:pt>
                <c:pt idx="138">
                  <c:v>105.83109352176608</c:v>
                </c:pt>
                <c:pt idx="139">
                  <c:v>106.16895596408652</c:v>
                </c:pt>
                <c:pt idx="140">
                  <c:v>106.51332134207567</c:v>
                </c:pt>
                <c:pt idx="141">
                  <c:v>106.86425978054352</c:v>
                </c:pt>
                <c:pt idx="142">
                  <c:v>107.22183872024218</c:v>
                </c:pt>
                <c:pt idx="143">
                  <c:v>107.58612265768377</c:v>
                </c:pt>
                <c:pt idx="144">
                  <c:v>107.95717287468982</c:v>
                </c:pt>
                <c:pt idx="145">
                  <c:v>108.33504715789242</c:v>
                </c:pt>
                <c:pt idx="146">
                  <c:v>108.71979950849394</c:v>
                </c:pt>
                <c:pt idx="147">
                  <c:v>109.11147984267157</c:v>
                </c:pt>
                <c:pt idx="148">
                  <c:v>109.5101336831156</c:v>
                </c:pt>
                <c:pt idx="149">
                  <c:v>109.91580184228295</c:v>
                </c:pt>
                <c:pt idx="150">
                  <c:v>110.32852009806092</c:v>
                </c:pt>
                <c:pt idx="151">
                  <c:v>110.74831886264768</c:v>
                </c:pt>
                <c:pt idx="152">
                  <c:v>111.17522284557479</c:v>
                </c:pt>
                <c:pt idx="153">
                  <c:v>111.60925071192294</c:v>
                </c:pt>
                <c:pt idx="154">
                  <c:v>112.05041473691237</c:v>
                </c:pt>
                <c:pt idx="155">
                  <c:v>112.4987204581807</c:v>
                </c:pt>
                <c:pt idx="156">
                  <c:v>112.95416632719733</c:v>
                </c:pt>
                <c:pt idx="157">
                  <c:v>113.41674336140164</c:v>
                </c:pt>
                <c:pt idx="158">
                  <c:v>113.88643479878918</c:v>
                </c:pt>
                <c:pt idx="159">
                  <c:v>114.36321575680287</c:v>
                </c:pt>
                <c:pt idx="160">
                  <c:v>114.84705289752368</c:v>
                </c:pt>
                <c:pt idx="161">
                  <c:v>115.33790410127492</c:v>
                </c:pt>
                <c:pt idx="162">
                  <c:v>115.8357181508798</c:v>
                </c:pt>
                <c:pt idx="163">
                  <c:v>116.34043442891877</c:v>
                </c:pt>
                <c:pt idx="164">
                  <c:v>116.85198263042571</c:v>
                </c:pt>
                <c:pt idx="165">
                  <c:v>117.37028249355555</c:v>
                </c:pt>
                <c:pt idx="166">
                  <c:v>117.8952435508064</c:v>
                </c:pt>
                <c:pt idx="167">
                  <c:v>118.42676490343746</c:v>
                </c:pt>
                <c:pt idx="168">
                  <c:v>118.96473502173762</c:v>
                </c:pt>
                <c:pt idx="169">
                  <c:v>119.50903157380203</c:v>
                </c:pt>
                <c:pt idx="170">
                  <c:v>120.05952128544295</c:v>
                </c:pt>
                <c:pt idx="171">
                  <c:v>120.61605983380082</c:v>
                </c:pt>
                <c:pt idx="172">
                  <c:v>121.17849177713518</c:v>
                </c:pt>
                <c:pt idx="173">
                  <c:v>121.74665052314573</c:v>
                </c:pt>
                <c:pt idx="174">
                  <c:v>122.32035833802448</c:v>
                </c:pt>
                <c:pt idx="175">
                  <c:v>122.8994263982418</c:v>
                </c:pt>
                <c:pt idx="176">
                  <c:v>123.48365488684993</c:v>
                </c:pt>
                <c:pt idx="177">
                  <c:v>124.07283313581775</c:v>
                </c:pt>
                <c:pt idx="178">
                  <c:v>124.66673981563218</c:v>
                </c:pt>
                <c:pt idx="179">
                  <c:v>125.26514317306246</c:v>
                </c:pt>
                <c:pt idx="180">
                  <c:v>125.86780131764182</c:v>
                </c:pt>
                <c:pt idx="181">
                  <c:v>126.4744625570377</c:v>
                </c:pt>
                <c:pt idx="182">
                  <c:v>127.08486578108491</c:v>
                </c:pt>
                <c:pt idx="183">
                  <c:v>127.69874089383661</c:v>
                </c:pt>
                <c:pt idx="184">
                  <c:v>128.31580929256313</c:v>
                </c:pt>
                <c:pt idx="185">
                  <c:v>128.93578439218908</c:v>
                </c:pt>
                <c:pt idx="186">
                  <c:v>129.55837219323038</c:v>
                </c:pt>
                <c:pt idx="187">
                  <c:v>130.18327189085318</c:v>
                </c:pt>
                <c:pt idx="188">
                  <c:v>130.81017652227152</c:v>
                </c:pt>
                <c:pt idx="189">
                  <c:v>131.43877364929392</c:v>
                </c:pt>
                <c:pt idx="190">
                  <c:v>132.06874607245794</c:v>
                </c:pt>
                <c:pt idx="191">
                  <c:v>132.6997725728537</c:v>
                </c:pt>
                <c:pt idx="192">
                  <c:v>133.33152867743098</c:v>
                </c:pt>
                <c:pt idx="193">
                  <c:v>133.96368744332318</c:v>
                </c:pt>
                <c:pt idx="194">
                  <c:v>134.59592025650946</c:v>
                </c:pt>
                <c:pt idx="195">
                  <c:v>135.22789763997349</c:v>
                </c:pt>
                <c:pt idx="196">
                  <c:v>135.8592900664076</c:v>
                </c:pt>
                <c:pt idx="197">
                  <c:v>136.48976877045737</c:v>
                </c:pt>
                <c:pt idx="198">
                  <c:v>137.11900655551466</c:v>
                </c:pt>
                <c:pt idx="199">
                  <c:v>137.74667859011134</c:v>
                </c:pt>
                <c:pt idx="200">
                  <c:v>138.37246318910744</c:v>
                </c:pt>
                <c:pt idx="201">
                  <c:v>138.9960425750109</c:v>
                </c:pt>
                <c:pt idx="202">
                  <c:v>139.61710361501179</c:v>
                </c:pt>
                <c:pt idx="203">
                  <c:v>140.23533852956896</c:v>
                </c:pt>
                <c:pt idx="204">
                  <c:v>140.85044556869633</c:v>
                </c:pt>
                <c:pt idx="205">
                  <c:v>141.46212965245184</c:v>
                </c:pt>
                <c:pt idx="206">
                  <c:v>142.07010297249747</c:v>
                </c:pt>
                <c:pt idx="207">
                  <c:v>142.67408555201303</c:v>
                </c:pt>
                <c:pt idx="208">
                  <c:v>143.27380576165331</c:v>
                </c:pt>
                <c:pt idx="209">
                  <c:v>143.8690007896769</c:v>
                </c:pt>
                <c:pt idx="210">
                  <c:v>144.45941706481187</c:v>
                </c:pt>
                <c:pt idx="211">
                  <c:v>145.04481063084953</c:v>
                </c:pt>
                <c:pt idx="212">
                  <c:v>145.62494747239299</c:v>
                </c:pt>
                <c:pt idx="213">
                  <c:v>146.19960379159579</c:v>
                </c:pt>
                <c:pt idx="214">
                  <c:v>146.7685662361292</c:v>
                </c:pt>
                <c:pt idx="215">
                  <c:v>147.33163207897832</c:v>
                </c:pt>
                <c:pt idx="216">
                  <c:v>147.88860935103105</c:v>
                </c:pt>
                <c:pt idx="217">
                  <c:v>148.43931692773069</c:v>
                </c:pt>
                <c:pt idx="218">
                  <c:v>148.9835845713543</c:v>
                </c:pt>
                <c:pt idx="219">
                  <c:v>149.52125293073732</c:v>
                </c:pt>
                <c:pt idx="220">
                  <c:v>150.05217350048059</c:v>
                </c:pt>
                <c:pt idx="221">
                  <c:v>150.57620854186143</c:v>
                </c:pt>
                <c:pt idx="222">
                  <c:v>151.09323096782765</c:v>
                </c:pt>
                <c:pt idx="223">
                  <c:v>151.60312419456156</c:v>
                </c:pt>
                <c:pt idx="224">
                  <c:v>152.10578196219609</c:v>
                </c:pt>
                <c:pt idx="225">
                  <c:v>152.60110812731313</c:v>
                </c:pt>
                <c:pt idx="226">
                  <c:v>153.08901642987863</c:v>
                </c:pt>
                <c:pt idx="227">
                  <c:v>153.56943023727263</c:v>
                </c:pt>
                <c:pt idx="228">
                  <c:v>154.04228226803951</c:v>
                </c:pt>
                <c:pt idx="229">
                  <c:v>154.5075142979434</c:v>
                </c:pt>
                <c:pt idx="230">
                  <c:v>154.96507685083253</c:v>
                </c:pt>
                <c:pt idx="231">
                  <c:v>155.41492887674846</c:v>
                </c:pt>
                <c:pt idx="232">
                  <c:v>155.85703741960199</c:v>
                </c:pt>
                <c:pt idx="233">
                  <c:v>156.29137727663561</c:v>
                </c:pt>
                <c:pt idx="234">
                  <c:v>156.71793065176826</c:v>
                </c:pt>
                <c:pt idx="235">
                  <c:v>157.13668680478995</c:v>
                </c:pt>
                <c:pt idx="236">
                  <c:v>157.54764169824554</c:v>
                </c:pt>
                <c:pt idx="237">
                  <c:v>157.95079764370408</c:v>
                </c:pt>
                <c:pt idx="238">
                  <c:v>158.34616294897734</c:v>
                </c:pt>
                <c:pt idx="239">
                  <c:v>158.73375156771732</c:v>
                </c:pt>
                <c:pt idx="240">
                  <c:v>159.11358275267656</c:v>
                </c:pt>
                <c:pt idx="241">
                  <c:v>159.48568071379509</c:v>
                </c:pt>
                <c:pt idx="242">
                  <c:v>159.8500742821395</c:v>
                </c:pt>
                <c:pt idx="243">
                  <c:v>160.20679658060027</c:v>
                </c:pt>
                <c:pt idx="244">
                  <c:v>160.55588470213297</c:v>
                </c:pt>
                <c:pt idx="245">
                  <c:v>160.89737939621835</c:v>
                </c:pt>
                <c:pt idx="246">
                  <c:v>161.23132476410655</c:v>
                </c:pt>
                <c:pt idx="247">
                  <c:v>161.55776796331375</c:v>
                </c:pt>
                <c:pt idx="248">
                  <c:v>161.87675892174508</c:v>
                </c:pt>
                <c:pt idx="249">
                  <c:v>162.18835006173381</c:v>
                </c:pt>
                <c:pt idx="250">
                  <c:v>162.49259603420282</c:v>
                </c:pt>
                <c:pt idx="251">
                  <c:v>162.78955346308817</c:v>
                </c:pt>
                <c:pt idx="252">
                  <c:v>163.07928070009379</c:v>
                </c:pt>
                <c:pt idx="253">
                  <c:v>163.36183758978859</c:v>
                </c:pt>
                <c:pt idx="254">
                  <c:v>163.63728524500604</c:v>
                </c:pt>
                <c:pt idx="255">
                  <c:v>163.90568583245482</c:v>
                </c:pt>
                <c:pt idx="256">
                  <c:v>164.16710236841135</c:v>
                </c:pt>
                <c:pt idx="257">
                  <c:v>164.42159852432596</c:v>
                </c:pt>
                <c:pt idx="258">
                  <c:v>164.66923844214466</c:v>
                </c:pt>
                <c:pt idx="259">
                  <c:v>164.91008655912088</c:v>
                </c:pt>
                <c:pt idx="260">
                  <c:v>165.14420744186762</c:v>
                </c:pt>
                <c:pt idx="261">
                  <c:v>165.37166562938432</c:v>
                </c:pt>
                <c:pt idx="262">
                  <c:v>165.59252548477644</c:v>
                </c:pt>
                <c:pt idx="263">
                  <c:v>165.8068510553727</c:v>
                </c:pt>
                <c:pt idx="264">
                  <c:v>166.01470594093905</c:v>
                </c:pt>
                <c:pt idx="265">
                  <c:v>166.21615316967848</c:v>
                </c:pt>
                <c:pt idx="266">
                  <c:v>166.41125508170651</c:v>
                </c:pt>
                <c:pt idx="267">
                  <c:v>166.60007321968757</c:v>
                </c:pt>
                <c:pt idx="268">
                  <c:v>166.78266822631841</c:v>
                </c:pt>
                <c:pt idx="269">
                  <c:v>166.95909974834757</c:v>
                </c:pt>
                <c:pt idx="270">
                  <c:v>167.12942634682412</c:v>
                </c:pt>
                <c:pt idx="271">
                  <c:v>167.29370541327106</c:v>
                </c:pt>
                <c:pt idx="272">
                  <c:v>167.45199309148836</c:v>
                </c:pt>
                <c:pt idx="273">
                  <c:v>167.60434420469511</c:v>
                </c:pt>
                <c:pt idx="274">
                  <c:v>167.750812187728</c:v>
                </c:pt>
                <c:pt idx="275">
                  <c:v>167.89144902402407</c:v>
                </c:pt>
                <c:pt idx="276">
                  <c:v>168.02630518712178</c:v>
                </c:pt>
                <c:pt idx="277">
                  <c:v>168.15542958642516</c:v>
                </c:pt>
                <c:pt idx="278">
                  <c:v>168.27886951698682</c:v>
                </c:pt>
                <c:pt idx="279">
                  <c:v>168.39667061307208</c:v>
                </c:pt>
                <c:pt idx="280">
                  <c:v>168.50887680528149</c:v>
                </c:pt>
                <c:pt idx="281">
                  <c:v>168.61553028101414</c:v>
                </c:pt>
                <c:pt idx="282">
                  <c:v>168.71667144806898</c:v>
                </c:pt>
                <c:pt idx="283">
                  <c:v>168.81233890118858</c:v>
                </c:pt>
                <c:pt idx="284">
                  <c:v>168.90256939136185</c:v>
                </c:pt>
                <c:pt idx="285">
                  <c:v>168.98739779771256</c:v>
                </c:pt>
                <c:pt idx="286">
                  <c:v>169.06685710180827</c:v>
                </c:pt>
                <c:pt idx="287">
                  <c:v>169.14097836423832</c:v>
                </c:pt>
                <c:pt idx="288">
                  <c:v>169.20979070331623</c:v>
                </c:pt>
                <c:pt idx="289">
                  <c:v>169.27332127577264</c:v>
                </c:pt>
                <c:pt idx="290">
                  <c:v>169.33159525931543</c:v>
                </c:pt>
                <c:pt idx="291">
                  <c:v>169.38463583694158</c:v>
                </c:pt>
                <c:pt idx="292">
                  <c:v>169.43246418289641</c:v>
                </c:pt>
                <c:pt idx="293">
                  <c:v>169.47509945018342</c:v>
                </c:pt>
                <c:pt idx="294">
                  <c:v>169.51255875953822</c:v>
                </c:pt>
                <c:pt idx="295">
                  <c:v>169.5448571897883</c:v>
                </c:pt>
                <c:pt idx="296">
                  <c:v>169.57200776952908</c:v>
                </c:pt>
                <c:pt idx="297">
                  <c:v>169.59402147005591</c:v>
                </c:pt>
                <c:pt idx="298">
                  <c:v>169.61090719949956</c:v>
                </c:pt>
                <c:pt idx="299">
                  <c:v>169.62267179812193</c:v>
                </c:pt>
                <c:pt idx="300">
                  <c:v>169.62932003473628</c:v>
                </c:pt>
                <c:pt idx="301">
                  <c:v>169.63085460422414</c:v>
                </c:pt>
                <c:pt idx="302">
                  <c:v>169.62727612613236</c:v>
                </c:pt>
                <c:pt idx="303">
                  <c:v>169.61858314433644</c:v>
                </c:pt>
                <c:pt idx="304">
                  <c:v>169.6047721277705</c:v>
                </c:pt>
                <c:pt idx="305">
                  <c:v>169.58583747222767</c:v>
                </c:pt>
                <c:pt idx="306">
                  <c:v>169.56177150324558</c:v>
                </c:pt>
                <c:pt idx="307">
                  <c:v>169.53256448009907</c:v>
                </c:pt>
                <c:pt idx="308">
                  <c:v>169.49820460092911</c:v>
                </c:pt>
                <c:pt idx="309">
                  <c:v>169.45867800904887</c:v>
                </c:pt>
                <c:pt idx="310">
                  <c:v>169.4139688004712</c:v>
                </c:pt>
                <c:pt idx="311">
                  <c:v>169.36405903271537</c:v>
                </c:pt>
                <c:pt idx="312">
                  <c:v>169.30892873495495</c:v>
                </c:pt>
                <c:pt idx="313">
                  <c:v>169.24855591958112</c:v>
                </c:pt>
                <c:pt idx="314">
                  <c:v>169.18291659526213</c:v>
                </c:pt>
                <c:pt idx="315">
                  <c:v>169.1119847815898</c:v>
                </c:pt>
                <c:pt idx="316">
                  <c:v>169.03573252541204</c:v>
                </c:pt>
                <c:pt idx="317">
                  <c:v>168.95412991896052</c:v>
                </c:pt>
                <c:pt idx="318">
                  <c:v>168.86714511989231</c:v>
                </c:pt>
                <c:pt idx="319">
                  <c:v>168.7747443733717</c:v>
                </c:pt>
                <c:pt idx="320">
                  <c:v>168.67689203633202</c:v>
                </c:pt>
                <c:pt idx="321">
                  <c:v>168.57355060406218</c:v>
                </c:pt>
                <c:pt idx="322">
                  <c:v>168.46468073927733</c:v>
                </c:pt>
                <c:pt idx="323">
                  <c:v>168.35024130384031</c:v>
                </c:pt>
                <c:pt idx="324">
                  <c:v>168.23018939331104</c:v>
                </c:pt>
                <c:pt idx="325">
                  <c:v>168.10448037451346</c:v>
                </c:pt>
                <c:pt idx="326">
                  <c:v>167.97306792631588</c:v>
                </c:pt>
                <c:pt idx="327">
                  <c:v>167.83590408383634</c:v>
                </c:pt>
                <c:pt idx="328">
                  <c:v>167.69293928628917</c:v>
                </c:pt>
                <c:pt idx="329">
                  <c:v>167.54412242870444</c:v>
                </c:pt>
                <c:pt idx="330">
                  <c:v>167.38940091775851</c:v>
                </c:pt>
                <c:pt idx="331">
                  <c:v>167.22872073196416</c:v>
                </c:pt>
                <c:pt idx="332">
                  <c:v>167.06202648648178</c:v>
                </c:pt>
                <c:pt idx="333">
                  <c:v>166.88926150281702</c:v>
                </c:pt>
                <c:pt idx="334">
                  <c:v>166.71036788368386</c:v>
                </c:pt>
                <c:pt idx="335">
                  <c:v>166.52528659331671</c:v>
                </c:pt>
                <c:pt idx="336">
                  <c:v>166.33395754352614</c:v>
                </c:pt>
                <c:pt idx="337">
                  <c:v>166.13631968579466</c:v>
                </c:pt>
                <c:pt idx="338">
                  <c:v>165.93231110971976</c:v>
                </c:pt>
                <c:pt idx="339">
                  <c:v>165.72186914811266</c:v>
                </c:pt>
                <c:pt idx="340">
                  <c:v>165.50493048906475</c:v>
                </c:pt>
                <c:pt idx="341">
                  <c:v>165.28143129529536</c:v>
                </c:pt>
                <c:pt idx="342">
                  <c:v>165.0513073310957</c:v>
                </c:pt>
                <c:pt idx="343">
                  <c:v>164.81449409717791</c:v>
                </c:pt>
                <c:pt idx="344">
                  <c:v>164.57092697373812</c:v>
                </c:pt>
                <c:pt idx="345">
                  <c:v>164.32054137203221</c:v>
                </c:pt>
                <c:pt idx="346">
                  <c:v>164.06327289475286</c:v>
                </c:pt>
                <c:pt idx="347">
                  <c:v>163.79905750548676</c:v>
                </c:pt>
                <c:pt idx="348">
                  <c:v>163.52783170750956</c:v>
                </c:pt>
                <c:pt idx="349">
                  <c:v>163.24953273216127</c:v>
                </c:pt>
                <c:pt idx="350">
                  <c:v>162.96409873701569</c:v>
                </c:pt>
                <c:pt idx="351">
                  <c:v>162.67146901403271</c:v>
                </c:pt>
                <c:pt idx="352">
                  <c:v>162.37158420784522</c:v>
                </c:pt>
                <c:pt idx="353">
                  <c:v>162.06438654429905</c:v>
                </c:pt>
                <c:pt idx="354">
                  <c:v>161.74982006931432</c:v>
                </c:pt>
                <c:pt idx="355">
                  <c:v>161.42783089809143</c:v>
                </c:pt>
                <c:pt idx="356">
                  <c:v>161.09836747462919</c:v>
                </c:pt>
                <c:pt idx="357">
                  <c:v>160.76138084145728</c:v>
                </c:pt>
                <c:pt idx="358">
                  <c:v>160.41682491942109</c:v>
                </c:pt>
                <c:pt idx="359">
                  <c:v>160.0646567972791</c:v>
                </c:pt>
                <c:pt idx="360">
                  <c:v>159.70483703079239</c:v>
                </c:pt>
                <c:pt idx="361">
                  <c:v>159.3373299508967</c:v>
                </c:pt>
                <c:pt idx="362">
                  <c:v>158.96210398045213</c:v>
                </c:pt>
                <c:pt idx="363">
                  <c:v>158.57913195896361</c:v>
                </c:pt>
                <c:pt idx="364">
                  <c:v>158.18839147455259</c:v>
                </c:pt>
                <c:pt idx="365">
                  <c:v>157.78986520235566</c:v>
                </c:pt>
                <c:pt idx="366">
                  <c:v>157.38354124838867</c:v>
                </c:pt>
                <c:pt idx="367">
                  <c:v>156.96941349780602</c:v>
                </c:pt>
                <c:pt idx="368">
                  <c:v>156.54748196634173</c:v>
                </c:pt>
                <c:pt idx="369">
                  <c:v>156.11775315359205</c:v>
                </c:pt>
                <c:pt idx="370">
                  <c:v>155.68024039665951</c:v>
                </c:pt>
                <c:pt idx="371">
                  <c:v>155.23496422254462</c:v>
                </c:pt>
                <c:pt idx="372">
                  <c:v>154.78195269752987</c:v>
                </c:pt>
                <c:pt idx="373">
                  <c:v>154.32124177166969</c:v>
                </c:pt>
                <c:pt idx="374">
                  <c:v>153.85287561636648</c:v>
                </c:pt>
                <c:pt idx="375">
                  <c:v>153.37690695289191</c:v>
                </c:pt>
                <c:pt idx="376">
                  <c:v>152.89339736958712</c:v>
                </c:pt>
                <c:pt idx="377">
                  <c:v>152.4024176253794</c:v>
                </c:pt>
                <c:pt idx="378">
                  <c:v>151.9040479371493</c:v>
                </c:pt>
                <c:pt idx="379">
                  <c:v>151.39837824841189</c:v>
                </c:pt>
                <c:pt idx="380">
                  <c:v>150.88550847670555</c:v>
                </c:pt>
                <c:pt idx="381">
                  <c:v>150.36554873705367</c:v>
                </c:pt>
                <c:pt idx="382">
                  <c:v>149.83861953883516</c:v>
                </c:pt>
                <c:pt idx="383">
                  <c:v>149.30485195341561</c:v>
                </c:pt>
                <c:pt idx="384">
                  <c:v>148.76438774992403</c:v>
                </c:pt>
                <c:pt idx="385">
                  <c:v>148.21737949662983</c:v>
                </c:pt>
                <c:pt idx="386">
                  <c:v>147.66399062546364</c:v>
                </c:pt>
                <c:pt idx="387">
                  <c:v>147.10439545736617</c:v>
                </c:pt>
                <c:pt idx="388">
                  <c:v>146.53877918630661</c:v>
                </c:pt>
                <c:pt idx="389">
                  <c:v>145.96733782001661</c:v>
                </c:pt>
                <c:pt idx="390">
                  <c:v>145.39027807571307</c:v>
                </c:pt>
                <c:pt idx="391">
                  <c:v>144.80781722935703</c:v>
                </c:pt>
                <c:pt idx="392">
                  <c:v>144.22018291729205</c:v>
                </c:pt>
                <c:pt idx="393">
                  <c:v>143.62761288943594</c:v>
                </c:pt>
                <c:pt idx="394">
                  <c:v>143.03035471356264</c:v>
                </c:pt>
                <c:pt idx="395">
                  <c:v>142.42866543058565</c:v>
                </c:pt>
                <c:pt idx="396">
                  <c:v>141.82281116116843</c:v>
                </c:pt>
                <c:pt idx="397">
                  <c:v>141.2130666643998</c:v>
                </c:pt>
                <c:pt idx="398">
                  <c:v>140.59971484970526</c:v>
                </c:pt>
                <c:pt idx="399">
                  <c:v>139.98304624359895</c:v>
                </c:pt>
                <c:pt idx="400">
                  <c:v>139.36335841332044</c:v>
                </c:pt>
                <c:pt idx="401">
                  <c:v>138.74095534982152</c:v>
                </c:pt>
                <c:pt idx="402">
                  <c:v>138.11614681298619</c:v>
                </c:pt>
                <c:pt idx="403">
                  <c:v>137.48924764235642</c:v>
                </c:pt>
                <c:pt idx="404">
                  <c:v>136.8605770370055</c:v>
                </c:pt>
                <c:pt idx="405">
                  <c:v>136.23045780853312</c:v>
                </c:pt>
                <c:pt idx="406">
                  <c:v>135.59921561144679</c:v>
                </c:pt>
                <c:pt idx="407">
                  <c:v>134.96717815545253</c:v>
                </c:pt>
                <c:pt idx="408">
                  <c:v>134.33467440437252</c:v>
                </c:pt>
                <c:pt idx="409">
                  <c:v>133.70203376656252</c:v>
                </c:pt>
                <c:pt idx="410">
                  <c:v>133.06958528179698</c:v>
                </c:pt>
                <c:pt idx="411">
                  <c:v>132.4376568096269</c:v>
                </c:pt>
                <c:pt idx="412">
                  <c:v>131.80657422420171</c:v>
                </c:pt>
                <c:pt idx="413">
                  <c:v>131.17666062046976</c:v>
                </c:pt>
                <c:pt idx="414">
                  <c:v>130.54823553654367</c:v>
                </c:pt>
                <c:pt idx="415">
                  <c:v>129.92161419682978</c:v>
                </c:pt>
                <c:pt idx="416">
                  <c:v>129.29710678029863</c:v>
                </c:pt>
                <c:pt idx="417">
                  <c:v>128.67501771798223</c:v>
                </c:pt>
                <c:pt idx="418">
                  <c:v>128.05564502347434</c:v>
                </c:pt>
                <c:pt idx="419">
                  <c:v>127.43927965985569</c:v>
                </c:pt>
                <c:pt idx="420">
                  <c:v>126.82620494607464</c:v>
                </c:pt>
                <c:pt idx="421">
                  <c:v>126.21669600541784</c:v>
                </c:pt>
                <c:pt idx="422">
                  <c:v>125.61101925827575</c:v>
                </c:pt>
                <c:pt idx="423">
                  <c:v>125.00943196097957</c:v>
                </c:pt>
                <c:pt idx="424">
                  <c:v>124.41218179204591</c:v>
                </c:pt>
                <c:pt idx="425">
                  <c:v>123.81950648673588</c:v>
                </c:pt>
                <c:pt idx="426">
                  <c:v>123.23163352041053</c:v>
                </c:pt>
                <c:pt idx="427">
                  <c:v>122.64877984075036</c:v>
                </c:pt>
                <c:pt idx="428">
                  <c:v>122.0711516485202</c:v>
                </c:pt>
                <c:pt idx="429">
                  <c:v>121.49894422618584</c:v>
                </c:pt>
                <c:pt idx="430">
                  <c:v>120.93234181335581</c:v>
                </c:pt>
                <c:pt idx="431">
                  <c:v>120.37151752769881</c:v>
                </c:pt>
                <c:pt idx="432">
                  <c:v>119.81663332971473</c:v>
                </c:pt>
                <c:pt idx="433">
                  <c:v>119.26784002948908</c:v>
                </c:pt>
                <c:pt idx="434">
                  <c:v>118.72527733334512</c:v>
                </c:pt>
                <c:pt idx="435">
                  <c:v>118.18907392813315</c:v>
                </c:pt>
                <c:pt idx="436">
                  <c:v>117.65934760074855</c:v>
                </c:pt>
                <c:pt idx="437">
                  <c:v>117.1362053903689</c:v>
                </c:pt>
                <c:pt idx="438">
                  <c:v>116.61974377080816</c:v>
                </c:pt>
                <c:pt idx="439">
                  <c:v>116.11004886035539</c:v>
                </c:pt>
                <c:pt idx="440">
                  <c:v>115.60719665643062</c:v>
                </c:pt>
                <c:pt idx="441">
                  <c:v>115.11125329241017</c:v>
                </c:pt>
                <c:pt idx="442">
                  <c:v>114.62227531399884</c:v>
                </c:pt>
                <c:pt idx="443">
                  <c:v>114.14030997258195</c:v>
                </c:pt>
                <c:pt idx="444">
                  <c:v>113.66539553305932</c:v>
                </c:pt>
                <c:pt idx="445">
                  <c:v>113.19756159375768</c:v>
                </c:pt>
                <c:pt idx="446">
                  <c:v>112.73682941611163</c:v>
                </c:pt>
                <c:pt idx="447">
                  <c:v>112.28321226192459</c:v>
                </c:pt>
                <c:pt idx="448">
                  <c:v>111.83671573613643</c:v>
                </c:pt>
                <c:pt idx="449">
                  <c:v>111.39733813316127</c:v>
                </c:pt>
                <c:pt idx="450">
                  <c:v>110.96507078498374</c:v>
                </c:pt>
                <c:pt idx="451">
                  <c:v>110.53989840934592</c:v>
                </c:pt>
                <c:pt idx="452">
                  <c:v>110.12179945648916</c:v>
                </c:pt>
                <c:pt idx="453">
                  <c:v>109.71074645305541</c:v>
                </c:pt>
                <c:pt idx="454">
                  <c:v>109.30670634188537</c:v>
                </c:pt>
                <c:pt idx="455">
                  <c:v>108.90964081658333</c:v>
                </c:pt>
                <c:pt idx="456">
                  <c:v>108.51950664984615</c:v>
                </c:pt>
                <c:pt idx="457">
                  <c:v>108.13625601467723</c:v>
                </c:pt>
                <c:pt idx="458">
                  <c:v>107.75983679772385</c:v>
                </c:pt>
                <c:pt idx="459">
                  <c:v>107.39019290408518</c:v>
                </c:pt>
                <c:pt idx="460">
                  <c:v>107.027264553048</c:v>
                </c:pt>
                <c:pt idx="461">
                  <c:v>106.6709885643005</c:v>
                </c:pt>
                <c:pt idx="462">
                  <c:v>106.32129863426842</c:v>
                </c:pt>
                <c:pt idx="463">
                  <c:v>105.9781256023026</c:v>
                </c:pt>
                <c:pt idx="464">
                  <c:v>105.64139770652382</c:v>
                </c:pt>
                <c:pt idx="465">
                  <c:v>105.31104082920156</c:v>
                </c:pt>
                <c:pt idx="466">
                  <c:v>104.9869787316091</c:v>
                </c:pt>
                <c:pt idx="467">
                  <c:v>104.66913327835326</c:v>
                </c:pt>
                <c:pt idx="468">
                  <c:v>104.35742465123208</c:v>
                </c:pt>
                <c:pt idx="469">
                  <c:v>104.05177155271606</c:v>
                </c:pt>
                <c:pt idx="470">
                  <c:v>103.75209139919328</c:v>
                </c:pt>
                <c:pt idx="471">
                  <c:v>103.45830050414955</c:v>
                </c:pt>
                <c:pt idx="472">
                  <c:v>103.17031425149054</c:v>
                </c:pt>
                <c:pt idx="473">
                  <c:v>102.88804725923463</c:v>
                </c:pt>
                <c:pt idx="474">
                  <c:v>102.61141353382753</c:v>
                </c:pt>
                <c:pt idx="475">
                  <c:v>102.34032661535194</c:v>
                </c:pt>
                <c:pt idx="476">
                  <c:v>102.07469971391367</c:v>
                </c:pt>
                <c:pt idx="477">
                  <c:v>101.81444583750216</c:v>
                </c:pt>
                <c:pt idx="478">
                  <c:v>101.5594779116286</c:v>
                </c:pt>
                <c:pt idx="479">
                  <c:v>101.30970889105262</c:v>
                </c:pt>
                <c:pt idx="480">
                  <c:v>101.06505186391053</c:v>
                </c:pt>
                <c:pt idx="481">
                  <c:v>100.82542014855926</c:v>
                </c:pt>
                <c:pt idx="482">
                  <c:v>100.5907273834524</c:v>
                </c:pt>
                <c:pt idx="483">
                  <c:v>100.36088761035798</c:v>
                </c:pt>
                <c:pt idx="484">
                  <c:v>100.13581535122849</c:v>
                </c:pt>
                <c:pt idx="485">
                  <c:v>99.91542567902674</c:v>
                </c:pt>
                <c:pt idx="486">
                  <c:v>99.699634282805221</c:v>
                </c:pt>
                <c:pt idx="487">
                  <c:v>99.488357527330223</c:v>
                </c:pt>
                <c:pt idx="488">
                  <c:v>99.281512507536888</c:v>
                </c:pt>
                <c:pt idx="489">
                  <c:v>99.079017098088656</c:v>
                </c:pt>
                <c:pt idx="490">
                  <c:v>98.88078999831059</c:v>
                </c:pt>
                <c:pt idx="491">
                  <c:v>98.686750772754692</c:v>
                </c:pt>
                <c:pt idx="492">
                  <c:v>98.496819887648257</c:v>
                </c:pt>
                <c:pt idx="493">
                  <c:v>98.310918743463844</c:v>
                </c:pt>
                <c:pt idx="494">
                  <c:v>98.128969703844135</c:v>
                </c:pt>
                <c:pt idx="495">
                  <c:v>97.95089612110236</c:v>
                </c:pt>
                <c:pt idx="496">
                  <c:v>97.776622358510764</c:v>
                </c:pt>
                <c:pt idx="497">
                  <c:v>97.606073809581417</c:v>
                </c:pt>
                <c:pt idx="498">
                  <c:v>97.43917691453116</c:v>
                </c:pt>
                <c:pt idx="499">
                  <c:v>97.275859174117869</c:v>
                </c:pt>
                <c:pt idx="500">
                  <c:v>97.116049161023028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41-4D19-9DBC-690DDB1D00CA}"/>
            </c:ext>
          </c:extLst>
        </c:ser>
        <c:ser>
          <c:idx val="1"/>
          <c:order val="7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Signal'!$K$511:$K$612</c:f>
              <c:numCache>
                <c:formatCode>General</c:formatCode>
                <c:ptCount val="102"/>
                <c:pt idx="0">
                  <c:v>174.03</c:v>
                </c:pt>
                <c:pt idx="1">
                  <c:v>10.471</c:v>
                </c:pt>
                <c:pt idx="2">
                  <c:v>156.11000000000001</c:v>
                </c:pt>
                <c:pt idx="3">
                  <c:v>-168.2</c:v>
                </c:pt>
                <c:pt idx="4">
                  <c:v>173.51</c:v>
                </c:pt>
                <c:pt idx="5">
                  <c:v>139.72999999999999</c:v>
                </c:pt>
                <c:pt idx="6">
                  <c:v>136.25</c:v>
                </c:pt>
                <c:pt idx="7">
                  <c:v>127.18</c:v>
                </c:pt>
                <c:pt idx="8">
                  <c:v>123.47</c:v>
                </c:pt>
                <c:pt idx="9">
                  <c:v>118.43</c:v>
                </c:pt>
                <c:pt idx="10">
                  <c:v>113.19</c:v>
                </c:pt>
                <c:pt idx="11">
                  <c:v>107.02</c:v>
                </c:pt>
                <c:pt idx="12">
                  <c:v>106.26</c:v>
                </c:pt>
                <c:pt idx="13">
                  <c:v>104.03</c:v>
                </c:pt>
                <c:pt idx="14">
                  <c:v>103.26</c:v>
                </c:pt>
                <c:pt idx="15">
                  <c:v>103.39</c:v>
                </c:pt>
                <c:pt idx="16">
                  <c:v>103.34</c:v>
                </c:pt>
                <c:pt idx="17">
                  <c:v>104.35</c:v>
                </c:pt>
                <c:pt idx="18">
                  <c:v>105.57</c:v>
                </c:pt>
                <c:pt idx="19">
                  <c:v>106.78</c:v>
                </c:pt>
                <c:pt idx="20">
                  <c:v>106.81</c:v>
                </c:pt>
                <c:pt idx="21">
                  <c:v>105.07</c:v>
                </c:pt>
                <c:pt idx="22">
                  <c:v>101.35</c:v>
                </c:pt>
                <c:pt idx="23">
                  <c:v>96.534999999999997</c:v>
                </c:pt>
                <c:pt idx="24">
                  <c:v>92.039000000000001</c:v>
                </c:pt>
                <c:pt idx="25">
                  <c:v>88.516999999999996</c:v>
                </c:pt>
                <c:pt idx="26">
                  <c:v>85.623999999999995</c:v>
                </c:pt>
                <c:pt idx="27">
                  <c:v>83.033000000000001</c:v>
                </c:pt>
                <c:pt idx="28">
                  <c:v>80.275000000000006</c:v>
                </c:pt>
                <c:pt idx="29">
                  <c:v>77.093000000000004</c:v>
                </c:pt>
                <c:pt idx="30">
                  <c:v>73.228999999999999</c:v>
                </c:pt>
                <c:pt idx="31">
                  <c:v>68.453999999999994</c:v>
                </c:pt>
                <c:pt idx="32">
                  <c:v>63.189</c:v>
                </c:pt>
                <c:pt idx="33">
                  <c:v>56.701000000000001</c:v>
                </c:pt>
                <c:pt idx="34">
                  <c:v>48.667000000000002</c:v>
                </c:pt>
                <c:pt idx="35">
                  <c:v>39.034999999999997</c:v>
                </c:pt>
                <c:pt idx="36">
                  <c:v>27.765000000000001</c:v>
                </c:pt>
                <c:pt idx="37">
                  <c:v>15.042999999999999</c:v>
                </c:pt>
                <c:pt idx="38">
                  <c:v>-1.2692000000000001</c:v>
                </c:pt>
                <c:pt idx="39">
                  <c:v>-16.631</c:v>
                </c:pt>
                <c:pt idx="40">
                  <c:v>-32.988999999999997</c:v>
                </c:pt>
                <c:pt idx="41">
                  <c:v>-50.472999999999999</c:v>
                </c:pt>
                <c:pt idx="42">
                  <c:v>-69.144000000000005</c:v>
                </c:pt>
                <c:pt idx="43">
                  <c:v>-89.822000000000003</c:v>
                </c:pt>
                <c:pt idx="44">
                  <c:v>-113.72</c:v>
                </c:pt>
                <c:pt idx="45">
                  <c:v>-145.29</c:v>
                </c:pt>
                <c:pt idx="46">
                  <c:v>176.66</c:v>
                </c:pt>
                <c:pt idx="47">
                  <c:v>-165.65</c:v>
                </c:pt>
                <c:pt idx="48">
                  <c:v>-88.369</c:v>
                </c:pt>
                <c:pt idx="49">
                  <c:v>-95.198999999999998</c:v>
                </c:pt>
                <c:pt idx="50">
                  <c:v>-97.18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41-4D19-9DBC-690DDB1D00CA}"/>
            </c:ext>
          </c:extLst>
        </c:ser>
        <c:ser>
          <c:idx val="9"/>
          <c:order val="9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Signal'!$O$511:$O$612</c:f>
              <c:numCache>
                <c:formatCode>General</c:formatCode>
                <c:ptCount val="102"/>
                <c:pt idx="0">
                  <c:v>0.85629999999999995</c:v>
                </c:pt>
                <c:pt idx="1">
                  <c:v>0.83806000000000003</c:v>
                </c:pt>
                <c:pt idx="2">
                  <c:v>-1.2109000000000001</c:v>
                </c:pt>
                <c:pt idx="3">
                  <c:v>-0.48448999999999998</c:v>
                </c:pt>
                <c:pt idx="4">
                  <c:v>-0.98385999999999996</c:v>
                </c:pt>
                <c:pt idx="5">
                  <c:v>0.32150000000000001</c:v>
                </c:pt>
                <c:pt idx="6">
                  <c:v>-0.60572000000000004</c:v>
                </c:pt>
                <c:pt idx="7">
                  <c:v>-1.2511000000000001</c:v>
                </c:pt>
                <c:pt idx="8">
                  <c:v>-0.94950999999999997</c:v>
                </c:pt>
                <c:pt idx="9">
                  <c:v>-1.4977</c:v>
                </c:pt>
                <c:pt idx="10">
                  <c:v>-2.1703000000000001</c:v>
                </c:pt>
                <c:pt idx="11">
                  <c:v>-2.3035999999999999</c:v>
                </c:pt>
                <c:pt idx="12">
                  <c:v>-3.1655000000000002</c:v>
                </c:pt>
                <c:pt idx="13">
                  <c:v>-3.6356999999999999</c:v>
                </c:pt>
                <c:pt idx="14">
                  <c:v>-4.6921999999999997</c:v>
                </c:pt>
                <c:pt idx="15">
                  <c:v>-5.5035999999999996</c:v>
                </c:pt>
                <c:pt idx="16">
                  <c:v>-6.8949999999999996</c:v>
                </c:pt>
                <c:pt idx="17">
                  <c:v>-8.4138999999999999</c:v>
                </c:pt>
                <c:pt idx="18">
                  <c:v>-10.231999999999999</c:v>
                </c:pt>
                <c:pt idx="19">
                  <c:v>-13.294</c:v>
                </c:pt>
                <c:pt idx="20">
                  <c:v>-18.077000000000002</c:v>
                </c:pt>
                <c:pt idx="21">
                  <c:v>-25.614000000000001</c:v>
                </c:pt>
                <c:pt idx="22">
                  <c:v>-35.216999999999999</c:v>
                </c:pt>
                <c:pt idx="23">
                  <c:v>-46.118000000000002</c:v>
                </c:pt>
                <c:pt idx="24">
                  <c:v>-56.924999999999997</c:v>
                </c:pt>
                <c:pt idx="25">
                  <c:v>-65.897000000000006</c:v>
                </c:pt>
                <c:pt idx="26">
                  <c:v>-73.241</c:v>
                </c:pt>
                <c:pt idx="27">
                  <c:v>-79.396000000000001</c:v>
                </c:pt>
                <c:pt idx="28">
                  <c:v>-84.641000000000005</c:v>
                </c:pt>
                <c:pt idx="29">
                  <c:v>-89.700999999999993</c:v>
                </c:pt>
                <c:pt idx="30">
                  <c:v>-94.709000000000003</c:v>
                </c:pt>
                <c:pt idx="31">
                  <c:v>-99.733000000000004</c:v>
                </c:pt>
                <c:pt idx="32">
                  <c:v>-105.45</c:v>
                </c:pt>
                <c:pt idx="33">
                  <c:v>-111.88</c:v>
                </c:pt>
                <c:pt idx="34">
                  <c:v>-118.42</c:v>
                </c:pt>
                <c:pt idx="35">
                  <c:v>-126.06</c:v>
                </c:pt>
                <c:pt idx="36">
                  <c:v>-133.94999999999999</c:v>
                </c:pt>
                <c:pt idx="37">
                  <c:v>-142.86000000000001</c:v>
                </c:pt>
                <c:pt idx="38">
                  <c:v>-151.83000000000001</c:v>
                </c:pt>
                <c:pt idx="39">
                  <c:v>-161.02000000000001</c:v>
                </c:pt>
                <c:pt idx="40">
                  <c:v>-169.62</c:v>
                </c:pt>
                <c:pt idx="41">
                  <c:v>-179.77</c:v>
                </c:pt>
                <c:pt idx="42">
                  <c:v>169.67</c:v>
                </c:pt>
                <c:pt idx="43">
                  <c:v>156.46</c:v>
                </c:pt>
                <c:pt idx="44">
                  <c:v>139.71</c:v>
                </c:pt>
                <c:pt idx="45">
                  <c:v>112.86</c:v>
                </c:pt>
                <c:pt idx="46">
                  <c:v>73.507000000000005</c:v>
                </c:pt>
                <c:pt idx="47">
                  <c:v>30.117999999999999</c:v>
                </c:pt>
                <c:pt idx="48">
                  <c:v>-3.9874999999999998</c:v>
                </c:pt>
                <c:pt idx="49">
                  <c:v>159.97</c:v>
                </c:pt>
                <c:pt idx="50">
                  <c:v>91.450999999999993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41-4D19-9DBC-690DDB1D00CA}"/>
            </c:ext>
          </c:extLst>
        </c:ser>
        <c:ser>
          <c:idx val="11"/>
          <c:order val="11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Signal'!$S$511:$S$612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696288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96288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40847-69AC-4C07-967A-A58690C9A8F4}">
  <sheetPr/>
  <sheetViews>
    <sheetView zoomScale="12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19</xdr:row>
          <xdr:rowOff>9525</xdr:rowOff>
        </xdr:from>
        <xdr:to>
          <xdr:col>7</xdr:col>
          <xdr:colOff>6477000</xdr:colOff>
          <xdr:row>38</xdr:row>
          <xdr:rowOff>209550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1000125</xdr:colOff>
      <xdr:row>38</xdr:row>
      <xdr:rowOff>133350</xdr:rowOff>
    </xdr:to>
    <xdr:graphicFrame macro="">
      <xdr:nvGraphicFramePr>
        <xdr:cNvPr id="31356" name="Chart 11">
          <a:extLst>
            <a:ext uri="{FF2B5EF4-FFF2-40B4-BE49-F238E27FC236}">
              <a16:creationId xmlns:a16="http://schemas.microsoft.com/office/drawing/2014/main" id="{AC4938EE-623D-BA64-DB2C-1C50470B4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B8609-A039-5974-DD8E-A58019510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.com/lit/ds/symlink/tps43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4C51-4686-43AC-B058-DE16A4B499B6}">
  <dimension ref="B1:R32"/>
  <sheetViews>
    <sheetView workbookViewId="0">
      <selection activeCell="C5" sqref="C5"/>
    </sheetView>
  </sheetViews>
  <sheetFormatPr defaultRowHeight="12.75" x14ac:dyDescent="0.2"/>
  <cols>
    <col min="1" max="16384" width="9.140625" style="1"/>
  </cols>
  <sheetData>
    <row r="1" spans="2:18" ht="13.5" thickBot="1" x14ac:dyDescent="0.25"/>
    <row r="2" spans="2:18" ht="13.5" thickTop="1" x14ac:dyDescent="0.2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2:18" x14ac:dyDescent="0.2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x14ac:dyDescent="0.2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60" t="s">
        <v>103</v>
      </c>
      <c r="Q4" s="52"/>
      <c r="R4" s="53"/>
    </row>
    <row r="5" spans="2:18" ht="30" x14ac:dyDescent="0.4">
      <c r="B5" s="54"/>
      <c r="C5" s="55" t="s">
        <v>314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2:18" ht="20.25" x14ac:dyDescent="0.3">
      <c r="B6" s="57"/>
      <c r="C6" s="58" t="s">
        <v>459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</row>
    <row r="7" spans="2:18" x14ac:dyDescent="0.2">
      <c r="B7" s="51"/>
      <c r="C7" s="117" t="s">
        <v>348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spans="2:18" x14ac:dyDescent="0.2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18" x14ac:dyDescent="0.2">
      <c r="B9" s="51"/>
      <c r="C9" s="52" t="s">
        <v>93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</row>
    <row r="10" spans="2:18" x14ac:dyDescent="0.2">
      <c r="B10" s="51"/>
      <c r="C10" s="52" t="s">
        <v>94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</row>
    <row r="11" spans="2:18" x14ac:dyDescent="0.2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2:18" x14ac:dyDescent="0.2">
      <c r="B12" s="51"/>
      <c r="C12" s="60" t="s">
        <v>457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</row>
    <row r="13" spans="2:18" x14ac:dyDescent="0.2">
      <c r="B13" s="51"/>
      <c r="C13" s="60" t="s">
        <v>340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</row>
    <row r="14" spans="2:18" x14ac:dyDescent="0.2">
      <c r="B14" s="51"/>
      <c r="C14" s="61" t="s">
        <v>95</v>
      </c>
      <c r="D14" s="61"/>
      <c r="E14" s="61"/>
      <c r="F14" s="6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</row>
    <row r="15" spans="2:18" x14ac:dyDescent="0.2">
      <c r="B15" s="51"/>
      <c r="C15" s="61"/>
      <c r="D15" s="61"/>
      <c r="E15" s="61"/>
      <c r="F15" s="61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</row>
    <row r="16" spans="2:18" x14ac:dyDescent="0.2">
      <c r="B16" s="51"/>
      <c r="C16" s="52" t="s">
        <v>101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</row>
    <row r="17" spans="2:18" ht="13.5" thickBot="1" x14ac:dyDescent="0.25">
      <c r="B17" s="51"/>
      <c r="C17" s="60" t="s">
        <v>458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</row>
    <row r="18" spans="2:18" x14ac:dyDescent="0.2">
      <c r="B18" s="51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4"/>
      <c r="N18" s="52"/>
      <c r="O18" s="52"/>
      <c r="P18" s="52"/>
      <c r="Q18" s="52"/>
      <c r="R18" s="53"/>
    </row>
    <row r="19" spans="2:18" ht="15.75" x14ac:dyDescent="0.25">
      <c r="B19" s="51"/>
      <c r="C19" s="65"/>
      <c r="D19" s="66" t="s">
        <v>96</v>
      </c>
      <c r="E19" s="52"/>
      <c r="F19" s="52"/>
      <c r="G19" s="52"/>
      <c r="H19" s="52"/>
      <c r="I19" s="52"/>
      <c r="J19" s="52"/>
      <c r="K19" s="52"/>
      <c r="L19" s="52"/>
      <c r="M19" s="67"/>
      <c r="N19" s="52"/>
      <c r="O19" s="52"/>
      <c r="P19" s="52"/>
      <c r="Q19" s="52"/>
      <c r="R19" s="53"/>
    </row>
    <row r="20" spans="2:18" x14ac:dyDescent="0.2">
      <c r="B20" s="51"/>
      <c r="C20" s="65"/>
      <c r="D20" s="52" t="s">
        <v>97</v>
      </c>
      <c r="E20" s="52"/>
      <c r="F20" s="52"/>
      <c r="G20" s="52"/>
      <c r="H20" s="52"/>
      <c r="I20" s="52"/>
      <c r="J20" s="52"/>
      <c r="K20" s="52"/>
      <c r="L20" s="52"/>
      <c r="M20" s="67"/>
      <c r="N20" s="52"/>
      <c r="O20" s="52"/>
      <c r="P20" s="52"/>
      <c r="Q20" s="52"/>
      <c r="R20" s="53"/>
    </row>
    <row r="21" spans="2:18" x14ac:dyDescent="0.2">
      <c r="B21" s="51"/>
      <c r="C21" s="65"/>
      <c r="D21" s="52" t="s">
        <v>98</v>
      </c>
      <c r="E21" s="52"/>
      <c r="F21" s="52"/>
      <c r="G21" s="52"/>
      <c r="H21" s="52"/>
      <c r="I21" s="52"/>
      <c r="J21" s="52"/>
      <c r="K21" s="52"/>
      <c r="L21" s="52"/>
      <c r="M21" s="67"/>
      <c r="N21" s="52"/>
      <c r="O21" s="52"/>
      <c r="P21" s="52"/>
      <c r="Q21" s="52"/>
      <c r="R21" s="53"/>
    </row>
    <row r="22" spans="2:18" x14ac:dyDescent="0.2">
      <c r="B22" s="51"/>
      <c r="C22" s="65"/>
      <c r="D22" s="52" t="s">
        <v>99</v>
      </c>
      <c r="E22" s="52"/>
      <c r="F22" s="52"/>
      <c r="G22" s="52"/>
      <c r="H22" s="52"/>
      <c r="I22" s="52"/>
      <c r="J22" s="52"/>
      <c r="K22" s="52"/>
      <c r="L22" s="52"/>
      <c r="M22" s="67"/>
      <c r="N22" s="52"/>
      <c r="O22" s="52"/>
      <c r="P22" s="52"/>
      <c r="Q22" s="52"/>
      <c r="R22" s="53"/>
    </row>
    <row r="23" spans="2:18" x14ac:dyDescent="0.2">
      <c r="B23" s="51"/>
      <c r="C23" s="65"/>
      <c r="D23" s="52" t="s">
        <v>100</v>
      </c>
      <c r="E23" s="52"/>
      <c r="F23" s="52"/>
      <c r="G23" s="52"/>
      <c r="H23" s="52"/>
      <c r="I23" s="52"/>
      <c r="J23" s="52"/>
      <c r="K23" s="52"/>
      <c r="L23" s="52"/>
      <c r="M23" s="67"/>
      <c r="N23" s="52"/>
      <c r="O23" s="52"/>
      <c r="P23" s="52"/>
      <c r="Q23" s="52"/>
      <c r="R23" s="53"/>
    </row>
    <row r="24" spans="2:18" ht="13.5" thickBot="1" x14ac:dyDescent="0.25">
      <c r="B24" s="51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70"/>
      <c r="N24" s="52"/>
      <c r="O24" s="52"/>
      <c r="P24" s="52"/>
      <c r="Q24" s="52"/>
      <c r="R24" s="53"/>
    </row>
    <row r="25" spans="2:18" x14ac:dyDescent="0.2"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</row>
    <row r="26" spans="2:18" ht="13.5" thickBot="1" x14ac:dyDescent="0.25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3"/>
    </row>
    <row r="27" spans="2:18" ht="13.5" thickTop="1" x14ac:dyDescent="0.2"/>
    <row r="30" spans="2:18" x14ac:dyDescent="0.2">
      <c r="C30" s="245" t="s">
        <v>461</v>
      </c>
    </row>
    <row r="31" spans="2:18" x14ac:dyDescent="0.2">
      <c r="C31" s="243" t="s">
        <v>460</v>
      </c>
    </row>
    <row r="32" spans="2:18" x14ac:dyDescent="0.2">
      <c r="C32" s="244" t="s">
        <v>462</v>
      </c>
    </row>
  </sheetData>
  <sheetProtection sheet="1"/>
  <phoneticPr fontId="0" type="noConversion"/>
  <hyperlinks>
    <hyperlink ref="C7" r:id="rId1" display="This tool supports the TPS4306x datasheet (SLVSBP4A)" xr:uid="{A5AB3175-61D3-4EE9-975E-66D685F7CB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2DED-9DC9-45EF-A126-FA20C4BBB7EB}">
  <sheetPr>
    <pageSetUpPr fitToPage="1"/>
  </sheetPr>
  <dimension ref="A1:IV327"/>
  <sheetViews>
    <sheetView tabSelected="1" topLeftCell="A8" zoomScale="85" zoomScaleNormal="85" workbookViewId="0">
      <selection activeCell="D14" sqref="D14"/>
    </sheetView>
  </sheetViews>
  <sheetFormatPr defaultRowHeight="12.75" x14ac:dyDescent="0.2"/>
  <cols>
    <col min="1" max="1" width="2.7109375" style="74" customWidth="1"/>
    <col min="2" max="2" width="14.7109375" style="75" customWidth="1"/>
    <col min="3" max="3" width="25.140625" style="74" bestFit="1" customWidth="1"/>
    <col min="4" max="4" width="15.28515625" style="74" bestFit="1" customWidth="1"/>
    <col min="5" max="5" width="12.140625" style="74" bestFit="1" customWidth="1"/>
    <col min="6" max="6" width="15.7109375" style="74" bestFit="1" customWidth="1"/>
    <col min="7" max="7" width="6.28515625" style="76" bestFit="1" customWidth="1"/>
    <col min="8" max="8" width="97.42578125" style="74" bestFit="1" customWidth="1"/>
    <col min="9" max="9" width="2.7109375" style="74" customWidth="1"/>
    <col min="10" max="10" width="9.140625" style="77" customWidth="1"/>
    <col min="11" max="11" width="9.7109375" style="141" bestFit="1" customWidth="1"/>
    <col min="12" max="12" width="9.140625" style="146" customWidth="1"/>
    <col min="13" max="13" width="11.42578125" style="141" customWidth="1"/>
    <col min="14" max="16384" width="9.140625" style="141"/>
  </cols>
  <sheetData>
    <row r="1" spans="1:13" x14ac:dyDescent="0.2">
      <c r="A1" s="189"/>
      <c r="B1" s="190"/>
      <c r="C1" s="191"/>
      <c r="D1" s="191"/>
      <c r="E1" s="191"/>
      <c r="F1" s="191"/>
      <c r="G1" s="192"/>
      <c r="H1" s="191"/>
      <c r="I1" s="193"/>
      <c r="J1" s="194"/>
    </row>
    <row r="2" spans="1:13" ht="15.75" x14ac:dyDescent="0.25">
      <c r="A2" s="195"/>
      <c r="B2" s="140" t="s">
        <v>285</v>
      </c>
      <c r="C2" s="141"/>
      <c r="D2" s="141"/>
      <c r="E2" s="141"/>
      <c r="F2" s="144" t="s">
        <v>49</v>
      </c>
      <c r="G2" s="145"/>
      <c r="H2" s="141"/>
      <c r="I2" s="198"/>
      <c r="J2" s="202"/>
    </row>
    <row r="3" spans="1:13" ht="15" x14ac:dyDescent="0.25">
      <c r="A3" s="195"/>
      <c r="B3" s="142" t="s">
        <v>419</v>
      </c>
      <c r="C3" s="141"/>
      <c r="D3" s="144" t="s">
        <v>321</v>
      </c>
      <c r="E3" s="141"/>
      <c r="F3" s="127" t="s">
        <v>51</v>
      </c>
      <c r="G3" s="145"/>
      <c r="H3" s="141"/>
      <c r="I3" s="198"/>
      <c r="J3" s="202"/>
    </row>
    <row r="4" spans="1:13" ht="14.25" x14ac:dyDescent="0.2">
      <c r="A4" s="195"/>
      <c r="B4" s="143" t="s">
        <v>299</v>
      </c>
      <c r="C4" s="141"/>
      <c r="D4" s="246" t="s">
        <v>300</v>
      </c>
      <c r="E4" s="141"/>
      <c r="F4" s="129" t="s">
        <v>50</v>
      </c>
      <c r="G4" s="145"/>
      <c r="H4" s="141"/>
      <c r="I4" s="198"/>
      <c r="J4" s="202"/>
    </row>
    <row r="5" spans="1:13" ht="14.25" x14ac:dyDescent="0.2">
      <c r="A5" s="195"/>
      <c r="B5" s="143" t="s">
        <v>300</v>
      </c>
      <c r="C5" s="141"/>
      <c r="D5" s="141"/>
      <c r="E5" s="141"/>
      <c r="F5" s="128" t="s">
        <v>420</v>
      </c>
      <c r="G5" s="145"/>
      <c r="H5" s="141"/>
      <c r="I5" s="198"/>
      <c r="J5" s="202"/>
    </row>
    <row r="6" spans="1:13" ht="15" x14ac:dyDescent="0.25">
      <c r="A6" s="196"/>
      <c r="B6" s="119" t="s">
        <v>120</v>
      </c>
      <c r="C6" s="118" t="s">
        <v>52</v>
      </c>
      <c r="D6" s="125" t="s">
        <v>418</v>
      </c>
      <c r="E6" s="118" t="s">
        <v>8</v>
      </c>
      <c r="F6" s="265" t="s">
        <v>422</v>
      </c>
      <c r="G6" s="266"/>
      <c r="H6" s="266"/>
      <c r="I6" s="201"/>
      <c r="J6" s="202"/>
      <c r="M6" s="147"/>
    </row>
    <row r="7" spans="1:13" ht="14.25" x14ac:dyDescent="0.2">
      <c r="A7" s="197"/>
      <c r="B7" s="148"/>
      <c r="C7" s="153" t="s">
        <v>190</v>
      </c>
      <c r="D7" s="84">
        <v>6</v>
      </c>
      <c r="E7" s="174" t="s">
        <v>3</v>
      </c>
      <c r="F7" s="259" t="s">
        <v>289</v>
      </c>
      <c r="G7" s="260"/>
      <c r="H7" s="261"/>
      <c r="I7" s="198"/>
      <c r="J7" s="202"/>
      <c r="M7" s="147"/>
    </row>
    <row r="8" spans="1:13" ht="14.25" x14ac:dyDescent="0.2">
      <c r="A8" s="197"/>
      <c r="B8" s="148"/>
      <c r="C8" s="153" t="s">
        <v>191</v>
      </c>
      <c r="D8" s="84">
        <v>5</v>
      </c>
      <c r="E8" s="174" t="s">
        <v>3</v>
      </c>
      <c r="F8" s="259" t="s">
        <v>290</v>
      </c>
      <c r="G8" s="260"/>
      <c r="H8" s="261"/>
      <c r="I8" s="198"/>
      <c r="J8" s="202"/>
      <c r="M8" s="147"/>
    </row>
    <row r="9" spans="1:13" ht="14.25" x14ac:dyDescent="0.2">
      <c r="A9" s="197"/>
      <c r="B9" s="148"/>
      <c r="C9" s="153" t="s">
        <v>192</v>
      </c>
      <c r="D9" s="84">
        <v>6.3</v>
      </c>
      <c r="E9" s="174" t="s">
        <v>3</v>
      </c>
      <c r="F9" s="259" t="s">
        <v>291</v>
      </c>
      <c r="G9" s="260"/>
      <c r="H9" s="261"/>
      <c r="I9" s="198"/>
      <c r="J9" s="202"/>
      <c r="M9" s="147"/>
    </row>
    <row r="10" spans="1:13" ht="14.25" x14ac:dyDescent="0.2">
      <c r="A10" s="197"/>
      <c r="B10" s="148"/>
      <c r="C10" s="153" t="s">
        <v>212</v>
      </c>
      <c r="D10" s="84">
        <f>Vin_Nom*0.01</f>
        <v>0.06</v>
      </c>
      <c r="E10" s="174" t="s">
        <v>421</v>
      </c>
      <c r="F10" s="259" t="s">
        <v>429</v>
      </c>
      <c r="G10" s="260"/>
      <c r="H10" s="261"/>
      <c r="I10" s="198"/>
      <c r="J10" s="202"/>
      <c r="M10" s="147"/>
    </row>
    <row r="11" spans="1:13" ht="14.25" x14ac:dyDescent="0.2">
      <c r="A11" s="197"/>
      <c r="B11" s="148"/>
      <c r="C11" s="153" t="s">
        <v>23</v>
      </c>
      <c r="D11" s="85">
        <v>24</v>
      </c>
      <c r="E11" s="174" t="s">
        <v>3</v>
      </c>
      <c r="F11" s="259" t="s">
        <v>41</v>
      </c>
      <c r="G11" s="260"/>
      <c r="H11" s="261"/>
      <c r="I11" s="198"/>
      <c r="J11" s="202"/>
      <c r="M11" s="147"/>
    </row>
    <row r="12" spans="1:13" ht="14.25" x14ac:dyDescent="0.2">
      <c r="A12" s="197"/>
      <c r="B12" s="148"/>
      <c r="C12" s="153" t="s">
        <v>60</v>
      </c>
      <c r="D12" s="84">
        <f>0.005*Vout</f>
        <v>0.12</v>
      </c>
      <c r="E12" s="174" t="s">
        <v>421</v>
      </c>
      <c r="F12" s="259" t="s">
        <v>423</v>
      </c>
      <c r="G12" s="260"/>
      <c r="H12" s="261"/>
      <c r="I12" s="198"/>
      <c r="J12" s="202"/>
      <c r="M12" s="147"/>
    </row>
    <row r="13" spans="1:13" ht="14.25" x14ac:dyDescent="0.2">
      <c r="A13" s="197"/>
      <c r="B13" s="148"/>
      <c r="C13" s="153" t="s">
        <v>34</v>
      </c>
      <c r="D13" s="87">
        <v>1</v>
      </c>
      <c r="E13" s="174" t="s">
        <v>2</v>
      </c>
      <c r="F13" s="259" t="s">
        <v>426</v>
      </c>
      <c r="G13" s="260"/>
      <c r="H13" s="261"/>
      <c r="I13" s="198"/>
      <c r="J13" s="202"/>
      <c r="M13" s="147"/>
    </row>
    <row r="14" spans="1:13" ht="14.25" x14ac:dyDescent="0.2">
      <c r="A14" s="197"/>
      <c r="B14" s="148"/>
      <c r="C14" s="153" t="s">
        <v>35</v>
      </c>
      <c r="D14" s="86">
        <v>750</v>
      </c>
      <c r="E14" s="174" t="s">
        <v>138</v>
      </c>
      <c r="F14" s="259" t="s">
        <v>47</v>
      </c>
      <c r="G14" s="260"/>
      <c r="H14" s="261"/>
      <c r="I14" s="198"/>
      <c r="J14" s="202"/>
      <c r="M14" s="147"/>
    </row>
    <row r="15" spans="1:13" ht="14.25" x14ac:dyDescent="0.2">
      <c r="A15" s="197"/>
      <c r="B15" s="148"/>
      <c r="C15" s="153" t="s">
        <v>61</v>
      </c>
      <c r="D15" s="87">
        <f>Iout/2</f>
        <v>0.5</v>
      </c>
      <c r="E15" s="174" t="s">
        <v>2</v>
      </c>
      <c r="F15" s="259" t="s">
        <v>108</v>
      </c>
      <c r="G15" s="260"/>
      <c r="H15" s="261"/>
      <c r="I15" s="198"/>
      <c r="J15" s="202"/>
      <c r="M15" s="147"/>
    </row>
    <row r="16" spans="1:13" ht="14.25" x14ac:dyDescent="0.2">
      <c r="A16" s="197"/>
      <c r="B16" s="148"/>
      <c r="C16" s="153" t="s">
        <v>62</v>
      </c>
      <c r="D16" s="84">
        <f>Vout*0.04</f>
        <v>0.96</v>
      </c>
      <c r="E16" s="174" t="s">
        <v>3</v>
      </c>
      <c r="F16" s="259" t="s">
        <v>109</v>
      </c>
      <c r="G16" s="260"/>
      <c r="H16" s="261"/>
      <c r="I16" s="198"/>
      <c r="J16" s="202"/>
      <c r="M16" s="147"/>
    </row>
    <row r="17" spans="1:256" ht="14.25" x14ac:dyDescent="0.2">
      <c r="A17" s="197"/>
      <c r="B17" s="148"/>
      <c r="C17" s="153" t="s">
        <v>369</v>
      </c>
      <c r="D17" s="84">
        <v>4.8</v>
      </c>
      <c r="E17" s="174" t="s">
        <v>3</v>
      </c>
      <c r="F17" s="259" t="s">
        <v>427</v>
      </c>
      <c r="G17" s="260"/>
      <c r="H17" s="261"/>
      <c r="I17" s="198"/>
      <c r="J17" s="202"/>
      <c r="M17" s="147"/>
    </row>
    <row r="18" spans="1:256" ht="14.25" x14ac:dyDescent="0.2">
      <c r="A18" s="197"/>
      <c r="B18" s="148"/>
      <c r="C18" s="153" t="s">
        <v>370</v>
      </c>
      <c r="D18" s="84">
        <v>4.5</v>
      </c>
      <c r="E18" s="174" t="s">
        <v>3</v>
      </c>
      <c r="F18" s="259" t="s">
        <v>428</v>
      </c>
      <c r="G18" s="260"/>
      <c r="H18" s="261"/>
      <c r="I18" s="198"/>
      <c r="J18" s="202"/>
      <c r="M18" s="147"/>
    </row>
    <row r="19" spans="1:256" s="79" customFormat="1" ht="15" x14ac:dyDescent="0.25">
      <c r="A19" s="196"/>
      <c r="B19" s="262" t="s">
        <v>104</v>
      </c>
      <c r="C19" s="262"/>
      <c r="D19" s="262"/>
      <c r="E19" s="262"/>
      <c r="F19" s="262"/>
      <c r="G19" s="262"/>
      <c r="H19" s="262"/>
      <c r="I19" s="206"/>
      <c r="J19" s="207"/>
      <c r="K19" s="150"/>
      <c r="L19" s="150"/>
      <c r="M19" s="151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  <c r="DY19" s="150"/>
      <c r="DZ19" s="150"/>
      <c r="EA19" s="150"/>
      <c r="EB19" s="150"/>
      <c r="EC19" s="150"/>
      <c r="ED19" s="150"/>
      <c r="EE19" s="150"/>
      <c r="EF19" s="150"/>
      <c r="EG19" s="150"/>
      <c r="EH19" s="150"/>
      <c r="EI19" s="150"/>
      <c r="EJ19" s="150"/>
      <c r="EK19" s="150"/>
      <c r="EL19" s="150"/>
      <c r="EM19" s="150"/>
      <c r="EN19" s="150"/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  <c r="IG19" s="150"/>
      <c r="IH19" s="150"/>
      <c r="II19" s="150"/>
      <c r="IJ19" s="150"/>
      <c r="IK19" s="150"/>
      <c r="IL19" s="150"/>
      <c r="IM19" s="150"/>
      <c r="IN19" s="150"/>
      <c r="IO19" s="150"/>
      <c r="IP19" s="150"/>
      <c r="IQ19" s="150"/>
      <c r="IR19" s="150"/>
      <c r="IS19" s="150"/>
      <c r="IT19" s="150"/>
      <c r="IU19" s="150"/>
      <c r="IV19" s="150"/>
    </row>
    <row r="20" spans="1:256" s="74" customFormat="1" ht="12.75" customHeight="1" x14ac:dyDescent="0.2">
      <c r="A20" s="195"/>
      <c r="B20" s="152" t="s">
        <v>105</v>
      </c>
      <c r="C20" s="152" t="s">
        <v>389</v>
      </c>
      <c r="D20" s="263" t="s">
        <v>123</v>
      </c>
      <c r="E20" s="263"/>
      <c r="F20" s="263"/>
      <c r="G20" s="263"/>
      <c r="H20" s="264"/>
      <c r="I20" s="208"/>
      <c r="J20" s="209"/>
      <c r="K20" s="146"/>
      <c r="L20" s="141"/>
      <c r="M20" s="146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41"/>
      <c r="CR20" s="141"/>
      <c r="CS20" s="141"/>
      <c r="CT20" s="141"/>
      <c r="CU20" s="141"/>
      <c r="CV20" s="141"/>
      <c r="CW20" s="141"/>
      <c r="CX20" s="141"/>
      <c r="CY20" s="141"/>
      <c r="CZ20" s="141"/>
      <c r="DA20" s="141"/>
      <c r="DB20" s="141"/>
      <c r="DC20" s="141"/>
      <c r="DD20" s="141"/>
      <c r="DE20" s="141"/>
      <c r="DF20" s="141"/>
      <c r="DG20" s="141"/>
      <c r="DH20" s="141"/>
      <c r="DI20" s="141"/>
      <c r="DJ20" s="141"/>
      <c r="DK20" s="141"/>
      <c r="DL20" s="141"/>
      <c r="DM20" s="141"/>
      <c r="DN20" s="141"/>
      <c r="DO20" s="141"/>
      <c r="DP20" s="141"/>
      <c r="DQ20" s="141"/>
      <c r="DR20" s="141"/>
      <c r="DS20" s="141"/>
      <c r="DT20" s="141"/>
      <c r="DU20" s="141"/>
      <c r="DV20" s="141"/>
      <c r="DW20" s="141"/>
      <c r="DX20" s="141"/>
      <c r="DY20" s="141"/>
      <c r="DZ20" s="141"/>
      <c r="EA20" s="141"/>
      <c r="EB20" s="141"/>
      <c r="EC20" s="141"/>
      <c r="ED20" s="141"/>
      <c r="EE20" s="141"/>
      <c r="EF20" s="141"/>
      <c r="EG20" s="141"/>
      <c r="EH20" s="141"/>
      <c r="EI20" s="141"/>
      <c r="EJ20" s="141"/>
      <c r="EK20" s="141"/>
      <c r="EL20" s="141"/>
      <c r="EM20" s="141"/>
      <c r="EN20" s="141"/>
      <c r="EO20" s="141"/>
      <c r="EP20" s="141"/>
      <c r="EQ20" s="141"/>
      <c r="ER20" s="141"/>
      <c r="ES20" s="141"/>
      <c r="ET20" s="141"/>
      <c r="EU20" s="141"/>
      <c r="EV20" s="141"/>
      <c r="EW20" s="141"/>
      <c r="EX20" s="141"/>
      <c r="EY20" s="141"/>
      <c r="EZ20" s="141"/>
      <c r="FA20" s="141"/>
      <c r="FB20" s="141"/>
      <c r="FC20" s="141"/>
      <c r="FD20" s="141"/>
      <c r="FE20" s="141"/>
      <c r="FF20" s="141"/>
      <c r="FG20" s="141"/>
      <c r="FH20" s="141"/>
      <c r="FI20" s="141"/>
      <c r="FJ20" s="141"/>
      <c r="FK20" s="141"/>
      <c r="FL20" s="141"/>
      <c r="FM20" s="141"/>
      <c r="FN20" s="141"/>
      <c r="FO20" s="141"/>
      <c r="FP20" s="141"/>
      <c r="FQ20" s="141"/>
      <c r="FR20" s="141"/>
      <c r="FS20" s="141"/>
      <c r="FT20" s="141"/>
      <c r="FU20" s="141"/>
      <c r="FV20" s="141"/>
      <c r="FW20" s="141"/>
      <c r="FX20" s="141"/>
      <c r="FY20" s="141"/>
      <c r="FZ20" s="141"/>
      <c r="GA20" s="141"/>
      <c r="GB20" s="141"/>
      <c r="GC20" s="141"/>
      <c r="GD20" s="141"/>
      <c r="GE20" s="141"/>
      <c r="GF20" s="141"/>
      <c r="GG20" s="141"/>
      <c r="GH20" s="141"/>
      <c r="GI20" s="141"/>
      <c r="GJ20" s="141"/>
      <c r="GK20" s="141"/>
      <c r="GL20" s="141"/>
      <c r="GM20" s="141"/>
      <c r="GN20" s="141"/>
      <c r="GO20" s="141"/>
      <c r="GP20" s="141"/>
      <c r="GQ20" s="141"/>
      <c r="GR20" s="141"/>
      <c r="GS20" s="141"/>
      <c r="GT20" s="141"/>
      <c r="GU20" s="141"/>
      <c r="GV20" s="141"/>
      <c r="GW20" s="141"/>
      <c r="GX20" s="141"/>
      <c r="GY20" s="141"/>
      <c r="GZ20" s="141"/>
      <c r="HA20" s="141"/>
      <c r="HB20" s="141"/>
      <c r="HC20" s="141"/>
      <c r="HD20" s="141"/>
      <c r="HE20" s="141"/>
      <c r="HF20" s="141"/>
      <c r="HG20" s="141"/>
      <c r="HH20" s="141"/>
      <c r="HI20" s="141"/>
      <c r="HJ20" s="141"/>
      <c r="HK20" s="141"/>
      <c r="HL20" s="141"/>
      <c r="HM20" s="141"/>
      <c r="HN20" s="141"/>
      <c r="HO20" s="141"/>
      <c r="HP20" s="141"/>
      <c r="HQ20" s="141"/>
      <c r="HR20" s="141"/>
      <c r="HS20" s="141"/>
      <c r="HT20" s="141"/>
      <c r="HU20" s="141"/>
      <c r="HV20" s="141"/>
      <c r="HW20" s="141"/>
      <c r="HX20" s="141"/>
      <c r="HY20" s="141"/>
      <c r="HZ20" s="141"/>
      <c r="IA20" s="141"/>
      <c r="IB20" s="141"/>
      <c r="IC20" s="141"/>
      <c r="ID20" s="141"/>
      <c r="IE20" s="141"/>
      <c r="IF20" s="141"/>
      <c r="IG20" s="141"/>
      <c r="IH20" s="141"/>
      <c r="II20" s="141"/>
      <c r="IJ20" s="141"/>
      <c r="IK20" s="141"/>
      <c r="IL20" s="141"/>
      <c r="IM20" s="141"/>
      <c r="IN20" s="141"/>
      <c r="IO20" s="141"/>
      <c r="IP20" s="141"/>
      <c r="IQ20" s="141"/>
      <c r="IR20" s="141"/>
      <c r="IS20" s="141"/>
      <c r="IT20" s="141"/>
      <c r="IU20" s="141"/>
      <c r="IV20" s="141"/>
    </row>
    <row r="21" spans="1:256" s="74" customFormat="1" ht="19.5" x14ac:dyDescent="0.35">
      <c r="A21" s="195"/>
      <c r="B21" s="153" t="s">
        <v>184</v>
      </c>
      <c r="C21" s="153" t="s">
        <v>398</v>
      </c>
      <c r="D21" s="122" t="str">
        <f>TEXT(Cin_chosen*1000000,"0.0")&amp;" µF"</f>
        <v>11.2 µF</v>
      </c>
      <c r="E21" s="123" t="str">
        <f>Vin_Max&amp;"V"</f>
        <v>6.3V</v>
      </c>
      <c r="F21" s="124" t="str">
        <f>"Irms = "&amp;TEXT(Irms_cin,"0.000")&amp;"A"</f>
        <v>Irms = 0.324A</v>
      </c>
      <c r="G21" s="145"/>
      <c r="H21" s="141"/>
      <c r="I21" s="208"/>
      <c r="J21" s="209"/>
      <c r="K21" s="146"/>
      <c r="L21" s="141"/>
      <c r="M21" s="146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41"/>
      <c r="CR21" s="141"/>
      <c r="CS21" s="141"/>
      <c r="CT21" s="141"/>
      <c r="CU21" s="141"/>
      <c r="CV21" s="141"/>
      <c r="CW21" s="141"/>
      <c r="CX21" s="141"/>
      <c r="CY21" s="141"/>
      <c r="CZ21" s="141"/>
      <c r="DA21" s="141"/>
      <c r="DB21" s="141"/>
      <c r="DC21" s="141"/>
      <c r="DD21" s="141"/>
      <c r="DE21" s="141"/>
      <c r="DF21" s="141"/>
      <c r="DG21" s="141"/>
      <c r="DH21" s="141"/>
      <c r="DI21" s="141"/>
      <c r="DJ21" s="141"/>
      <c r="DK21" s="141"/>
      <c r="DL21" s="141"/>
      <c r="DM21" s="141"/>
      <c r="DN21" s="141"/>
      <c r="DO21" s="141"/>
      <c r="DP21" s="141"/>
      <c r="DQ21" s="141"/>
      <c r="DR21" s="141"/>
      <c r="DS21" s="141"/>
      <c r="DT21" s="141"/>
      <c r="DU21" s="141"/>
      <c r="DV21" s="141"/>
      <c r="DW21" s="141"/>
      <c r="DX21" s="141"/>
      <c r="DY21" s="141"/>
      <c r="DZ21" s="141"/>
      <c r="EA21" s="141"/>
      <c r="EB21" s="141"/>
      <c r="EC21" s="141"/>
      <c r="ED21" s="141"/>
      <c r="EE21" s="141"/>
      <c r="EF21" s="141"/>
      <c r="EG21" s="141"/>
      <c r="EH21" s="141"/>
      <c r="EI21" s="141"/>
      <c r="EJ21" s="141"/>
      <c r="EK21" s="141"/>
      <c r="EL21" s="141"/>
      <c r="EM21" s="141"/>
      <c r="EN21" s="141"/>
      <c r="EO21" s="141"/>
      <c r="EP21" s="141"/>
      <c r="EQ21" s="141"/>
      <c r="ER21" s="141"/>
      <c r="ES21" s="141"/>
      <c r="ET21" s="141"/>
      <c r="EU21" s="141"/>
      <c r="EV21" s="141"/>
      <c r="EW21" s="141"/>
      <c r="EX21" s="141"/>
      <c r="EY21" s="141"/>
      <c r="EZ21" s="141"/>
      <c r="FA21" s="141"/>
      <c r="FB21" s="141"/>
      <c r="FC21" s="141"/>
      <c r="FD21" s="141"/>
      <c r="FE21" s="141"/>
      <c r="FF21" s="141"/>
      <c r="FG21" s="141"/>
      <c r="FH21" s="141"/>
      <c r="FI21" s="141"/>
      <c r="FJ21" s="141"/>
      <c r="FK21" s="141"/>
      <c r="FL21" s="141"/>
      <c r="FM21" s="141"/>
      <c r="FN21" s="141"/>
      <c r="FO21" s="141"/>
      <c r="FP21" s="141"/>
      <c r="FQ21" s="141"/>
      <c r="FR21" s="141"/>
      <c r="FS21" s="141"/>
      <c r="FT21" s="141"/>
      <c r="FU21" s="141"/>
      <c r="FV21" s="141"/>
      <c r="FW21" s="141"/>
      <c r="FX21" s="141"/>
      <c r="FY21" s="141"/>
      <c r="FZ21" s="141"/>
      <c r="GA21" s="141"/>
      <c r="GB21" s="141"/>
      <c r="GC21" s="141"/>
      <c r="GD21" s="141"/>
      <c r="GE21" s="141"/>
      <c r="GF21" s="141"/>
      <c r="GG21" s="141"/>
      <c r="GH21" s="141"/>
      <c r="GI21" s="141"/>
      <c r="GJ21" s="141"/>
      <c r="GK21" s="141"/>
      <c r="GL21" s="141"/>
      <c r="GM21" s="141"/>
      <c r="GN21" s="141"/>
      <c r="GO21" s="141"/>
      <c r="GP21" s="141"/>
      <c r="GQ21" s="141"/>
      <c r="GR21" s="141"/>
      <c r="GS21" s="141"/>
      <c r="GT21" s="141"/>
      <c r="GU21" s="141"/>
      <c r="GV21" s="141"/>
      <c r="GW21" s="141"/>
      <c r="GX21" s="141"/>
      <c r="GY21" s="141"/>
      <c r="GZ21" s="141"/>
      <c r="HA21" s="141"/>
      <c r="HB21" s="141"/>
      <c r="HC21" s="141"/>
      <c r="HD21" s="141"/>
      <c r="HE21" s="141"/>
      <c r="HF21" s="141"/>
      <c r="HG21" s="141"/>
      <c r="HH21" s="141"/>
      <c r="HI21" s="141"/>
      <c r="HJ21" s="141"/>
      <c r="HK21" s="141"/>
      <c r="HL21" s="141"/>
      <c r="HM21" s="141"/>
      <c r="HN21" s="141"/>
      <c r="HO21" s="141"/>
      <c r="HP21" s="141"/>
      <c r="HQ21" s="141"/>
      <c r="HR21" s="141"/>
      <c r="HS21" s="141"/>
      <c r="HT21" s="141"/>
      <c r="HU21" s="141"/>
      <c r="HV21" s="141"/>
      <c r="HW21" s="141"/>
      <c r="HX21" s="141"/>
      <c r="HY21" s="141"/>
      <c r="HZ21" s="141"/>
      <c r="IA21" s="141"/>
      <c r="IB21" s="141"/>
      <c r="IC21" s="141"/>
      <c r="ID21" s="141"/>
      <c r="IE21" s="141"/>
      <c r="IF21" s="141"/>
      <c r="IG21" s="141"/>
      <c r="IH21" s="141"/>
      <c r="II21" s="141"/>
      <c r="IJ21" s="141"/>
      <c r="IK21" s="141"/>
      <c r="IL21" s="141"/>
      <c r="IM21" s="141"/>
      <c r="IN21" s="141"/>
      <c r="IO21" s="141"/>
      <c r="IP21" s="141"/>
      <c r="IQ21" s="141"/>
      <c r="IR21" s="141"/>
      <c r="IS21" s="141"/>
      <c r="IT21" s="141"/>
      <c r="IU21" s="141"/>
      <c r="IV21" s="141"/>
    </row>
    <row r="22" spans="1:256" s="74" customFormat="1" ht="19.5" x14ac:dyDescent="0.35">
      <c r="A22" s="195"/>
      <c r="B22" s="153" t="s">
        <v>376</v>
      </c>
      <c r="C22" s="153" t="s">
        <v>390</v>
      </c>
      <c r="D22" s="122" t="str">
        <f>TEXT(Ccomp*1000000,"0.000")&amp;" µF"</f>
        <v>0.068 µF</v>
      </c>
      <c r="E22" s="123" t="s">
        <v>378</v>
      </c>
      <c r="F22" s="154"/>
      <c r="G22" s="145"/>
      <c r="H22" s="141"/>
      <c r="I22" s="208"/>
      <c r="J22" s="209"/>
      <c r="K22" s="146"/>
      <c r="L22" s="141"/>
      <c r="M22" s="146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  <c r="GG22" s="141"/>
      <c r="GH22" s="141"/>
      <c r="GI22" s="141"/>
      <c r="GJ22" s="141"/>
      <c r="GK22" s="141"/>
      <c r="GL22" s="141"/>
      <c r="GM22" s="141"/>
      <c r="GN22" s="141"/>
      <c r="GO22" s="141"/>
      <c r="GP22" s="141"/>
      <c r="GQ22" s="141"/>
      <c r="GR22" s="141"/>
      <c r="GS22" s="141"/>
      <c r="GT22" s="141"/>
      <c r="GU22" s="141"/>
      <c r="GV22" s="141"/>
      <c r="GW22" s="141"/>
      <c r="GX22" s="141"/>
      <c r="GY22" s="141"/>
      <c r="GZ22" s="141"/>
      <c r="HA22" s="141"/>
      <c r="HB22" s="141"/>
      <c r="HC22" s="141"/>
      <c r="HD22" s="141"/>
      <c r="HE22" s="141"/>
      <c r="HF22" s="141"/>
      <c r="HG22" s="141"/>
      <c r="HH22" s="141"/>
      <c r="HI22" s="141"/>
      <c r="HJ22" s="141"/>
      <c r="HK22" s="141"/>
      <c r="HL22" s="141"/>
      <c r="HM22" s="141"/>
      <c r="HN22" s="141"/>
      <c r="HO22" s="141"/>
      <c r="HP22" s="141"/>
      <c r="HQ22" s="141"/>
      <c r="HR22" s="141"/>
      <c r="HS22" s="141"/>
      <c r="HT22" s="141"/>
      <c r="HU22" s="141"/>
      <c r="HV22" s="141"/>
      <c r="HW22" s="141"/>
      <c r="HX22" s="141"/>
      <c r="HY22" s="141"/>
      <c r="HZ22" s="141"/>
      <c r="IA22" s="141"/>
      <c r="IB22" s="141"/>
      <c r="IC22" s="141"/>
      <c r="ID22" s="141"/>
      <c r="IE22" s="141"/>
      <c r="IF22" s="141"/>
      <c r="IG22" s="141"/>
      <c r="IH22" s="141"/>
      <c r="II22" s="141"/>
      <c r="IJ22" s="141"/>
      <c r="IK22" s="141"/>
      <c r="IL22" s="141"/>
      <c r="IM22" s="141"/>
      <c r="IN22" s="141"/>
      <c r="IO22" s="141"/>
      <c r="IP22" s="141"/>
      <c r="IQ22" s="141"/>
      <c r="IR22" s="141"/>
      <c r="IS22" s="141"/>
      <c r="IT22" s="141"/>
      <c r="IU22" s="141"/>
      <c r="IV22" s="141"/>
    </row>
    <row r="23" spans="1:256" s="74" customFormat="1" ht="19.5" x14ac:dyDescent="0.35">
      <c r="A23" s="195"/>
      <c r="B23" s="153" t="s">
        <v>186</v>
      </c>
      <c r="C23" s="153" t="s">
        <v>391</v>
      </c>
      <c r="D23" s="122" t="str">
        <f>TEXT(D142*1000000,"0.000")&amp;" µF"</f>
        <v>0.100 µF</v>
      </c>
      <c r="E23" s="123" t="s">
        <v>378</v>
      </c>
      <c r="F23" s="154"/>
      <c r="G23" s="145"/>
      <c r="H23" s="141"/>
      <c r="I23" s="208"/>
      <c r="J23" s="209"/>
      <c r="K23" s="146"/>
      <c r="L23" s="141"/>
      <c r="M23" s="146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  <c r="GG23" s="141"/>
      <c r="GH23" s="141"/>
      <c r="GI23" s="141"/>
      <c r="GJ23" s="141"/>
      <c r="GK23" s="141"/>
      <c r="GL23" s="141"/>
      <c r="GM23" s="141"/>
      <c r="GN23" s="141"/>
      <c r="GO23" s="141"/>
      <c r="GP23" s="141"/>
      <c r="GQ23" s="141"/>
      <c r="GR23" s="141"/>
      <c r="GS23" s="141"/>
      <c r="GT23" s="141"/>
      <c r="GU23" s="141"/>
      <c r="GV23" s="141"/>
      <c r="GW23" s="141"/>
      <c r="GX23" s="141"/>
      <c r="GY23" s="141"/>
      <c r="GZ23" s="141"/>
      <c r="HA23" s="141"/>
      <c r="HB23" s="141"/>
      <c r="HC23" s="141"/>
      <c r="HD23" s="141"/>
      <c r="HE23" s="141"/>
      <c r="HF23" s="141"/>
      <c r="HG23" s="141"/>
      <c r="HH23" s="141"/>
      <c r="HI23" s="141"/>
      <c r="HJ23" s="141"/>
      <c r="HK23" s="141"/>
      <c r="HL23" s="141"/>
      <c r="HM23" s="141"/>
      <c r="HN23" s="141"/>
      <c r="HO23" s="141"/>
      <c r="HP23" s="141"/>
      <c r="HQ23" s="141"/>
      <c r="HR23" s="141"/>
      <c r="HS23" s="141"/>
      <c r="HT23" s="141"/>
      <c r="HU23" s="141"/>
      <c r="HV23" s="141"/>
      <c r="HW23" s="141"/>
      <c r="HX23" s="141"/>
      <c r="HY23" s="141"/>
      <c r="HZ23" s="141"/>
      <c r="IA23" s="141"/>
      <c r="IB23" s="141"/>
      <c r="IC23" s="141"/>
      <c r="ID23" s="141"/>
      <c r="IE23" s="141"/>
      <c r="IF23" s="141"/>
      <c r="IG23" s="141"/>
      <c r="IH23" s="141"/>
      <c r="II23" s="141"/>
      <c r="IJ23" s="141"/>
      <c r="IK23" s="141"/>
      <c r="IL23" s="141"/>
      <c r="IM23" s="141"/>
      <c r="IN23" s="141"/>
      <c r="IO23" s="141"/>
      <c r="IP23" s="141"/>
      <c r="IQ23" s="141"/>
      <c r="IR23" s="141"/>
      <c r="IS23" s="141"/>
      <c r="IT23" s="141"/>
      <c r="IU23" s="141"/>
      <c r="IV23" s="141"/>
    </row>
    <row r="24" spans="1:256" s="74" customFormat="1" ht="19.5" x14ac:dyDescent="0.35">
      <c r="A24" s="195"/>
      <c r="B24" s="153" t="s">
        <v>187</v>
      </c>
      <c r="C24" s="153" t="s">
        <v>392</v>
      </c>
      <c r="D24" s="122" t="str">
        <f>IF(Chf&lt;=0.000000000001,"not used",TEXT(Chf*1000000000000,"0")&amp;" pF")</f>
        <v>560 pF</v>
      </c>
      <c r="E24" s="123" t="s">
        <v>378</v>
      </c>
      <c r="F24" s="154"/>
      <c r="G24" s="145"/>
      <c r="H24" s="141"/>
      <c r="I24" s="208"/>
      <c r="J24" s="209"/>
      <c r="K24" s="146"/>
      <c r="L24" s="141"/>
      <c r="M24" s="146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  <c r="GG24" s="141"/>
      <c r="GH24" s="141"/>
      <c r="GI24" s="141"/>
      <c r="GJ24" s="141"/>
      <c r="GK24" s="141"/>
      <c r="GL24" s="141"/>
      <c r="GM24" s="141"/>
      <c r="GN24" s="141"/>
      <c r="GO24" s="141"/>
      <c r="GP24" s="141"/>
      <c r="GQ24" s="141"/>
      <c r="GR24" s="141"/>
      <c r="GS24" s="141"/>
      <c r="GT24" s="141"/>
      <c r="GU24" s="141"/>
      <c r="GV24" s="141"/>
      <c r="GW24" s="141"/>
      <c r="GX24" s="141"/>
      <c r="GY24" s="141"/>
      <c r="GZ24" s="141"/>
      <c r="HA24" s="141"/>
      <c r="HB24" s="141"/>
      <c r="HC24" s="141"/>
      <c r="HD24" s="141"/>
      <c r="HE24" s="141"/>
      <c r="HF24" s="141"/>
      <c r="HG24" s="141"/>
      <c r="HH24" s="141"/>
      <c r="HI24" s="141"/>
      <c r="HJ24" s="141"/>
      <c r="HK24" s="141"/>
      <c r="HL24" s="141"/>
      <c r="HM24" s="141"/>
      <c r="HN24" s="141"/>
      <c r="HO24" s="141"/>
      <c r="HP24" s="141"/>
      <c r="HQ24" s="141"/>
      <c r="HR24" s="141"/>
      <c r="HS24" s="141"/>
      <c r="HT24" s="141"/>
      <c r="HU24" s="141"/>
      <c r="HV24" s="141"/>
      <c r="HW24" s="141"/>
      <c r="HX24" s="141"/>
      <c r="HY24" s="141"/>
      <c r="HZ24" s="141"/>
      <c r="IA24" s="141"/>
      <c r="IB24" s="141"/>
      <c r="IC24" s="141"/>
      <c r="ID24" s="141"/>
      <c r="IE24" s="141"/>
      <c r="IF24" s="141"/>
      <c r="IG24" s="141"/>
      <c r="IH24" s="141"/>
      <c r="II24" s="141"/>
      <c r="IJ24" s="141"/>
      <c r="IK24" s="141"/>
      <c r="IL24" s="141"/>
      <c r="IM24" s="141"/>
      <c r="IN24" s="141"/>
      <c r="IO24" s="141"/>
      <c r="IP24" s="141"/>
      <c r="IQ24" s="141"/>
      <c r="IR24" s="141"/>
      <c r="IS24" s="141"/>
      <c r="IT24" s="141"/>
      <c r="IU24" s="141"/>
      <c r="IV24" s="141"/>
    </row>
    <row r="25" spans="1:256" s="74" customFormat="1" ht="19.5" x14ac:dyDescent="0.35">
      <c r="A25" s="195"/>
      <c r="B25" s="153" t="s">
        <v>380</v>
      </c>
      <c r="C25" s="153" t="s">
        <v>393</v>
      </c>
      <c r="D25" s="122" t="str">
        <f>TEXT(D107*1000000,"0.000")&amp;" µF"</f>
        <v>0.100 µF</v>
      </c>
      <c r="E25" s="123" t="str">
        <f>Vcc_typ&amp;"V"</f>
        <v>5.5V</v>
      </c>
      <c r="F25" s="154"/>
      <c r="G25" s="145"/>
      <c r="H25" s="141"/>
      <c r="I25" s="208"/>
      <c r="J25" s="209"/>
      <c r="K25" s="146"/>
      <c r="L25" s="141"/>
      <c r="M25" s="146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  <c r="GG25" s="141"/>
      <c r="GH25" s="141"/>
      <c r="GI25" s="141"/>
      <c r="GJ25" s="141"/>
      <c r="GK25" s="141"/>
      <c r="GL25" s="141"/>
      <c r="GM25" s="141"/>
      <c r="GN25" s="141"/>
      <c r="GO25" s="141"/>
      <c r="GP25" s="141"/>
      <c r="GQ25" s="141"/>
      <c r="GR25" s="141"/>
      <c r="GS25" s="141"/>
      <c r="GT25" s="141"/>
      <c r="GU25" s="141"/>
      <c r="GV25" s="141"/>
      <c r="GW25" s="141"/>
      <c r="GX25" s="141"/>
      <c r="GY25" s="141"/>
      <c r="GZ25" s="141"/>
      <c r="HA25" s="141"/>
      <c r="HB25" s="141"/>
      <c r="HC25" s="141"/>
      <c r="HD25" s="141"/>
      <c r="HE25" s="141"/>
      <c r="HF25" s="141"/>
      <c r="HG25" s="141"/>
      <c r="HH25" s="141"/>
      <c r="HI25" s="141"/>
      <c r="HJ25" s="141"/>
      <c r="HK25" s="141"/>
      <c r="HL25" s="141"/>
      <c r="HM25" s="141"/>
      <c r="HN25" s="141"/>
      <c r="HO25" s="141"/>
      <c r="HP25" s="141"/>
      <c r="HQ25" s="141"/>
      <c r="HR25" s="141"/>
      <c r="HS25" s="141"/>
      <c r="HT25" s="141"/>
      <c r="HU25" s="141"/>
      <c r="HV25" s="141"/>
      <c r="HW25" s="141"/>
      <c r="HX25" s="141"/>
      <c r="HY25" s="141"/>
      <c r="HZ25" s="141"/>
      <c r="IA25" s="141"/>
      <c r="IB25" s="141"/>
      <c r="IC25" s="141"/>
      <c r="ID25" s="141"/>
      <c r="IE25" s="141"/>
      <c r="IF25" s="141"/>
      <c r="IG25" s="141"/>
      <c r="IH25" s="141"/>
      <c r="II25" s="141"/>
      <c r="IJ25" s="141"/>
      <c r="IK25" s="141"/>
      <c r="IL25" s="141"/>
      <c r="IM25" s="141"/>
      <c r="IN25" s="141"/>
      <c r="IO25" s="141"/>
      <c r="IP25" s="141"/>
      <c r="IQ25" s="141"/>
      <c r="IR25" s="141"/>
      <c r="IS25" s="141"/>
      <c r="IT25" s="141"/>
      <c r="IU25" s="141"/>
      <c r="IV25" s="141"/>
    </row>
    <row r="26" spans="1:256" s="74" customFormat="1" ht="19.5" x14ac:dyDescent="0.35">
      <c r="A26" s="195"/>
      <c r="B26" s="153" t="s">
        <v>381</v>
      </c>
      <c r="C26" s="153" t="s">
        <v>394</v>
      </c>
      <c r="D26" s="122" t="str">
        <f>TEXT(CVcc*1000000,"0.000")&amp;" µF"</f>
        <v>5.600 µF</v>
      </c>
      <c r="E26" s="123" t="str">
        <f>Vcc_typ&amp;"V"</f>
        <v>5.5V</v>
      </c>
      <c r="F26" s="154"/>
      <c r="G26" s="145"/>
      <c r="H26" s="141"/>
      <c r="I26" s="208"/>
      <c r="J26" s="209"/>
      <c r="K26" s="146"/>
      <c r="L26" s="141"/>
      <c r="M26" s="146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  <c r="GG26" s="141"/>
      <c r="GH26" s="141"/>
      <c r="GI26" s="141"/>
      <c r="GJ26" s="141"/>
      <c r="GK26" s="141"/>
      <c r="GL26" s="141"/>
      <c r="GM26" s="141"/>
      <c r="GN26" s="141"/>
      <c r="GO26" s="141"/>
      <c r="GP26" s="141"/>
      <c r="GQ26" s="141"/>
      <c r="GR26" s="141"/>
      <c r="GS26" s="141"/>
      <c r="GT26" s="141"/>
      <c r="GU26" s="141"/>
      <c r="GV26" s="141"/>
      <c r="GW26" s="141"/>
      <c r="GX26" s="141"/>
      <c r="GY26" s="141"/>
      <c r="GZ26" s="141"/>
      <c r="HA26" s="141"/>
      <c r="HB26" s="141"/>
      <c r="HC26" s="141"/>
      <c r="HD26" s="141"/>
      <c r="HE26" s="141"/>
      <c r="HF26" s="141"/>
      <c r="HG26" s="141"/>
      <c r="HH26" s="141"/>
      <c r="HI26" s="141"/>
      <c r="HJ26" s="141"/>
      <c r="HK26" s="141"/>
      <c r="HL26" s="141"/>
      <c r="HM26" s="141"/>
      <c r="HN26" s="141"/>
      <c r="HO26" s="141"/>
      <c r="HP26" s="141"/>
      <c r="HQ26" s="141"/>
      <c r="HR26" s="141"/>
      <c r="HS26" s="141"/>
      <c r="HT26" s="141"/>
      <c r="HU26" s="141"/>
      <c r="HV26" s="141"/>
      <c r="HW26" s="141"/>
      <c r="HX26" s="141"/>
      <c r="HY26" s="141"/>
      <c r="HZ26" s="141"/>
      <c r="IA26" s="141"/>
      <c r="IB26" s="141"/>
      <c r="IC26" s="141"/>
      <c r="ID26" s="141"/>
      <c r="IE26" s="141"/>
      <c r="IF26" s="141"/>
      <c r="IG26" s="141"/>
      <c r="IH26" s="141"/>
      <c r="II26" s="141"/>
      <c r="IJ26" s="141"/>
      <c r="IK26" s="141"/>
      <c r="IL26" s="141"/>
      <c r="IM26" s="141"/>
      <c r="IN26" s="141"/>
      <c r="IO26" s="141"/>
      <c r="IP26" s="141"/>
      <c r="IQ26" s="141"/>
      <c r="IR26" s="141"/>
      <c r="IS26" s="141"/>
      <c r="IT26" s="141"/>
      <c r="IU26" s="141"/>
      <c r="IV26" s="141"/>
    </row>
    <row r="27" spans="1:256" s="74" customFormat="1" ht="19.5" x14ac:dyDescent="0.35">
      <c r="A27" s="195"/>
      <c r="B27" s="153" t="s">
        <v>185</v>
      </c>
      <c r="C27" s="153" t="s">
        <v>399</v>
      </c>
      <c r="D27" s="122" t="str">
        <f>TEXT(Cochosen*1000000,"0.0")&amp;" µF, "&amp;TEXT(Co_esr,"0.000")&amp;"Ω"</f>
        <v>9.4 µF, 0.009Ω</v>
      </c>
      <c r="E27" s="123" t="str">
        <f>Vout&amp;"V"</f>
        <v>24V</v>
      </c>
      <c r="F27" s="124" t="str">
        <f>"Irms = "&amp;TEXT(Irms_cout,"0.000")&amp;"A"</f>
        <v>Irms = 1.949A</v>
      </c>
      <c r="G27" s="145"/>
      <c r="H27" s="141"/>
      <c r="I27" s="208"/>
      <c r="J27" s="209"/>
      <c r="K27" s="146"/>
      <c r="L27" s="141"/>
      <c r="M27" s="146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  <c r="GG27" s="141"/>
      <c r="GH27" s="141"/>
      <c r="GI27" s="141"/>
      <c r="GJ27" s="141"/>
      <c r="GK27" s="141"/>
      <c r="GL27" s="141"/>
      <c r="GM27" s="141"/>
      <c r="GN27" s="141"/>
      <c r="GO27" s="141"/>
      <c r="GP27" s="141"/>
      <c r="GQ27" s="141"/>
      <c r="GR27" s="141"/>
      <c r="GS27" s="141"/>
      <c r="GT27" s="141"/>
      <c r="GU27" s="141"/>
      <c r="GV27" s="141"/>
      <c r="GW27" s="141"/>
      <c r="GX27" s="141"/>
      <c r="GY27" s="141"/>
      <c r="GZ27" s="141"/>
      <c r="HA27" s="141"/>
      <c r="HB27" s="141"/>
      <c r="HC27" s="141"/>
      <c r="HD27" s="141"/>
      <c r="HE27" s="141"/>
      <c r="HF27" s="141"/>
      <c r="HG27" s="141"/>
      <c r="HH27" s="141"/>
      <c r="HI27" s="141"/>
      <c r="HJ27" s="141"/>
      <c r="HK27" s="141"/>
      <c r="HL27" s="141"/>
      <c r="HM27" s="141"/>
      <c r="HN27" s="141"/>
      <c r="HO27" s="141"/>
      <c r="HP27" s="141"/>
      <c r="HQ27" s="141"/>
      <c r="HR27" s="141"/>
      <c r="HS27" s="141"/>
      <c r="HT27" s="141"/>
      <c r="HU27" s="141"/>
      <c r="HV27" s="141"/>
      <c r="HW27" s="141"/>
      <c r="HX27" s="141"/>
      <c r="HY27" s="141"/>
      <c r="HZ27" s="141"/>
      <c r="IA27" s="141"/>
      <c r="IB27" s="141"/>
      <c r="IC27" s="141"/>
      <c r="ID27" s="141"/>
      <c r="IE27" s="141"/>
      <c r="IF27" s="141"/>
      <c r="IG27" s="141"/>
      <c r="IH27" s="141"/>
      <c r="II27" s="141"/>
      <c r="IJ27" s="141"/>
      <c r="IK27" s="141"/>
      <c r="IL27" s="141"/>
      <c r="IM27" s="141"/>
      <c r="IN27" s="141"/>
      <c r="IO27" s="141"/>
      <c r="IP27" s="141"/>
      <c r="IQ27" s="141"/>
      <c r="IR27" s="141"/>
      <c r="IS27" s="141"/>
      <c r="IT27" s="141"/>
      <c r="IU27" s="141"/>
      <c r="IV27" s="141"/>
    </row>
    <row r="28" spans="1:256" s="74" customFormat="1" ht="19.5" x14ac:dyDescent="0.35">
      <c r="A28" s="195"/>
      <c r="B28" s="153" t="s">
        <v>384</v>
      </c>
      <c r="C28" s="153" t="s">
        <v>395</v>
      </c>
      <c r="D28" s="122" t="str">
        <f>D118</f>
        <v>n/a</v>
      </c>
      <c r="E28" s="123" t="str">
        <f>Vout&amp;"V"</f>
        <v>24V</v>
      </c>
      <c r="F28" s="141"/>
      <c r="G28" s="146"/>
      <c r="H28" s="141"/>
      <c r="I28" s="198"/>
      <c r="J28" s="209"/>
      <c r="K28" s="146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41"/>
      <c r="DL28" s="141"/>
      <c r="DM28" s="141"/>
      <c r="DN28" s="141"/>
      <c r="DO28" s="141"/>
      <c r="DP28" s="141"/>
      <c r="DQ28" s="141"/>
      <c r="DR28" s="141"/>
      <c r="DS28" s="141"/>
      <c r="DT28" s="141"/>
      <c r="DU28" s="141"/>
      <c r="DV28" s="141"/>
      <c r="DW28" s="141"/>
      <c r="DX28" s="141"/>
      <c r="DY28" s="141"/>
      <c r="DZ28" s="141"/>
      <c r="EA28" s="141"/>
      <c r="EB28" s="141"/>
      <c r="EC28" s="141"/>
      <c r="ED28" s="141"/>
      <c r="EE28" s="141"/>
      <c r="EF28" s="141"/>
      <c r="EG28" s="141"/>
      <c r="EH28" s="141"/>
      <c r="EI28" s="141"/>
      <c r="EJ28" s="141"/>
      <c r="EK28" s="141"/>
      <c r="EL28" s="141"/>
      <c r="EM28" s="141"/>
      <c r="EN28" s="141"/>
      <c r="EO28" s="141"/>
      <c r="EP28" s="141"/>
      <c r="EQ28" s="141"/>
      <c r="ER28" s="141"/>
      <c r="ES28" s="141"/>
      <c r="ET28" s="141"/>
      <c r="EU28" s="141"/>
      <c r="EV28" s="141"/>
      <c r="EW28" s="141"/>
      <c r="EX28" s="141"/>
      <c r="EY28" s="141"/>
      <c r="EZ28" s="141"/>
      <c r="FA28" s="141"/>
      <c r="FB28" s="141"/>
      <c r="FC28" s="141"/>
      <c r="FD28" s="141"/>
      <c r="FE28" s="141"/>
      <c r="FF28" s="141"/>
      <c r="FG28" s="141"/>
      <c r="FH28" s="141"/>
      <c r="FI28" s="141"/>
      <c r="FJ28" s="141"/>
      <c r="FK28" s="141"/>
      <c r="FL28" s="141"/>
      <c r="FM28" s="141"/>
      <c r="FN28" s="141"/>
      <c r="FO28" s="141"/>
      <c r="FP28" s="141"/>
      <c r="FQ28" s="141"/>
      <c r="FR28" s="141"/>
      <c r="FS28" s="141"/>
      <c r="FT28" s="141"/>
      <c r="FU28" s="141"/>
      <c r="FV28" s="141"/>
      <c r="FW28" s="141"/>
      <c r="FX28" s="141"/>
      <c r="FY28" s="141"/>
      <c r="FZ28" s="141"/>
      <c r="GA28" s="141"/>
      <c r="GB28" s="141"/>
      <c r="GC28" s="141"/>
      <c r="GD28" s="141"/>
      <c r="GE28" s="141"/>
      <c r="GF28" s="141"/>
      <c r="GG28" s="141"/>
      <c r="GH28" s="141"/>
      <c r="GI28" s="141"/>
      <c r="GJ28" s="141"/>
      <c r="GK28" s="141"/>
      <c r="GL28" s="141"/>
      <c r="GM28" s="141"/>
      <c r="GN28" s="141"/>
      <c r="GO28" s="141"/>
      <c r="GP28" s="141"/>
      <c r="GQ28" s="141"/>
      <c r="GR28" s="141"/>
      <c r="GS28" s="141"/>
      <c r="GT28" s="141"/>
      <c r="GU28" s="141"/>
      <c r="GV28" s="141"/>
      <c r="GW28" s="141"/>
      <c r="GX28" s="141"/>
      <c r="GY28" s="141"/>
      <c r="GZ28" s="141"/>
      <c r="HA28" s="141"/>
      <c r="HB28" s="141"/>
      <c r="HC28" s="141"/>
      <c r="HD28" s="141"/>
      <c r="HE28" s="141"/>
      <c r="HF28" s="141"/>
      <c r="HG28" s="141"/>
      <c r="HH28" s="141"/>
      <c r="HI28" s="141"/>
      <c r="HJ28" s="141"/>
      <c r="HK28" s="141"/>
      <c r="HL28" s="141"/>
      <c r="HM28" s="141"/>
      <c r="HN28" s="141"/>
      <c r="HO28" s="141"/>
      <c r="HP28" s="141"/>
      <c r="HQ28" s="141"/>
      <c r="HR28" s="141"/>
      <c r="HS28" s="141"/>
      <c r="HT28" s="141"/>
      <c r="HU28" s="141"/>
      <c r="HV28" s="141"/>
      <c r="HW28" s="141"/>
      <c r="HX28" s="141"/>
      <c r="HY28" s="141"/>
      <c r="HZ28" s="141"/>
      <c r="IA28" s="141"/>
      <c r="IB28" s="141"/>
      <c r="IC28" s="141"/>
      <c r="ID28" s="141"/>
      <c r="IE28" s="141"/>
      <c r="IF28" s="141"/>
      <c r="IG28" s="141"/>
      <c r="IH28" s="141"/>
      <c r="II28" s="141"/>
      <c r="IJ28" s="141"/>
      <c r="IK28" s="141"/>
      <c r="IL28" s="141"/>
      <c r="IM28" s="141"/>
      <c r="IN28" s="141"/>
      <c r="IO28" s="141"/>
      <c r="IP28" s="141"/>
      <c r="IQ28" s="141"/>
      <c r="IR28" s="141"/>
      <c r="IS28" s="141"/>
      <c r="IT28" s="141"/>
      <c r="IU28" s="141"/>
      <c r="IV28" s="141"/>
    </row>
    <row r="29" spans="1:256" s="74" customFormat="1" x14ac:dyDescent="0.2">
      <c r="A29" s="195"/>
      <c r="B29" s="153" t="s">
        <v>59</v>
      </c>
      <c r="C29" s="153" t="s">
        <v>396</v>
      </c>
      <c r="D29" s="122" t="str">
        <f>TEXT(L*1000000,"0.0")&amp;" µH"</f>
        <v>4.7 µH</v>
      </c>
      <c r="E29" s="124" t="str">
        <f>"Isat = "&amp;TEXT(Isat,"0.000")&amp;"A"</f>
        <v>Isat = 6.434A</v>
      </c>
      <c r="F29" s="124" t="str">
        <f>"Irms = "&amp;TEXT(Ilrms,"0.000")&amp;"A"</f>
        <v>Irms = 4.801A</v>
      </c>
      <c r="G29" s="145"/>
      <c r="H29" s="141"/>
      <c r="I29" s="208"/>
      <c r="J29" s="209"/>
      <c r="K29" s="146"/>
      <c r="L29" s="141"/>
      <c r="M29" s="146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41"/>
      <c r="DL29" s="141"/>
      <c r="DM29" s="141"/>
      <c r="DN29" s="141"/>
      <c r="DO29" s="141"/>
      <c r="DP29" s="141"/>
      <c r="DQ29" s="141"/>
      <c r="DR29" s="141"/>
      <c r="DS29" s="141"/>
      <c r="DT29" s="141"/>
      <c r="DU29" s="141"/>
      <c r="DV29" s="141"/>
      <c r="DW29" s="141"/>
      <c r="DX29" s="141"/>
      <c r="DY29" s="141"/>
      <c r="DZ29" s="141"/>
      <c r="EA29" s="141"/>
      <c r="EB29" s="141"/>
      <c r="EC29" s="141"/>
      <c r="ED29" s="141"/>
      <c r="EE29" s="141"/>
      <c r="EF29" s="141"/>
      <c r="EG29" s="141"/>
      <c r="EH29" s="141"/>
      <c r="EI29" s="141"/>
      <c r="EJ29" s="141"/>
      <c r="EK29" s="141"/>
      <c r="EL29" s="141"/>
      <c r="EM29" s="141"/>
      <c r="EN29" s="141"/>
      <c r="EO29" s="141"/>
      <c r="EP29" s="141"/>
      <c r="EQ29" s="141"/>
      <c r="ER29" s="141"/>
      <c r="ES29" s="141"/>
      <c r="ET29" s="141"/>
      <c r="EU29" s="141"/>
      <c r="EV29" s="141"/>
      <c r="EW29" s="141"/>
      <c r="EX29" s="141"/>
      <c r="EY29" s="141"/>
      <c r="EZ29" s="141"/>
      <c r="FA29" s="141"/>
      <c r="FB29" s="141"/>
      <c r="FC29" s="141"/>
      <c r="FD29" s="141"/>
      <c r="FE29" s="141"/>
      <c r="FF29" s="141"/>
      <c r="FG29" s="141"/>
      <c r="FH29" s="141"/>
      <c r="FI29" s="141"/>
      <c r="FJ29" s="141"/>
      <c r="FK29" s="141"/>
      <c r="FL29" s="141"/>
      <c r="FM29" s="141"/>
      <c r="FN29" s="141"/>
      <c r="FO29" s="141"/>
      <c r="FP29" s="141"/>
      <c r="FQ29" s="141"/>
      <c r="FR29" s="141"/>
      <c r="FS29" s="141"/>
      <c r="FT29" s="141"/>
      <c r="FU29" s="141"/>
      <c r="FV29" s="141"/>
      <c r="FW29" s="141"/>
      <c r="FX29" s="141"/>
      <c r="FY29" s="141"/>
      <c r="FZ29" s="141"/>
      <c r="GA29" s="141"/>
      <c r="GB29" s="141"/>
      <c r="GC29" s="141"/>
      <c r="GD29" s="141"/>
      <c r="GE29" s="141"/>
      <c r="GF29" s="141"/>
      <c r="GG29" s="141"/>
      <c r="GH29" s="141"/>
      <c r="GI29" s="141"/>
      <c r="GJ29" s="141"/>
      <c r="GK29" s="141"/>
      <c r="GL29" s="141"/>
      <c r="GM29" s="141"/>
      <c r="GN29" s="141"/>
      <c r="GO29" s="141"/>
      <c r="GP29" s="141"/>
      <c r="GQ29" s="141"/>
      <c r="GR29" s="141"/>
      <c r="GS29" s="141"/>
      <c r="GT29" s="141"/>
      <c r="GU29" s="141"/>
      <c r="GV29" s="141"/>
      <c r="GW29" s="141"/>
      <c r="GX29" s="141"/>
      <c r="GY29" s="141"/>
      <c r="GZ29" s="141"/>
      <c r="HA29" s="141"/>
      <c r="HB29" s="141"/>
      <c r="HC29" s="141"/>
      <c r="HD29" s="141"/>
      <c r="HE29" s="141"/>
      <c r="HF29" s="141"/>
      <c r="HG29" s="141"/>
      <c r="HH29" s="141"/>
      <c r="HI29" s="141"/>
      <c r="HJ29" s="141"/>
      <c r="HK29" s="141"/>
      <c r="HL29" s="141"/>
      <c r="HM29" s="141"/>
      <c r="HN29" s="141"/>
      <c r="HO29" s="141"/>
      <c r="HP29" s="141"/>
      <c r="HQ29" s="141"/>
      <c r="HR29" s="141"/>
      <c r="HS29" s="141"/>
      <c r="HT29" s="141"/>
      <c r="HU29" s="141"/>
      <c r="HV29" s="141"/>
      <c r="HW29" s="141"/>
      <c r="HX29" s="141"/>
      <c r="HY29" s="141"/>
      <c r="HZ29" s="141"/>
      <c r="IA29" s="141"/>
      <c r="IB29" s="141"/>
      <c r="IC29" s="141"/>
      <c r="ID29" s="141"/>
      <c r="IE29" s="141"/>
      <c r="IF29" s="141"/>
      <c r="IG29" s="141"/>
      <c r="IH29" s="141"/>
      <c r="II29" s="141"/>
      <c r="IJ29" s="141"/>
      <c r="IK29" s="141"/>
      <c r="IL29" s="141"/>
      <c r="IM29" s="141"/>
      <c r="IN29" s="141"/>
      <c r="IO29" s="141"/>
      <c r="IP29" s="141"/>
      <c r="IQ29" s="141"/>
      <c r="IR29" s="141"/>
      <c r="IS29" s="141"/>
      <c r="IT29" s="141"/>
      <c r="IU29" s="141"/>
      <c r="IV29" s="141"/>
    </row>
    <row r="30" spans="1:256" s="74" customFormat="1" ht="19.5" x14ac:dyDescent="0.35">
      <c r="A30" s="195"/>
      <c r="B30" s="153" t="s">
        <v>383</v>
      </c>
      <c r="C30" s="153" t="s">
        <v>397</v>
      </c>
      <c r="D30" s="122" t="str">
        <f>D88</f>
        <v>BSC059N04LS6</v>
      </c>
      <c r="E30" s="145"/>
      <c r="F30" s="141"/>
      <c r="G30" s="146"/>
      <c r="H30" s="141"/>
      <c r="I30" s="198"/>
      <c r="J30" s="209"/>
      <c r="K30" s="146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  <c r="EX30" s="141"/>
      <c r="EY30" s="141"/>
      <c r="EZ30" s="141"/>
      <c r="FA30" s="141"/>
      <c r="FB30" s="141"/>
      <c r="FC30" s="141"/>
      <c r="FD30" s="141"/>
      <c r="FE30" s="141"/>
      <c r="FF30" s="141"/>
      <c r="FG30" s="141"/>
      <c r="FH30" s="141"/>
      <c r="FI30" s="141"/>
      <c r="FJ30" s="141"/>
      <c r="FK30" s="141"/>
      <c r="FL30" s="141"/>
      <c r="FM30" s="141"/>
      <c r="FN30" s="141"/>
      <c r="FO30" s="141"/>
      <c r="FP30" s="141"/>
      <c r="FQ30" s="141"/>
      <c r="FR30" s="141"/>
      <c r="FS30" s="141"/>
      <c r="FT30" s="141"/>
      <c r="FU30" s="141"/>
      <c r="FV30" s="141"/>
      <c r="FW30" s="141"/>
      <c r="FX30" s="141"/>
      <c r="FY30" s="141"/>
      <c r="FZ30" s="141"/>
      <c r="GA30" s="141"/>
      <c r="GB30" s="141"/>
      <c r="GC30" s="141"/>
      <c r="GD30" s="141"/>
      <c r="GE30" s="141"/>
      <c r="GF30" s="141"/>
      <c r="GG30" s="141"/>
      <c r="GH30" s="141"/>
      <c r="GI30" s="141"/>
      <c r="GJ30" s="141"/>
      <c r="GK30" s="141"/>
      <c r="GL30" s="141"/>
      <c r="GM30" s="141"/>
      <c r="GN30" s="141"/>
      <c r="GO30" s="141"/>
      <c r="GP30" s="141"/>
      <c r="GQ30" s="141"/>
      <c r="GR30" s="141"/>
      <c r="GS30" s="141"/>
      <c r="GT30" s="141"/>
      <c r="GU30" s="141"/>
      <c r="GV30" s="141"/>
      <c r="GW30" s="141"/>
      <c r="GX30" s="141"/>
      <c r="GY30" s="141"/>
      <c r="GZ30" s="141"/>
      <c r="HA30" s="141"/>
      <c r="HB30" s="141"/>
      <c r="HC30" s="141"/>
      <c r="HD30" s="141"/>
      <c r="HE30" s="141"/>
      <c r="HF30" s="141"/>
      <c r="HG30" s="141"/>
      <c r="HH30" s="141"/>
      <c r="HI30" s="141"/>
      <c r="HJ30" s="141"/>
      <c r="HK30" s="141"/>
      <c r="HL30" s="141"/>
      <c r="HM30" s="141"/>
      <c r="HN30" s="141"/>
      <c r="HO30" s="141"/>
      <c r="HP30" s="141"/>
      <c r="HQ30" s="141"/>
      <c r="HR30" s="141"/>
      <c r="HS30" s="141"/>
      <c r="HT30" s="141"/>
      <c r="HU30" s="141"/>
      <c r="HV30" s="141"/>
      <c r="HW30" s="141"/>
      <c r="HX30" s="141"/>
      <c r="HY30" s="141"/>
      <c r="HZ30" s="141"/>
      <c r="IA30" s="141"/>
      <c r="IB30" s="141"/>
      <c r="IC30" s="141"/>
      <c r="ID30" s="141"/>
      <c r="IE30" s="141"/>
      <c r="IF30" s="141"/>
      <c r="IG30" s="141"/>
      <c r="IH30" s="141"/>
      <c r="II30" s="141"/>
      <c r="IJ30" s="141"/>
      <c r="IK30" s="141"/>
      <c r="IL30" s="141"/>
      <c r="IM30" s="141"/>
      <c r="IN30" s="141"/>
      <c r="IO30" s="141"/>
      <c r="IP30" s="141"/>
      <c r="IQ30" s="141"/>
      <c r="IR30" s="141"/>
      <c r="IS30" s="141"/>
      <c r="IT30" s="141"/>
      <c r="IU30" s="141"/>
      <c r="IV30" s="141"/>
    </row>
    <row r="31" spans="1:256" s="74" customFormat="1" ht="19.5" x14ac:dyDescent="0.35">
      <c r="A31" s="195"/>
      <c r="B31" s="153" t="s">
        <v>382</v>
      </c>
      <c r="C31" s="153" t="s">
        <v>400</v>
      </c>
      <c r="D31" s="122" t="str">
        <f>D103</f>
        <v>BSC059N04LS6</v>
      </c>
      <c r="E31" s="145"/>
      <c r="F31" s="141"/>
      <c r="G31" s="146"/>
      <c r="H31" s="141"/>
      <c r="I31" s="198"/>
      <c r="J31" s="209"/>
      <c r="K31" s="146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  <c r="EX31" s="141"/>
      <c r="EY31" s="141"/>
      <c r="EZ31" s="141"/>
      <c r="FA31" s="141"/>
      <c r="FB31" s="141"/>
      <c r="FC31" s="141"/>
      <c r="FD31" s="141"/>
      <c r="FE31" s="141"/>
      <c r="FF31" s="141"/>
      <c r="FG31" s="141"/>
      <c r="FH31" s="141"/>
      <c r="FI31" s="141"/>
      <c r="FJ31" s="141"/>
      <c r="FK31" s="141"/>
      <c r="FL31" s="141"/>
      <c r="FM31" s="141"/>
      <c r="FN31" s="141"/>
      <c r="FO31" s="141"/>
      <c r="FP31" s="141"/>
      <c r="FQ31" s="141"/>
      <c r="FR31" s="141"/>
      <c r="FS31" s="141"/>
      <c r="FT31" s="141"/>
      <c r="FU31" s="141"/>
      <c r="FV31" s="141"/>
      <c r="FW31" s="141"/>
      <c r="FX31" s="141"/>
      <c r="FY31" s="141"/>
      <c r="FZ31" s="141"/>
      <c r="GA31" s="141"/>
      <c r="GB31" s="141"/>
      <c r="GC31" s="141"/>
      <c r="GD31" s="141"/>
      <c r="GE31" s="141"/>
      <c r="GF31" s="141"/>
      <c r="GG31" s="141"/>
      <c r="GH31" s="141"/>
      <c r="GI31" s="141"/>
      <c r="GJ31" s="141"/>
      <c r="GK31" s="141"/>
      <c r="GL31" s="141"/>
      <c r="GM31" s="141"/>
      <c r="GN31" s="141"/>
      <c r="GO31" s="141"/>
      <c r="GP31" s="141"/>
      <c r="GQ31" s="141"/>
      <c r="GR31" s="141"/>
      <c r="GS31" s="141"/>
      <c r="GT31" s="141"/>
      <c r="GU31" s="141"/>
      <c r="GV31" s="141"/>
      <c r="GW31" s="141"/>
      <c r="GX31" s="141"/>
      <c r="GY31" s="141"/>
      <c r="GZ31" s="141"/>
      <c r="HA31" s="141"/>
      <c r="HB31" s="141"/>
      <c r="HC31" s="141"/>
      <c r="HD31" s="141"/>
      <c r="HE31" s="141"/>
      <c r="HF31" s="141"/>
      <c r="HG31" s="141"/>
      <c r="HH31" s="141"/>
      <c r="HI31" s="141"/>
      <c r="HJ31" s="141"/>
      <c r="HK31" s="141"/>
      <c r="HL31" s="141"/>
      <c r="HM31" s="141"/>
      <c r="HN31" s="141"/>
      <c r="HO31" s="141"/>
      <c r="HP31" s="141"/>
      <c r="HQ31" s="141"/>
      <c r="HR31" s="141"/>
      <c r="HS31" s="141"/>
      <c r="HT31" s="141"/>
      <c r="HU31" s="141"/>
      <c r="HV31" s="141"/>
      <c r="HW31" s="141"/>
      <c r="HX31" s="141"/>
      <c r="HY31" s="141"/>
      <c r="HZ31" s="141"/>
      <c r="IA31" s="141"/>
      <c r="IB31" s="141"/>
      <c r="IC31" s="141"/>
      <c r="ID31" s="141"/>
      <c r="IE31" s="141"/>
      <c r="IF31" s="141"/>
      <c r="IG31" s="141"/>
      <c r="IH31" s="141"/>
      <c r="II31" s="141"/>
      <c r="IJ31" s="141"/>
      <c r="IK31" s="141"/>
      <c r="IL31" s="141"/>
      <c r="IM31" s="141"/>
      <c r="IN31" s="141"/>
      <c r="IO31" s="141"/>
      <c r="IP31" s="141"/>
      <c r="IQ31" s="141"/>
      <c r="IR31" s="141"/>
      <c r="IS31" s="141"/>
      <c r="IT31" s="141"/>
      <c r="IU31" s="141"/>
      <c r="IV31" s="141"/>
    </row>
    <row r="32" spans="1:256" s="74" customFormat="1" ht="19.5" x14ac:dyDescent="0.35">
      <c r="A32" s="195"/>
      <c r="B32" s="153" t="s">
        <v>375</v>
      </c>
      <c r="C32" s="153" t="s">
        <v>401</v>
      </c>
      <c r="D32" s="123" t="str">
        <f>TEXT(Rsense,"0.000")&amp;" Ω"</f>
        <v>0.005 Ω</v>
      </c>
      <c r="E32" s="123" t="str">
        <f>TEXT(D72,"0.000")&amp;"W"</f>
        <v>1.345W</v>
      </c>
      <c r="F32" s="146"/>
      <c r="G32" s="145"/>
      <c r="H32" s="141"/>
      <c r="I32" s="208"/>
      <c r="J32" s="209"/>
      <c r="K32" s="146"/>
      <c r="L32" s="141"/>
      <c r="M32" s="146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  <c r="FD32" s="141"/>
      <c r="FE32" s="141"/>
      <c r="FF32" s="141"/>
      <c r="FG32" s="141"/>
      <c r="FH32" s="141"/>
      <c r="FI32" s="141"/>
      <c r="FJ32" s="141"/>
      <c r="FK32" s="141"/>
      <c r="FL32" s="141"/>
      <c r="FM32" s="141"/>
      <c r="FN32" s="141"/>
      <c r="FO32" s="141"/>
      <c r="FP32" s="141"/>
      <c r="FQ32" s="141"/>
      <c r="FR32" s="141"/>
      <c r="FS32" s="141"/>
      <c r="FT32" s="141"/>
      <c r="FU32" s="141"/>
      <c r="FV32" s="141"/>
      <c r="FW32" s="141"/>
      <c r="FX32" s="141"/>
      <c r="FY32" s="141"/>
      <c r="FZ32" s="141"/>
      <c r="GA32" s="141"/>
      <c r="GB32" s="141"/>
      <c r="GC32" s="141"/>
      <c r="GD32" s="141"/>
      <c r="GE32" s="141"/>
      <c r="GF32" s="141"/>
      <c r="GG32" s="141"/>
      <c r="GH32" s="141"/>
      <c r="GI32" s="141"/>
      <c r="GJ32" s="141"/>
      <c r="GK32" s="141"/>
      <c r="GL32" s="141"/>
      <c r="GM32" s="141"/>
      <c r="GN32" s="141"/>
      <c r="GO32" s="141"/>
      <c r="GP32" s="141"/>
      <c r="GQ32" s="141"/>
      <c r="GR32" s="141"/>
      <c r="GS32" s="141"/>
      <c r="GT32" s="141"/>
      <c r="GU32" s="141"/>
      <c r="GV32" s="141"/>
      <c r="GW32" s="141"/>
      <c r="GX32" s="141"/>
      <c r="GY32" s="141"/>
      <c r="GZ32" s="141"/>
      <c r="HA32" s="141"/>
      <c r="HB32" s="141"/>
      <c r="HC32" s="141"/>
      <c r="HD32" s="141"/>
      <c r="HE32" s="141"/>
      <c r="HF32" s="141"/>
      <c r="HG32" s="141"/>
      <c r="HH32" s="141"/>
      <c r="HI32" s="141"/>
      <c r="HJ32" s="141"/>
      <c r="HK32" s="141"/>
      <c r="HL32" s="141"/>
      <c r="HM32" s="141"/>
      <c r="HN32" s="141"/>
      <c r="HO32" s="141"/>
      <c r="HP32" s="141"/>
      <c r="HQ32" s="141"/>
      <c r="HR32" s="141"/>
      <c r="HS32" s="141"/>
      <c r="HT32" s="141"/>
      <c r="HU32" s="141"/>
      <c r="HV32" s="141"/>
      <c r="HW32" s="141"/>
      <c r="HX32" s="141"/>
      <c r="HY32" s="141"/>
      <c r="HZ32" s="141"/>
      <c r="IA32" s="141"/>
      <c r="IB32" s="141"/>
      <c r="IC32" s="141"/>
      <c r="ID32" s="141"/>
      <c r="IE32" s="141"/>
      <c r="IF32" s="141"/>
      <c r="IG32" s="141"/>
      <c r="IH32" s="141"/>
      <c r="II32" s="141"/>
      <c r="IJ32" s="141"/>
      <c r="IK32" s="141"/>
      <c r="IL32" s="141"/>
      <c r="IM32" s="141"/>
      <c r="IN32" s="141"/>
      <c r="IO32" s="141"/>
      <c r="IP32" s="141"/>
      <c r="IQ32" s="141"/>
      <c r="IR32" s="141"/>
      <c r="IS32" s="141"/>
      <c r="IT32" s="141"/>
      <c r="IU32" s="141"/>
      <c r="IV32" s="141"/>
    </row>
    <row r="33" spans="1:256" s="74" customFormat="1" ht="19.5" x14ac:dyDescent="0.35">
      <c r="A33" s="195"/>
      <c r="B33" s="153" t="s">
        <v>414</v>
      </c>
      <c r="C33" s="153" t="s">
        <v>402</v>
      </c>
      <c r="D33" s="123" t="str">
        <f>Ruvloh/1000&amp;" kΩ"</f>
        <v>6.81 kΩ</v>
      </c>
      <c r="E33" s="145"/>
      <c r="F33" s="141"/>
      <c r="G33" s="146"/>
      <c r="H33" s="141"/>
      <c r="I33" s="198"/>
      <c r="J33" s="209"/>
      <c r="K33" s="146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  <c r="EX33" s="141"/>
      <c r="EY33" s="141"/>
      <c r="EZ33" s="141"/>
      <c r="FA33" s="141"/>
      <c r="FB33" s="141"/>
      <c r="FC33" s="141"/>
      <c r="FD33" s="141"/>
      <c r="FE33" s="141"/>
      <c r="FF33" s="141"/>
      <c r="FG33" s="141"/>
      <c r="FH33" s="141"/>
      <c r="FI33" s="141"/>
      <c r="FJ33" s="141"/>
      <c r="FK33" s="141"/>
      <c r="FL33" s="141"/>
      <c r="FM33" s="141"/>
      <c r="FN33" s="141"/>
      <c r="FO33" s="141"/>
      <c r="FP33" s="141"/>
      <c r="FQ33" s="141"/>
      <c r="FR33" s="141"/>
      <c r="FS33" s="141"/>
      <c r="FT33" s="141"/>
      <c r="FU33" s="141"/>
      <c r="FV33" s="141"/>
      <c r="FW33" s="141"/>
      <c r="FX33" s="141"/>
      <c r="FY33" s="141"/>
      <c r="FZ33" s="141"/>
      <c r="GA33" s="141"/>
      <c r="GB33" s="141"/>
      <c r="GC33" s="141"/>
      <c r="GD33" s="141"/>
      <c r="GE33" s="141"/>
      <c r="GF33" s="141"/>
      <c r="GG33" s="141"/>
      <c r="GH33" s="141"/>
      <c r="GI33" s="141"/>
      <c r="GJ33" s="141"/>
      <c r="GK33" s="141"/>
      <c r="GL33" s="141"/>
      <c r="GM33" s="141"/>
      <c r="GN33" s="141"/>
      <c r="GO33" s="141"/>
      <c r="GP33" s="141"/>
      <c r="GQ33" s="141"/>
      <c r="GR33" s="141"/>
      <c r="GS33" s="141"/>
      <c r="GT33" s="141"/>
      <c r="GU33" s="141"/>
      <c r="GV33" s="141"/>
      <c r="GW33" s="141"/>
      <c r="GX33" s="141"/>
      <c r="GY33" s="141"/>
      <c r="GZ33" s="141"/>
      <c r="HA33" s="141"/>
      <c r="HB33" s="141"/>
      <c r="HC33" s="141"/>
      <c r="HD33" s="141"/>
      <c r="HE33" s="141"/>
      <c r="HF33" s="141"/>
      <c r="HG33" s="141"/>
      <c r="HH33" s="141"/>
      <c r="HI33" s="141"/>
      <c r="HJ33" s="141"/>
      <c r="HK33" s="141"/>
      <c r="HL33" s="141"/>
      <c r="HM33" s="141"/>
      <c r="HN33" s="141"/>
      <c r="HO33" s="141"/>
      <c r="HP33" s="141"/>
      <c r="HQ33" s="141"/>
      <c r="HR33" s="141"/>
      <c r="HS33" s="141"/>
      <c r="HT33" s="141"/>
      <c r="HU33" s="141"/>
      <c r="HV33" s="141"/>
      <c r="HW33" s="141"/>
      <c r="HX33" s="141"/>
      <c r="HY33" s="141"/>
      <c r="HZ33" s="141"/>
      <c r="IA33" s="141"/>
      <c r="IB33" s="141"/>
      <c r="IC33" s="141"/>
      <c r="ID33" s="141"/>
      <c r="IE33" s="141"/>
      <c r="IF33" s="141"/>
      <c r="IG33" s="141"/>
      <c r="IH33" s="141"/>
      <c r="II33" s="141"/>
      <c r="IJ33" s="141"/>
      <c r="IK33" s="141"/>
      <c r="IL33" s="141"/>
      <c r="IM33" s="141"/>
      <c r="IN33" s="141"/>
      <c r="IO33" s="141"/>
      <c r="IP33" s="141"/>
      <c r="IQ33" s="141"/>
      <c r="IR33" s="141"/>
      <c r="IS33" s="141"/>
      <c r="IT33" s="141"/>
      <c r="IU33" s="141"/>
      <c r="IV33" s="141"/>
    </row>
    <row r="34" spans="1:256" s="74" customFormat="1" ht="19.5" x14ac:dyDescent="0.35">
      <c r="A34" s="195"/>
      <c r="B34" s="153" t="s">
        <v>415</v>
      </c>
      <c r="C34" s="153" t="s">
        <v>403</v>
      </c>
      <c r="D34" s="123" t="str">
        <f>Ruvlol/1000&amp;" kΩ"</f>
        <v>2.26 kΩ</v>
      </c>
      <c r="E34" s="145"/>
      <c r="F34" s="141"/>
      <c r="G34" s="146"/>
      <c r="H34" s="141"/>
      <c r="I34" s="198"/>
      <c r="J34" s="209"/>
      <c r="K34" s="146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  <c r="EX34" s="141"/>
      <c r="EY34" s="141"/>
      <c r="EZ34" s="141"/>
      <c r="FA34" s="141"/>
      <c r="FB34" s="141"/>
      <c r="FC34" s="141"/>
      <c r="FD34" s="141"/>
      <c r="FE34" s="141"/>
      <c r="FF34" s="141"/>
      <c r="FG34" s="141"/>
      <c r="FH34" s="141"/>
      <c r="FI34" s="141"/>
      <c r="FJ34" s="141"/>
      <c r="FK34" s="141"/>
      <c r="FL34" s="141"/>
      <c r="FM34" s="141"/>
      <c r="FN34" s="141"/>
      <c r="FO34" s="141"/>
      <c r="FP34" s="141"/>
      <c r="FQ34" s="141"/>
      <c r="FR34" s="141"/>
      <c r="FS34" s="141"/>
      <c r="FT34" s="141"/>
      <c r="FU34" s="141"/>
      <c r="FV34" s="141"/>
      <c r="FW34" s="141"/>
      <c r="FX34" s="141"/>
      <c r="FY34" s="141"/>
      <c r="FZ34" s="141"/>
      <c r="GA34" s="141"/>
      <c r="GB34" s="141"/>
      <c r="GC34" s="141"/>
      <c r="GD34" s="141"/>
      <c r="GE34" s="141"/>
      <c r="GF34" s="141"/>
      <c r="GG34" s="141"/>
      <c r="GH34" s="141"/>
      <c r="GI34" s="141"/>
      <c r="GJ34" s="141"/>
      <c r="GK34" s="141"/>
      <c r="GL34" s="141"/>
      <c r="GM34" s="141"/>
      <c r="GN34" s="141"/>
      <c r="GO34" s="141"/>
      <c r="GP34" s="141"/>
      <c r="GQ34" s="141"/>
      <c r="GR34" s="141"/>
      <c r="GS34" s="141"/>
      <c r="GT34" s="141"/>
      <c r="GU34" s="141"/>
      <c r="GV34" s="141"/>
      <c r="GW34" s="141"/>
      <c r="GX34" s="141"/>
      <c r="GY34" s="141"/>
      <c r="GZ34" s="141"/>
      <c r="HA34" s="141"/>
      <c r="HB34" s="141"/>
      <c r="HC34" s="141"/>
      <c r="HD34" s="141"/>
      <c r="HE34" s="141"/>
      <c r="HF34" s="141"/>
      <c r="HG34" s="141"/>
      <c r="HH34" s="141"/>
      <c r="HI34" s="141"/>
      <c r="HJ34" s="141"/>
      <c r="HK34" s="141"/>
      <c r="HL34" s="141"/>
      <c r="HM34" s="141"/>
      <c r="HN34" s="141"/>
      <c r="HO34" s="141"/>
      <c r="HP34" s="141"/>
      <c r="HQ34" s="141"/>
      <c r="HR34" s="141"/>
      <c r="HS34" s="141"/>
      <c r="HT34" s="141"/>
      <c r="HU34" s="141"/>
      <c r="HV34" s="141"/>
      <c r="HW34" s="141"/>
      <c r="HX34" s="141"/>
      <c r="HY34" s="141"/>
      <c r="HZ34" s="141"/>
      <c r="IA34" s="141"/>
      <c r="IB34" s="141"/>
      <c r="IC34" s="141"/>
      <c r="ID34" s="141"/>
      <c r="IE34" s="141"/>
      <c r="IF34" s="141"/>
      <c r="IG34" s="141"/>
      <c r="IH34" s="141"/>
      <c r="II34" s="141"/>
      <c r="IJ34" s="141"/>
      <c r="IK34" s="141"/>
      <c r="IL34" s="141"/>
      <c r="IM34" s="141"/>
      <c r="IN34" s="141"/>
      <c r="IO34" s="141"/>
      <c r="IP34" s="141"/>
      <c r="IQ34" s="141"/>
      <c r="IR34" s="141"/>
      <c r="IS34" s="141"/>
      <c r="IT34" s="141"/>
      <c r="IU34" s="141"/>
      <c r="IV34" s="141"/>
    </row>
    <row r="35" spans="1:256" s="74" customFormat="1" ht="19.5" x14ac:dyDescent="0.35">
      <c r="A35" s="195"/>
      <c r="B35" s="153" t="s">
        <v>377</v>
      </c>
      <c r="C35" s="153" t="s">
        <v>402</v>
      </c>
      <c r="D35" s="123" t="str">
        <f>Rcomp/1000&amp;" kΩ"</f>
        <v>3.01 kΩ</v>
      </c>
      <c r="E35" s="145"/>
      <c r="F35" s="141"/>
      <c r="G35" s="146"/>
      <c r="H35" s="141"/>
      <c r="I35" s="198"/>
      <c r="J35" s="209"/>
      <c r="K35" s="146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  <c r="EX35" s="141"/>
      <c r="EY35" s="141"/>
      <c r="EZ35" s="141"/>
      <c r="FA35" s="141"/>
      <c r="FB35" s="141"/>
      <c r="FC35" s="141"/>
      <c r="FD35" s="141"/>
      <c r="FE35" s="141"/>
      <c r="FF35" s="141"/>
      <c r="FG35" s="141"/>
      <c r="FH35" s="141"/>
      <c r="FI35" s="141"/>
      <c r="FJ35" s="141"/>
      <c r="FK35" s="141"/>
      <c r="FL35" s="141"/>
      <c r="FM35" s="141"/>
      <c r="FN35" s="141"/>
      <c r="FO35" s="141"/>
      <c r="FP35" s="141"/>
      <c r="FQ35" s="141"/>
      <c r="FR35" s="141"/>
      <c r="FS35" s="141"/>
      <c r="FT35" s="141"/>
      <c r="FU35" s="141"/>
      <c r="FV35" s="141"/>
      <c r="FW35" s="141"/>
      <c r="FX35" s="141"/>
      <c r="FY35" s="141"/>
      <c r="FZ35" s="141"/>
      <c r="GA35" s="141"/>
      <c r="GB35" s="141"/>
      <c r="GC35" s="141"/>
      <c r="GD35" s="141"/>
      <c r="GE35" s="141"/>
      <c r="GF35" s="141"/>
      <c r="GG35" s="141"/>
      <c r="GH35" s="141"/>
      <c r="GI35" s="141"/>
      <c r="GJ35" s="141"/>
      <c r="GK35" s="141"/>
      <c r="GL35" s="141"/>
      <c r="GM35" s="141"/>
      <c r="GN35" s="141"/>
      <c r="GO35" s="141"/>
      <c r="GP35" s="141"/>
      <c r="GQ35" s="141"/>
      <c r="GR35" s="141"/>
      <c r="GS35" s="141"/>
      <c r="GT35" s="141"/>
      <c r="GU35" s="141"/>
      <c r="GV35" s="141"/>
      <c r="GW35" s="141"/>
      <c r="GX35" s="141"/>
      <c r="GY35" s="141"/>
      <c r="GZ35" s="141"/>
      <c r="HA35" s="141"/>
      <c r="HB35" s="141"/>
      <c r="HC35" s="141"/>
      <c r="HD35" s="141"/>
      <c r="HE35" s="141"/>
      <c r="HF35" s="141"/>
      <c r="HG35" s="141"/>
      <c r="HH35" s="141"/>
      <c r="HI35" s="141"/>
      <c r="HJ35" s="141"/>
      <c r="HK35" s="141"/>
      <c r="HL35" s="141"/>
      <c r="HM35" s="141"/>
      <c r="HN35" s="141"/>
      <c r="HO35" s="141"/>
      <c r="HP35" s="141"/>
      <c r="HQ35" s="141"/>
      <c r="HR35" s="141"/>
      <c r="HS35" s="141"/>
      <c r="HT35" s="141"/>
      <c r="HU35" s="141"/>
      <c r="HV35" s="141"/>
      <c r="HW35" s="141"/>
      <c r="HX35" s="141"/>
      <c r="HY35" s="141"/>
      <c r="HZ35" s="141"/>
      <c r="IA35" s="141"/>
      <c r="IB35" s="141"/>
      <c r="IC35" s="141"/>
      <c r="ID35" s="141"/>
      <c r="IE35" s="141"/>
      <c r="IF35" s="141"/>
      <c r="IG35" s="141"/>
      <c r="IH35" s="141"/>
      <c r="II35" s="141"/>
      <c r="IJ35" s="141"/>
      <c r="IK35" s="141"/>
      <c r="IL35" s="141"/>
      <c r="IM35" s="141"/>
      <c r="IN35" s="141"/>
      <c r="IO35" s="141"/>
      <c r="IP35" s="141"/>
      <c r="IQ35" s="141"/>
      <c r="IR35" s="141"/>
      <c r="IS35" s="141"/>
      <c r="IT35" s="141"/>
      <c r="IU35" s="141"/>
      <c r="IV35" s="141"/>
    </row>
    <row r="36" spans="1:256" s="74" customFormat="1" ht="19.5" x14ac:dyDescent="0.35">
      <c r="A36" s="195"/>
      <c r="B36" s="153" t="s">
        <v>374</v>
      </c>
      <c r="C36" s="153" t="s">
        <v>403</v>
      </c>
      <c r="D36" s="123" t="str">
        <f>Rfreq/1000&amp;" kΩ"</f>
        <v>76.8 kΩ</v>
      </c>
      <c r="E36" s="145"/>
      <c r="F36" s="141"/>
      <c r="G36" s="146"/>
      <c r="H36" s="141"/>
      <c r="I36" s="198"/>
      <c r="J36" s="209"/>
      <c r="K36" s="146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141"/>
      <c r="DE36" s="141"/>
      <c r="DF36" s="141"/>
      <c r="DG36" s="141"/>
      <c r="DH36" s="141"/>
      <c r="DI36" s="141"/>
      <c r="DJ36" s="141"/>
      <c r="DK36" s="141"/>
      <c r="DL36" s="141"/>
      <c r="DM36" s="141"/>
      <c r="DN36" s="141"/>
      <c r="DO36" s="141"/>
      <c r="DP36" s="141"/>
      <c r="DQ36" s="141"/>
      <c r="DR36" s="141"/>
      <c r="DS36" s="141"/>
      <c r="DT36" s="141"/>
      <c r="DU36" s="141"/>
      <c r="DV36" s="141"/>
      <c r="DW36" s="141"/>
      <c r="DX36" s="141"/>
      <c r="DY36" s="141"/>
      <c r="DZ36" s="141"/>
      <c r="EA36" s="141"/>
      <c r="EB36" s="141"/>
      <c r="EC36" s="141"/>
      <c r="ED36" s="141"/>
      <c r="EE36" s="141"/>
      <c r="EF36" s="141"/>
      <c r="EG36" s="141"/>
      <c r="EH36" s="141"/>
      <c r="EI36" s="141"/>
      <c r="EJ36" s="141"/>
      <c r="EK36" s="141"/>
      <c r="EL36" s="141"/>
      <c r="EM36" s="141"/>
      <c r="EN36" s="141"/>
      <c r="EO36" s="141"/>
      <c r="EP36" s="141"/>
      <c r="EQ36" s="141"/>
      <c r="ER36" s="141"/>
      <c r="ES36" s="141"/>
      <c r="ET36" s="141"/>
      <c r="EU36" s="141"/>
      <c r="EV36" s="141"/>
      <c r="EW36" s="141"/>
      <c r="EX36" s="141"/>
      <c r="EY36" s="141"/>
      <c r="EZ36" s="141"/>
      <c r="FA36" s="141"/>
      <c r="FB36" s="141"/>
      <c r="FC36" s="141"/>
      <c r="FD36" s="141"/>
      <c r="FE36" s="141"/>
      <c r="FF36" s="141"/>
      <c r="FG36" s="141"/>
      <c r="FH36" s="141"/>
      <c r="FI36" s="141"/>
      <c r="FJ36" s="141"/>
      <c r="FK36" s="141"/>
      <c r="FL36" s="141"/>
      <c r="FM36" s="141"/>
      <c r="FN36" s="141"/>
      <c r="FO36" s="141"/>
      <c r="FP36" s="141"/>
      <c r="FQ36" s="141"/>
      <c r="FR36" s="141"/>
      <c r="FS36" s="141"/>
      <c r="FT36" s="141"/>
      <c r="FU36" s="141"/>
      <c r="FV36" s="141"/>
      <c r="FW36" s="141"/>
      <c r="FX36" s="141"/>
      <c r="FY36" s="141"/>
      <c r="FZ36" s="141"/>
      <c r="GA36" s="141"/>
      <c r="GB36" s="141"/>
      <c r="GC36" s="141"/>
      <c r="GD36" s="141"/>
      <c r="GE36" s="141"/>
      <c r="GF36" s="141"/>
      <c r="GG36" s="141"/>
      <c r="GH36" s="141"/>
      <c r="GI36" s="141"/>
      <c r="GJ36" s="141"/>
      <c r="GK36" s="141"/>
      <c r="GL36" s="141"/>
      <c r="GM36" s="141"/>
      <c r="GN36" s="141"/>
      <c r="GO36" s="141"/>
      <c r="GP36" s="141"/>
      <c r="GQ36" s="141"/>
      <c r="GR36" s="141"/>
      <c r="GS36" s="141"/>
      <c r="GT36" s="141"/>
      <c r="GU36" s="141"/>
      <c r="GV36" s="141"/>
      <c r="GW36" s="141"/>
      <c r="GX36" s="141"/>
      <c r="GY36" s="141"/>
      <c r="GZ36" s="141"/>
      <c r="HA36" s="141"/>
      <c r="HB36" s="141"/>
      <c r="HC36" s="141"/>
      <c r="HD36" s="141"/>
      <c r="HE36" s="141"/>
      <c r="HF36" s="141"/>
      <c r="HG36" s="141"/>
      <c r="HH36" s="141"/>
      <c r="HI36" s="141"/>
      <c r="HJ36" s="141"/>
      <c r="HK36" s="141"/>
      <c r="HL36" s="141"/>
      <c r="HM36" s="141"/>
      <c r="HN36" s="141"/>
      <c r="HO36" s="141"/>
      <c r="HP36" s="141"/>
      <c r="HQ36" s="141"/>
      <c r="HR36" s="141"/>
      <c r="HS36" s="141"/>
      <c r="HT36" s="141"/>
      <c r="HU36" s="141"/>
      <c r="HV36" s="141"/>
      <c r="HW36" s="141"/>
      <c r="HX36" s="141"/>
      <c r="HY36" s="141"/>
      <c r="HZ36" s="141"/>
      <c r="IA36" s="141"/>
      <c r="IB36" s="141"/>
      <c r="IC36" s="141"/>
      <c r="ID36" s="141"/>
      <c r="IE36" s="141"/>
      <c r="IF36" s="141"/>
      <c r="IG36" s="141"/>
      <c r="IH36" s="141"/>
      <c r="II36" s="141"/>
      <c r="IJ36" s="141"/>
      <c r="IK36" s="141"/>
      <c r="IL36" s="141"/>
      <c r="IM36" s="141"/>
      <c r="IN36" s="141"/>
      <c r="IO36" s="141"/>
      <c r="IP36" s="141"/>
      <c r="IQ36" s="141"/>
      <c r="IR36" s="141"/>
      <c r="IS36" s="141"/>
      <c r="IT36" s="141"/>
      <c r="IU36" s="141"/>
      <c r="IV36" s="141"/>
    </row>
    <row r="37" spans="1:256" s="74" customFormat="1" ht="19.5" x14ac:dyDescent="0.35">
      <c r="A37" s="195"/>
      <c r="B37" s="153" t="s">
        <v>189</v>
      </c>
      <c r="C37" s="153" t="s">
        <v>404</v>
      </c>
      <c r="D37" s="123" t="str">
        <f>Rsl/1000&amp;" kΩ"</f>
        <v>11 kΩ</v>
      </c>
      <c r="E37" s="145"/>
      <c r="F37" s="141"/>
      <c r="G37" s="146"/>
      <c r="H37" s="141"/>
      <c r="I37" s="198"/>
      <c r="J37" s="209"/>
      <c r="K37" s="146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1"/>
      <c r="DH37" s="141"/>
      <c r="DI37" s="141"/>
      <c r="DJ37" s="141"/>
      <c r="DK37" s="141"/>
      <c r="DL37" s="141"/>
      <c r="DM37" s="141"/>
      <c r="DN37" s="141"/>
      <c r="DO37" s="141"/>
      <c r="DP37" s="141"/>
      <c r="DQ37" s="141"/>
      <c r="DR37" s="141"/>
      <c r="DS37" s="141"/>
      <c r="DT37" s="141"/>
      <c r="DU37" s="141"/>
      <c r="DV37" s="141"/>
      <c r="DW37" s="141"/>
      <c r="DX37" s="141"/>
      <c r="DY37" s="141"/>
      <c r="DZ37" s="141"/>
      <c r="EA37" s="141"/>
      <c r="EB37" s="141"/>
      <c r="EC37" s="141"/>
      <c r="ED37" s="141"/>
      <c r="EE37" s="141"/>
      <c r="EF37" s="141"/>
      <c r="EG37" s="141"/>
      <c r="EH37" s="141"/>
      <c r="EI37" s="141"/>
      <c r="EJ37" s="141"/>
      <c r="EK37" s="141"/>
      <c r="EL37" s="141"/>
      <c r="EM37" s="141"/>
      <c r="EN37" s="141"/>
      <c r="EO37" s="141"/>
      <c r="EP37" s="141"/>
      <c r="EQ37" s="141"/>
      <c r="ER37" s="141"/>
      <c r="ES37" s="141"/>
      <c r="ET37" s="141"/>
      <c r="EU37" s="141"/>
      <c r="EV37" s="141"/>
      <c r="EW37" s="141"/>
      <c r="EX37" s="141"/>
      <c r="EY37" s="141"/>
      <c r="EZ37" s="141"/>
      <c r="FA37" s="141"/>
      <c r="FB37" s="141"/>
      <c r="FC37" s="141"/>
      <c r="FD37" s="141"/>
      <c r="FE37" s="141"/>
      <c r="FF37" s="141"/>
      <c r="FG37" s="141"/>
      <c r="FH37" s="141"/>
      <c r="FI37" s="141"/>
      <c r="FJ37" s="141"/>
      <c r="FK37" s="141"/>
      <c r="FL37" s="141"/>
      <c r="FM37" s="141"/>
      <c r="FN37" s="141"/>
      <c r="FO37" s="141"/>
      <c r="FP37" s="141"/>
      <c r="FQ37" s="141"/>
      <c r="FR37" s="141"/>
      <c r="FS37" s="141"/>
      <c r="FT37" s="141"/>
      <c r="FU37" s="141"/>
      <c r="FV37" s="141"/>
      <c r="FW37" s="141"/>
      <c r="FX37" s="141"/>
      <c r="FY37" s="141"/>
      <c r="FZ37" s="141"/>
      <c r="GA37" s="141"/>
      <c r="GB37" s="141"/>
      <c r="GC37" s="141"/>
      <c r="GD37" s="141"/>
      <c r="GE37" s="141"/>
      <c r="GF37" s="141"/>
      <c r="GG37" s="141"/>
      <c r="GH37" s="141"/>
      <c r="GI37" s="141"/>
      <c r="GJ37" s="141"/>
      <c r="GK37" s="141"/>
      <c r="GL37" s="141"/>
      <c r="GM37" s="141"/>
      <c r="GN37" s="141"/>
      <c r="GO37" s="141"/>
      <c r="GP37" s="141"/>
      <c r="GQ37" s="141"/>
      <c r="GR37" s="141"/>
      <c r="GS37" s="141"/>
      <c r="GT37" s="141"/>
      <c r="GU37" s="141"/>
      <c r="GV37" s="141"/>
      <c r="GW37" s="141"/>
      <c r="GX37" s="141"/>
      <c r="GY37" s="141"/>
      <c r="GZ37" s="141"/>
      <c r="HA37" s="141"/>
      <c r="HB37" s="141"/>
      <c r="HC37" s="141"/>
      <c r="HD37" s="141"/>
      <c r="HE37" s="141"/>
      <c r="HF37" s="141"/>
      <c r="HG37" s="141"/>
      <c r="HH37" s="141"/>
      <c r="HI37" s="141"/>
      <c r="HJ37" s="141"/>
      <c r="HK37" s="141"/>
      <c r="HL37" s="141"/>
      <c r="HM37" s="141"/>
      <c r="HN37" s="141"/>
      <c r="HO37" s="141"/>
      <c r="HP37" s="141"/>
      <c r="HQ37" s="141"/>
      <c r="HR37" s="141"/>
      <c r="HS37" s="141"/>
      <c r="HT37" s="141"/>
      <c r="HU37" s="141"/>
      <c r="HV37" s="141"/>
      <c r="HW37" s="141"/>
      <c r="HX37" s="141"/>
      <c r="HY37" s="141"/>
      <c r="HZ37" s="141"/>
      <c r="IA37" s="141"/>
      <c r="IB37" s="141"/>
      <c r="IC37" s="141"/>
      <c r="ID37" s="141"/>
      <c r="IE37" s="141"/>
      <c r="IF37" s="141"/>
      <c r="IG37" s="141"/>
      <c r="IH37" s="141"/>
      <c r="II37" s="141"/>
      <c r="IJ37" s="141"/>
      <c r="IK37" s="141"/>
      <c r="IL37" s="141"/>
      <c r="IM37" s="141"/>
      <c r="IN37" s="141"/>
      <c r="IO37" s="141"/>
      <c r="IP37" s="141"/>
      <c r="IQ37" s="141"/>
      <c r="IR37" s="141"/>
      <c r="IS37" s="141"/>
      <c r="IT37" s="141"/>
      <c r="IU37" s="141"/>
      <c r="IV37" s="141"/>
    </row>
    <row r="38" spans="1:256" s="74" customFormat="1" ht="19.5" x14ac:dyDescent="0.35">
      <c r="A38" s="195"/>
      <c r="B38" s="153" t="s">
        <v>188</v>
      </c>
      <c r="C38" s="153" t="s">
        <v>405</v>
      </c>
      <c r="D38" s="123" t="str">
        <f>Rsh/1000&amp;" kΩ"</f>
        <v>205 kΩ</v>
      </c>
      <c r="E38" s="145"/>
      <c r="F38" s="141"/>
      <c r="G38" s="146"/>
      <c r="H38" s="141"/>
      <c r="I38" s="198"/>
      <c r="J38" s="209"/>
      <c r="K38" s="146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141"/>
      <c r="CJ38" s="141"/>
      <c r="CK38" s="141"/>
      <c r="CL38" s="141"/>
      <c r="CM38" s="141"/>
      <c r="CN38" s="141"/>
      <c r="CO38" s="141"/>
      <c r="CP38" s="141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1"/>
      <c r="DJ38" s="141"/>
      <c r="DK38" s="141"/>
      <c r="DL38" s="141"/>
      <c r="DM38" s="141"/>
      <c r="DN38" s="141"/>
      <c r="DO38" s="141"/>
      <c r="DP38" s="141"/>
      <c r="DQ38" s="141"/>
      <c r="DR38" s="141"/>
      <c r="DS38" s="141"/>
      <c r="DT38" s="141"/>
      <c r="DU38" s="141"/>
      <c r="DV38" s="141"/>
      <c r="DW38" s="141"/>
      <c r="DX38" s="141"/>
      <c r="DY38" s="141"/>
      <c r="DZ38" s="141"/>
      <c r="EA38" s="141"/>
      <c r="EB38" s="141"/>
      <c r="EC38" s="141"/>
      <c r="ED38" s="141"/>
      <c r="EE38" s="141"/>
      <c r="EF38" s="141"/>
      <c r="EG38" s="141"/>
      <c r="EH38" s="141"/>
      <c r="EI38" s="141"/>
      <c r="EJ38" s="141"/>
      <c r="EK38" s="141"/>
      <c r="EL38" s="141"/>
      <c r="EM38" s="141"/>
      <c r="EN38" s="141"/>
      <c r="EO38" s="141"/>
      <c r="EP38" s="141"/>
      <c r="EQ38" s="141"/>
      <c r="ER38" s="141"/>
      <c r="ES38" s="141"/>
      <c r="ET38" s="141"/>
      <c r="EU38" s="141"/>
      <c r="EV38" s="141"/>
      <c r="EW38" s="141"/>
      <c r="EX38" s="141"/>
      <c r="EY38" s="141"/>
      <c r="EZ38" s="141"/>
      <c r="FA38" s="141"/>
      <c r="FB38" s="141"/>
      <c r="FC38" s="141"/>
      <c r="FD38" s="141"/>
      <c r="FE38" s="141"/>
      <c r="FF38" s="141"/>
      <c r="FG38" s="141"/>
      <c r="FH38" s="141"/>
      <c r="FI38" s="141"/>
      <c r="FJ38" s="141"/>
      <c r="FK38" s="141"/>
      <c r="FL38" s="141"/>
      <c r="FM38" s="141"/>
      <c r="FN38" s="141"/>
      <c r="FO38" s="141"/>
      <c r="FP38" s="141"/>
      <c r="FQ38" s="141"/>
      <c r="FR38" s="141"/>
      <c r="FS38" s="141"/>
      <c r="FT38" s="141"/>
      <c r="FU38" s="141"/>
      <c r="FV38" s="141"/>
      <c r="FW38" s="141"/>
      <c r="FX38" s="141"/>
      <c r="FY38" s="141"/>
      <c r="FZ38" s="141"/>
      <c r="GA38" s="141"/>
      <c r="GB38" s="141"/>
      <c r="GC38" s="141"/>
      <c r="GD38" s="141"/>
      <c r="GE38" s="141"/>
      <c r="GF38" s="141"/>
      <c r="GG38" s="141"/>
      <c r="GH38" s="141"/>
      <c r="GI38" s="141"/>
      <c r="GJ38" s="141"/>
      <c r="GK38" s="141"/>
      <c r="GL38" s="141"/>
      <c r="GM38" s="141"/>
      <c r="GN38" s="141"/>
      <c r="GO38" s="141"/>
      <c r="GP38" s="141"/>
      <c r="GQ38" s="141"/>
      <c r="GR38" s="141"/>
      <c r="GS38" s="141"/>
      <c r="GT38" s="141"/>
      <c r="GU38" s="141"/>
      <c r="GV38" s="141"/>
      <c r="GW38" s="141"/>
      <c r="GX38" s="141"/>
      <c r="GY38" s="141"/>
      <c r="GZ38" s="141"/>
      <c r="HA38" s="141"/>
      <c r="HB38" s="141"/>
      <c r="HC38" s="141"/>
      <c r="HD38" s="141"/>
      <c r="HE38" s="141"/>
      <c r="HF38" s="141"/>
      <c r="HG38" s="141"/>
      <c r="HH38" s="141"/>
      <c r="HI38" s="141"/>
      <c r="HJ38" s="141"/>
      <c r="HK38" s="141"/>
      <c r="HL38" s="141"/>
      <c r="HM38" s="141"/>
      <c r="HN38" s="141"/>
      <c r="HO38" s="141"/>
      <c r="HP38" s="141"/>
      <c r="HQ38" s="141"/>
      <c r="HR38" s="141"/>
      <c r="HS38" s="141"/>
      <c r="HT38" s="141"/>
      <c r="HU38" s="141"/>
      <c r="HV38" s="141"/>
      <c r="HW38" s="141"/>
      <c r="HX38" s="141"/>
      <c r="HY38" s="141"/>
      <c r="HZ38" s="141"/>
      <c r="IA38" s="141"/>
      <c r="IB38" s="141"/>
      <c r="IC38" s="141"/>
      <c r="ID38" s="141"/>
      <c r="IE38" s="141"/>
      <c r="IF38" s="141"/>
      <c r="IG38" s="141"/>
      <c r="IH38" s="141"/>
      <c r="II38" s="141"/>
      <c r="IJ38" s="141"/>
      <c r="IK38" s="141"/>
      <c r="IL38" s="141"/>
      <c r="IM38" s="141"/>
      <c r="IN38" s="141"/>
      <c r="IO38" s="141"/>
      <c r="IP38" s="141"/>
      <c r="IQ38" s="141"/>
      <c r="IR38" s="141"/>
      <c r="IS38" s="141"/>
      <c r="IT38" s="141"/>
      <c r="IU38" s="141"/>
      <c r="IV38" s="141"/>
    </row>
    <row r="39" spans="1:256" s="74" customFormat="1" ht="19.5" x14ac:dyDescent="0.35">
      <c r="A39" s="195"/>
      <c r="B39" s="153" t="s">
        <v>452</v>
      </c>
      <c r="C39" s="153" t="s">
        <v>453</v>
      </c>
      <c r="D39" s="123" t="str">
        <f>D153/1000&amp;" kΩ"</f>
        <v>100 kΩ</v>
      </c>
      <c r="E39" s="145"/>
      <c r="F39" s="141"/>
      <c r="G39" s="146"/>
      <c r="H39" s="141"/>
      <c r="I39" s="198"/>
      <c r="J39" s="209"/>
      <c r="K39" s="146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/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  <c r="DQ39" s="141"/>
      <c r="DR39" s="141"/>
      <c r="DS39" s="141"/>
      <c r="DT39" s="141"/>
      <c r="DU39" s="141"/>
      <c r="DV39" s="141"/>
      <c r="DW39" s="141"/>
      <c r="DX39" s="141"/>
      <c r="DY39" s="141"/>
      <c r="DZ39" s="141"/>
      <c r="EA39" s="141"/>
      <c r="EB39" s="141"/>
      <c r="EC39" s="141"/>
      <c r="ED39" s="141"/>
      <c r="EE39" s="141"/>
      <c r="EF39" s="141"/>
      <c r="EG39" s="141"/>
      <c r="EH39" s="141"/>
      <c r="EI39" s="141"/>
      <c r="EJ39" s="141"/>
      <c r="EK39" s="141"/>
      <c r="EL39" s="141"/>
      <c r="EM39" s="141"/>
      <c r="EN39" s="141"/>
      <c r="EO39" s="141"/>
      <c r="EP39" s="141"/>
      <c r="EQ39" s="141"/>
      <c r="ER39" s="141"/>
      <c r="ES39" s="141"/>
      <c r="ET39" s="141"/>
      <c r="EU39" s="141"/>
      <c r="EV39" s="141"/>
      <c r="EW39" s="141"/>
      <c r="EX39" s="141"/>
      <c r="EY39" s="141"/>
      <c r="EZ39" s="141"/>
      <c r="FA39" s="141"/>
      <c r="FB39" s="141"/>
      <c r="FC39" s="141"/>
      <c r="FD39" s="141"/>
      <c r="FE39" s="141"/>
      <c r="FF39" s="141"/>
      <c r="FG39" s="141"/>
      <c r="FH39" s="141"/>
      <c r="FI39" s="141"/>
      <c r="FJ39" s="141"/>
      <c r="FK39" s="141"/>
      <c r="FL39" s="141"/>
      <c r="FM39" s="141"/>
      <c r="FN39" s="141"/>
      <c r="FO39" s="141"/>
      <c r="FP39" s="141"/>
      <c r="FQ39" s="141"/>
      <c r="FR39" s="141"/>
      <c r="FS39" s="141"/>
      <c r="FT39" s="141"/>
      <c r="FU39" s="141"/>
      <c r="FV39" s="141"/>
      <c r="FW39" s="141"/>
      <c r="FX39" s="141"/>
      <c r="FY39" s="141"/>
      <c r="FZ39" s="141"/>
      <c r="GA39" s="141"/>
      <c r="GB39" s="141"/>
      <c r="GC39" s="141"/>
      <c r="GD39" s="141"/>
      <c r="GE39" s="141"/>
      <c r="GF39" s="141"/>
      <c r="GG39" s="141"/>
      <c r="GH39" s="141"/>
      <c r="GI39" s="141"/>
      <c r="GJ39" s="141"/>
      <c r="GK39" s="141"/>
      <c r="GL39" s="141"/>
      <c r="GM39" s="141"/>
      <c r="GN39" s="141"/>
      <c r="GO39" s="141"/>
      <c r="GP39" s="141"/>
      <c r="GQ39" s="141"/>
      <c r="GR39" s="141"/>
      <c r="GS39" s="141"/>
      <c r="GT39" s="141"/>
      <c r="GU39" s="141"/>
      <c r="GV39" s="141"/>
      <c r="GW39" s="141"/>
      <c r="GX39" s="141"/>
      <c r="GY39" s="141"/>
      <c r="GZ39" s="141"/>
      <c r="HA39" s="141"/>
      <c r="HB39" s="141"/>
      <c r="HC39" s="141"/>
      <c r="HD39" s="141"/>
      <c r="HE39" s="141"/>
      <c r="HF39" s="141"/>
      <c r="HG39" s="141"/>
      <c r="HH39" s="141"/>
      <c r="HI39" s="141"/>
      <c r="HJ39" s="141"/>
      <c r="HK39" s="141"/>
      <c r="HL39" s="141"/>
      <c r="HM39" s="141"/>
      <c r="HN39" s="141"/>
      <c r="HO39" s="141"/>
      <c r="HP39" s="141"/>
      <c r="HQ39" s="141"/>
      <c r="HR39" s="141"/>
      <c r="HS39" s="141"/>
      <c r="HT39" s="141"/>
      <c r="HU39" s="141"/>
      <c r="HV39" s="141"/>
      <c r="HW39" s="141"/>
      <c r="HX39" s="141"/>
      <c r="HY39" s="141"/>
      <c r="HZ39" s="141"/>
      <c r="IA39" s="141"/>
      <c r="IB39" s="141"/>
      <c r="IC39" s="141"/>
      <c r="ID39" s="141"/>
      <c r="IE39" s="141"/>
      <c r="IF39" s="141"/>
      <c r="IG39" s="141"/>
      <c r="IH39" s="141"/>
      <c r="II39" s="141"/>
      <c r="IJ39" s="141"/>
      <c r="IK39" s="141"/>
      <c r="IL39" s="141"/>
      <c r="IM39" s="141"/>
      <c r="IN39" s="141"/>
      <c r="IO39" s="141"/>
      <c r="IP39" s="141"/>
      <c r="IQ39" s="141"/>
      <c r="IR39" s="141"/>
      <c r="IS39" s="141"/>
      <c r="IT39" s="141"/>
      <c r="IU39" s="141"/>
      <c r="IV39" s="141"/>
    </row>
    <row r="40" spans="1:256" ht="15" x14ac:dyDescent="0.25">
      <c r="A40" s="198"/>
      <c r="B40" s="119" t="s">
        <v>120</v>
      </c>
      <c r="C40" s="118" t="s">
        <v>24</v>
      </c>
      <c r="D40" s="255" t="s">
        <v>9</v>
      </c>
      <c r="E40" s="256"/>
      <c r="F40" s="257"/>
      <c r="G40" s="118" t="s">
        <v>8</v>
      </c>
      <c r="H40" s="126" t="s">
        <v>422</v>
      </c>
      <c r="I40" s="210"/>
      <c r="J40" s="202"/>
      <c r="M40" s="147"/>
    </row>
    <row r="41" spans="1:256" x14ac:dyDescent="0.2">
      <c r="A41" s="195"/>
      <c r="B41" s="156"/>
      <c r="C41" s="157"/>
      <c r="D41" s="157"/>
      <c r="E41" s="157"/>
      <c r="F41" s="141"/>
      <c r="G41" s="156"/>
      <c r="H41" s="155"/>
      <c r="I41" s="211"/>
      <c r="J41" s="202"/>
      <c r="M41" s="147"/>
    </row>
    <row r="42" spans="1:256" x14ac:dyDescent="0.2">
      <c r="A42" s="195"/>
      <c r="B42" s="258" t="s">
        <v>36</v>
      </c>
      <c r="C42" s="258"/>
      <c r="D42" s="158"/>
      <c r="E42" s="158"/>
      <c r="F42" s="159"/>
      <c r="G42" s="160"/>
      <c r="H42" s="161"/>
      <c r="I42" s="211"/>
      <c r="J42" s="202"/>
      <c r="M42" s="147"/>
    </row>
    <row r="43" spans="1:256" x14ac:dyDescent="0.2">
      <c r="A43" s="195"/>
      <c r="B43" s="175"/>
      <c r="C43" s="131" t="s">
        <v>198</v>
      </c>
      <c r="D43" s="92">
        <f>MIN(1-toffmin*fsw,95)</f>
        <v>0.8125</v>
      </c>
      <c r="E43" s="92">
        <f>tonmin*fsw</f>
        <v>7.4999999999999997E-2</v>
      </c>
      <c r="F43" s="133"/>
      <c r="G43" s="130"/>
      <c r="H43" s="176" t="s">
        <v>432</v>
      </c>
      <c r="I43" s="211"/>
      <c r="J43" s="202"/>
      <c r="M43" s="147"/>
    </row>
    <row r="44" spans="1:256" x14ac:dyDescent="0.2">
      <c r="A44" s="195"/>
      <c r="B44" s="177">
        <v>11</v>
      </c>
      <c r="C44" s="131" t="s">
        <v>194</v>
      </c>
      <c r="D44" s="92">
        <f>(Vout-Vin_Nom)/(Vout)</f>
        <v>0.75</v>
      </c>
      <c r="E44" s="133"/>
      <c r="F44" s="133"/>
      <c r="G44" s="178"/>
      <c r="H44" s="133" t="s">
        <v>195</v>
      </c>
      <c r="I44" s="198"/>
      <c r="J44" s="202"/>
    </row>
    <row r="45" spans="1:256" x14ac:dyDescent="0.2">
      <c r="A45" s="195"/>
      <c r="B45" s="177">
        <v>11</v>
      </c>
      <c r="C45" s="131" t="s">
        <v>302</v>
      </c>
      <c r="D45" s="92">
        <f>(Vout-Vin_Min)/(Vout)</f>
        <v>0.79166666666666663</v>
      </c>
      <c r="E45" s="133"/>
      <c r="F45" s="133"/>
      <c r="G45" s="178"/>
      <c r="H45" s="133" t="s">
        <v>196</v>
      </c>
      <c r="I45" s="198"/>
      <c r="J45" s="202"/>
    </row>
    <row r="46" spans="1:256" x14ac:dyDescent="0.2">
      <c r="A46" s="195"/>
      <c r="B46" s="177">
        <v>11</v>
      </c>
      <c r="C46" s="131" t="s">
        <v>303</v>
      </c>
      <c r="D46" s="92">
        <f>(Vout-Vin_Max)/(Vout)</f>
        <v>0.73749999999999993</v>
      </c>
      <c r="E46" s="133"/>
      <c r="F46" s="133"/>
      <c r="G46" s="178"/>
      <c r="H46" s="133" t="s">
        <v>197</v>
      </c>
      <c r="I46" s="198"/>
      <c r="J46" s="202"/>
    </row>
    <row r="47" spans="1:256" x14ac:dyDescent="0.2">
      <c r="A47" s="195"/>
      <c r="B47" s="177" t="s">
        <v>344</v>
      </c>
      <c r="C47" s="131" t="s">
        <v>334</v>
      </c>
      <c r="D47" s="116">
        <f>Dmin/tonmin</f>
        <v>7375000</v>
      </c>
      <c r="E47" s="116">
        <f>(1-Dmax)/(toffmin)</f>
        <v>833333.33333333349</v>
      </c>
      <c r="F47" s="133"/>
      <c r="G47" s="178" t="s">
        <v>5</v>
      </c>
      <c r="H47" s="133" t="s">
        <v>433</v>
      </c>
      <c r="I47" s="198"/>
      <c r="J47" s="202"/>
    </row>
    <row r="48" spans="1:256" x14ac:dyDescent="0.2">
      <c r="A48" s="195"/>
      <c r="B48" s="177">
        <v>14</v>
      </c>
      <c r="C48" s="131" t="s">
        <v>434</v>
      </c>
      <c r="D48" s="95">
        <f>57500/(fsw/1000)*1000</f>
        <v>76666.666666666672</v>
      </c>
      <c r="E48" s="94">
        <f>(IF((10^(LOG(D48)-INT(LOG(D48)))*100)-VLOOKUP((10^(LOG(D48)-INT(LOG(D48)))*100),E96_s:E96_f,1)&lt;VLOOKUP((10^(LOG(D48)-INT(LOG(D48)))*100),E96_s:E96_f,2)-(10^(LOG(D48)-INT(LOG(D48)))*100),VLOOKUP((10^(LOG(D48)-INT(LOG(D48)))*100),E96_s:E96_f,1),VLOOKUP((10^(LOG(D48)-INT(LOG(D48)))*100),E96_s:E96_f,2)))*10^INT(LOG(D48))/100</f>
        <v>76800</v>
      </c>
      <c r="F48" s="133"/>
      <c r="G48" s="178" t="s">
        <v>29</v>
      </c>
      <c r="H48" s="133" t="s">
        <v>264</v>
      </c>
      <c r="I48" s="198"/>
      <c r="J48" s="202"/>
      <c r="M48" s="147"/>
    </row>
    <row r="49" spans="1:41" x14ac:dyDescent="0.2">
      <c r="A49" s="195"/>
      <c r="B49" s="177"/>
      <c r="C49" s="131" t="s">
        <v>435</v>
      </c>
      <c r="D49" s="93">
        <f>E48</f>
        <v>76800</v>
      </c>
      <c r="E49" s="219"/>
      <c r="F49" s="133"/>
      <c r="G49" s="178" t="s">
        <v>29</v>
      </c>
      <c r="H49" s="133" t="s">
        <v>107</v>
      </c>
      <c r="I49" s="198"/>
      <c r="J49" s="202"/>
      <c r="M49" s="147"/>
    </row>
    <row r="50" spans="1:41" x14ac:dyDescent="0.2">
      <c r="A50" s="195"/>
      <c r="B50" s="156"/>
      <c r="C50" s="141"/>
      <c r="D50" s="141"/>
      <c r="E50" s="162"/>
      <c r="F50" s="163"/>
      <c r="G50" s="145"/>
      <c r="H50" s="141"/>
      <c r="I50" s="198"/>
      <c r="J50" s="202"/>
    </row>
    <row r="51" spans="1:41" x14ac:dyDescent="0.2">
      <c r="A51" s="195"/>
      <c r="B51" s="258" t="s">
        <v>111</v>
      </c>
      <c r="C51" s="258"/>
      <c r="D51" s="158"/>
      <c r="E51" s="158"/>
      <c r="F51" s="158"/>
      <c r="G51" s="164"/>
      <c r="H51" s="158"/>
      <c r="I51" s="212"/>
      <c r="J51" s="213"/>
      <c r="M51" s="157"/>
      <c r="N51" s="157"/>
      <c r="AO51" s="165"/>
    </row>
    <row r="52" spans="1:41" x14ac:dyDescent="0.2">
      <c r="A52" s="195"/>
      <c r="B52" s="177">
        <v>15</v>
      </c>
      <c r="C52" s="131" t="s">
        <v>317</v>
      </c>
      <c r="D52" s="115">
        <f>Iout/(1-Dmax)</f>
        <v>4.7999999999999989</v>
      </c>
      <c r="E52" s="133"/>
      <c r="F52" s="146"/>
      <c r="G52" s="178" t="s">
        <v>2</v>
      </c>
      <c r="H52" s="133" t="s">
        <v>343</v>
      </c>
      <c r="I52" s="198"/>
      <c r="J52" s="202"/>
    </row>
    <row r="53" spans="1:41" x14ac:dyDescent="0.2">
      <c r="A53" s="195"/>
      <c r="B53" s="177"/>
      <c r="C53" s="131" t="s">
        <v>4</v>
      </c>
      <c r="D53" s="84">
        <v>0.3</v>
      </c>
      <c r="E53" s="133"/>
      <c r="F53" s="133"/>
      <c r="G53" s="178"/>
      <c r="H53" s="133" t="s">
        <v>110</v>
      </c>
      <c r="I53" s="198"/>
      <c r="J53" s="202"/>
    </row>
    <row r="54" spans="1:41" x14ac:dyDescent="0.2">
      <c r="A54" s="195"/>
      <c r="B54" s="177"/>
      <c r="C54" s="131" t="s">
        <v>312</v>
      </c>
      <c r="D54" s="115">
        <f>Iout/(1-Dmax)*Kind</f>
        <v>1.4399999999999997</v>
      </c>
      <c r="E54" s="133"/>
      <c r="F54" s="133"/>
      <c r="G54" s="178" t="s">
        <v>2</v>
      </c>
      <c r="H54" s="133" t="s">
        <v>309</v>
      </c>
      <c r="I54" s="198"/>
      <c r="J54" s="202"/>
    </row>
    <row r="55" spans="1:41" x14ac:dyDescent="0.2">
      <c r="A55" s="195"/>
      <c r="B55" s="177">
        <v>17</v>
      </c>
      <c r="C55" s="131" t="s">
        <v>306</v>
      </c>
      <c r="D55" s="81">
        <f>Vin_Max*Dmin/(fsw*Iout/(1-Dmax)*Kind)</f>
        <v>4.302083333333334E-6</v>
      </c>
      <c r="E55" s="133"/>
      <c r="F55" s="133"/>
      <c r="G55" s="178" t="s">
        <v>6</v>
      </c>
      <c r="H55" s="176" t="s">
        <v>454</v>
      </c>
      <c r="I55" s="214"/>
      <c r="J55" s="202"/>
      <c r="M55" s="147"/>
    </row>
    <row r="56" spans="1:41" x14ac:dyDescent="0.2">
      <c r="A56" s="195"/>
      <c r="B56" s="177">
        <v>17</v>
      </c>
      <c r="C56" s="131" t="s">
        <v>307</v>
      </c>
      <c r="D56" s="81">
        <f>Vin_Min*Dmax/(fsw*Iout/(1-Dmax)*Kind)</f>
        <v>3.665123456790124E-6</v>
      </c>
      <c r="E56" s="133"/>
      <c r="F56" s="133"/>
      <c r="G56" s="178" t="s">
        <v>6</v>
      </c>
      <c r="H56" s="176" t="s">
        <v>455</v>
      </c>
      <c r="I56" s="214"/>
      <c r="J56" s="202"/>
      <c r="M56" s="147"/>
    </row>
    <row r="57" spans="1:41" x14ac:dyDescent="0.2">
      <c r="A57" s="195"/>
      <c r="B57" s="177">
        <v>16</v>
      </c>
      <c r="C57" s="131" t="s">
        <v>308</v>
      </c>
      <c r="D57" s="81" t="str">
        <f>IF(Dmax&lt;50%,"n/a",IF(Dmin&gt;50%,"n/a",Vout/(4*fsw*Iout/(1-Dmax)*Kind)))</f>
        <v>n/a</v>
      </c>
      <c r="E57" s="133"/>
      <c r="F57" s="133"/>
      <c r="G57" s="178" t="s">
        <v>6</v>
      </c>
      <c r="H57" s="176" t="s">
        <v>456</v>
      </c>
      <c r="I57" s="214"/>
      <c r="J57" s="202"/>
      <c r="M57" s="147"/>
    </row>
    <row r="58" spans="1:41" x14ac:dyDescent="0.2">
      <c r="A58" s="195"/>
      <c r="B58" s="177"/>
      <c r="C58" s="131" t="s">
        <v>436</v>
      </c>
      <c r="D58" s="93">
        <v>4.6999999999999999E-6</v>
      </c>
      <c r="E58" s="134"/>
      <c r="F58" s="133"/>
      <c r="G58" s="178" t="s">
        <v>6</v>
      </c>
      <c r="H58" s="176" t="s">
        <v>438</v>
      </c>
      <c r="I58" s="214"/>
      <c r="J58" s="202"/>
      <c r="M58" s="147"/>
    </row>
    <row r="59" spans="1:41" x14ac:dyDescent="0.2">
      <c r="A59" s="195"/>
      <c r="B59" s="177"/>
      <c r="C59" s="131" t="s">
        <v>27</v>
      </c>
      <c r="D59" s="100">
        <v>1.95E-2</v>
      </c>
      <c r="E59" s="133"/>
      <c r="F59" s="133"/>
      <c r="G59" s="178" t="s">
        <v>29</v>
      </c>
      <c r="H59" s="133" t="s">
        <v>437</v>
      </c>
      <c r="I59" s="198"/>
      <c r="J59" s="202"/>
    </row>
    <row r="60" spans="1:41" x14ac:dyDescent="0.2">
      <c r="A60" s="195"/>
      <c r="B60" s="177"/>
      <c r="C60" s="179" t="s">
        <v>202</v>
      </c>
      <c r="D60" s="83">
        <f>Vin_Min*Dmax/(L*fsw)</f>
        <v>1.1229314420803782</v>
      </c>
      <c r="E60" s="83">
        <f>Vin_Nom*Dnom/(L*fsw)</f>
        <v>1.2765957446808511</v>
      </c>
      <c r="F60" s="83">
        <f>Vin_Max*Dmin/(L*fsw)</f>
        <v>1.3180851063829786</v>
      </c>
      <c r="G60" s="178" t="s">
        <v>2</v>
      </c>
      <c r="H60" s="133" t="s">
        <v>118</v>
      </c>
      <c r="I60" s="198"/>
      <c r="J60" s="202"/>
    </row>
    <row r="61" spans="1:41" x14ac:dyDescent="0.2">
      <c r="A61" s="195"/>
      <c r="B61" s="177">
        <v>48</v>
      </c>
      <c r="C61" s="131" t="s">
        <v>30</v>
      </c>
      <c r="D61" s="83">
        <f>((Vout-Vin_Min)*Vin_Min^2)/(2*(Vout)^2*fsw*L)</f>
        <v>0.11697202521670608</v>
      </c>
      <c r="E61" s="83">
        <f>((Vout-Vin_Nom)*Vin_Nom^2)/(2*(Vout)^2*fsw*L)</f>
        <v>0.15957446808510639</v>
      </c>
      <c r="F61" s="83">
        <f>((Vout-Vin_Max)*Vin_Max^2)/(2*(Vout)^2*fsw*L)</f>
        <v>0.17299867021276594</v>
      </c>
      <c r="G61" s="178" t="s">
        <v>2</v>
      </c>
      <c r="H61" s="133" t="s">
        <v>345</v>
      </c>
      <c r="I61" s="215"/>
      <c r="J61" s="202"/>
      <c r="M61" s="162"/>
    </row>
    <row r="62" spans="1:41" x14ac:dyDescent="0.2">
      <c r="A62" s="195"/>
      <c r="B62" s="177"/>
      <c r="C62" s="131" t="s">
        <v>338</v>
      </c>
      <c r="D62" s="83">
        <f>Vin_Min^2*fsw*tonmin^2/(2*L*(Vout-Vin_Min))</f>
        <v>1.0498320268756997E-3</v>
      </c>
      <c r="E62" s="83">
        <f>Vin_Nom^2*fsw*tonmin^2/(2*L*(Vout-Vin_Nom))</f>
        <v>1.5957446808510635E-3</v>
      </c>
      <c r="F62" s="83">
        <f>Vin_Max^2*fsw*tonmin^2/(2*L*(Vout-Vin_Max))</f>
        <v>1.7891272989542012E-3</v>
      </c>
      <c r="G62" s="178" t="s">
        <v>2</v>
      </c>
      <c r="H62" s="133" t="s">
        <v>346</v>
      </c>
      <c r="I62" s="215"/>
      <c r="J62" s="202"/>
      <c r="M62" s="162"/>
    </row>
    <row r="63" spans="1:41" x14ac:dyDescent="0.2">
      <c r="A63" s="195"/>
      <c r="B63" s="177">
        <v>18</v>
      </c>
      <c r="C63" s="131" t="s">
        <v>203</v>
      </c>
      <c r="D63" s="83">
        <f>(SQRT((Iout/(1-Dmax))^2+(Iripple/12)^2))</f>
        <v>4.8009120769909233</v>
      </c>
      <c r="E63" s="83">
        <f>(SQRT((Iout/(1-Dnom))^2+(E60/12)^2))</f>
        <v>4.0014144171982569</v>
      </c>
      <c r="F63" s="83">
        <f>(SQRT((Iout/(1-Dmin))^2+(F60/12)^2))</f>
        <v>3.8111070011756194</v>
      </c>
      <c r="G63" s="178" t="s">
        <v>2</v>
      </c>
      <c r="H63" s="135" t="s">
        <v>63</v>
      </c>
      <c r="I63" s="215"/>
      <c r="J63" s="202"/>
    </row>
    <row r="64" spans="1:41" x14ac:dyDescent="0.2">
      <c r="A64" s="195"/>
      <c r="B64" s="177">
        <v>19</v>
      </c>
      <c r="C64" s="131" t="s">
        <v>204</v>
      </c>
      <c r="D64" s="83">
        <f>Iout/(1-Dmax)+Iripple/2</f>
        <v>5.3614657210401884</v>
      </c>
      <c r="E64" s="83">
        <f>1.2*Ilpeak</f>
        <v>6.433758865248226</v>
      </c>
      <c r="F64" s="133"/>
      <c r="G64" s="178" t="s">
        <v>2</v>
      </c>
      <c r="H64" s="133" t="s">
        <v>119</v>
      </c>
      <c r="I64" s="215"/>
      <c r="J64" s="202"/>
      <c r="M64" s="162"/>
    </row>
    <row r="65" spans="1:41" x14ac:dyDescent="0.2">
      <c r="A65" s="195"/>
      <c r="B65" s="177"/>
      <c r="C65" s="131" t="s">
        <v>205</v>
      </c>
      <c r="D65" s="83">
        <f>Ilrms^2*DCR</f>
        <v>0.44945075703444737</v>
      </c>
      <c r="E65" s="83">
        <f>E63^2*DCR</f>
        <v>0.31222068809416026</v>
      </c>
      <c r="F65" s="83">
        <f>F63^2*DCR</f>
        <v>0.28322846320099154</v>
      </c>
      <c r="G65" s="178" t="s">
        <v>12</v>
      </c>
      <c r="H65" s="133" t="s">
        <v>347</v>
      </c>
      <c r="I65" s="198"/>
      <c r="J65" s="202"/>
    </row>
    <row r="66" spans="1:41" x14ac:dyDescent="0.2">
      <c r="A66" s="195"/>
      <c r="B66" s="148"/>
      <c r="C66" s="149"/>
      <c r="D66" s="162"/>
      <c r="E66" s="162"/>
      <c r="F66" s="162"/>
      <c r="G66" s="145"/>
      <c r="H66" s="141"/>
      <c r="I66" s="198"/>
      <c r="J66" s="202"/>
    </row>
    <row r="67" spans="1:41" x14ac:dyDescent="0.2">
      <c r="A67" s="195"/>
      <c r="B67" s="258" t="s">
        <v>407</v>
      </c>
      <c r="C67" s="258"/>
      <c r="D67" s="158"/>
      <c r="E67" s="158"/>
      <c r="F67" s="158"/>
      <c r="G67" s="164"/>
      <c r="H67" s="158"/>
      <c r="I67" s="212"/>
      <c r="J67" s="213"/>
      <c r="M67" s="157"/>
      <c r="N67" s="157"/>
      <c r="AO67" s="165"/>
    </row>
    <row r="68" spans="1:41" x14ac:dyDescent="0.2">
      <c r="A68" s="195"/>
      <c r="B68" s="177">
        <v>20</v>
      </c>
      <c r="C68" s="131" t="s">
        <v>337</v>
      </c>
      <c r="D68" s="83">
        <f>(0.000003*(Dmax*100)^3 - 0.0019*(Dmax*100)^2 + 0.023*(Dmax*100) + 73.402)/1000</f>
        <v>6.4803345486111108E-2</v>
      </c>
      <c r="E68" s="83">
        <f>(0.000003*(Dnom*100)^3 - 0.0019*(Dnom*100)^2 + 0.023*(Dnom*100) + 73.402)/1000</f>
        <v>6.5705124999999989E-2</v>
      </c>
      <c r="F68" s="83">
        <f>(0.000003*(Dmin*100)^3 - 0.0019*(Dmin*100)^2 + 0.023*(Dmin*100) + 73.402)/1000</f>
        <v>6.596742382812501E-2</v>
      </c>
      <c r="G68" s="178" t="s">
        <v>3</v>
      </c>
      <c r="H68" s="133" t="s">
        <v>349</v>
      </c>
      <c r="I68" s="198"/>
      <c r="J68" s="202"/>
    </row>
    <row r="69" spans="1:41" x14ac:dyDescent="0.2">
      <c r="A69" s="195"/>
      <c r="B69" s="177"/>
      <c r="C69" s="131" t="s">
        <v>199</v>
      </c>
      <c r="D69" s="83">
        <f>((0.000003*Dmax*100^3 - 0.0019*Dmax*100^2 + 0.023*Dmax*100 + 73.402)-10)/1000</f>
        <v>5.2556166666666668E-2</v>
      </c>
      <c r="E69" s="83">
        <f>((0.000003*Dnom*100^3 - 0.0019*Dnom*100^2 + 0.023*Dnom*100 + 73.402)-10)/1000</f>
        <v>5.3127000000000001E-2</v>
      </c>
      <c r="F69" s="83">
        <f>((0.000003*(Dmin*100)^3 - 0.0019*(Dmin*100)^2 + 0.023*(Dmin*100) + 73.402)-10)/1000</f>
        <v>5.5967423828125008E-2</v>
      </c>
      <c r="G69" s="178" t="s">
        <v>3</v>
      </c>
      <c r="H69" s="133" t="s">
        <v>350</v>
      </c>
      <c r="I69" s="198"/>
      <c r="J69" s="202"/>
    </row>
    <row r="70" spans="1:41" x14ac:dyDescent="0.2">
      <c r="A70" s="195"/>
      <c r="B70" s="177">
        <v>21</v>
      </c>
      <c r="C70" s="131" t="s">
        <v>200</v>
      </c>
      <c r="D70" s="81">
        <f>Vcs/(1.2*Ilpeak)</f>
        <v>8.168812006702237E-3</v>
      </c>
      <c r="E70" s="134"/>
      <c r="F70" s="139"/>
      <c r="G70" s="178" t="s">
        <v>29</v>
      </c>
      <c r="H70" s="133" t="s">
        <v>353</v>
      </c>
      <c r="I70" s="212"/>
      <c r="J70" s="213"/>
      <c r="M70" s="157"/>
      <c r="N70" s="157"/>
    </row>
    <row r="71" spans="1:41" x14ac:dyDescent="0.2">
      <c r="A71" s="195"/>
      <c r="B71" s="177"/>
      <c r="C71" s="131" t="s">
        <v>439</v>
      </c>
      <c r="D71" s="100">
        <v>5.0000000000000001E-3</v>
      </c>
      <c r="E71" s="134"/>
      <c r="F71" s="180"/>
      <c r="G71" s="178" t="s">
        <v>29</v>
      </c>
      <c r="H71" s="133" t="s">
        <v>207</v>
      </c>
      <c r="I71" s="212"/>
      <c r="J71" s="213"/>
      <c r="M71" s="157"/>
      <c r="N71" s="157"/>
    </row>
    <row r="72" spans="1:41" x14ac:dyDescent="0.2">
      <c r="A72" s="195"/>
      <c r="B72" s="177">
        <v>22</v>
      </c>
      <c r="C72" s="131" t="s">
        <v>201</v>
      </c>
      <c r="D72" s="83">
        <f>(Vcs0duty_max)^2/Rsense</f>
        <v>1.3448000000000002</v>
      </c>
      <c r="E72" s="134"/>
      <c r="F72" s="138"/>
      <c r="G72" s="178" t="s">
        <v>12</v>
      </c>
      <c r="H72" s="133" t="s">
        <v>206</v>
      </c>
      <c r="I72" s="212"/>
      <c r="J72" s="213"/>
      <c r="M72" s="157"/>
      <c r="N72" s="157"/>
    </row>
    <row r="73" spans="1:41" x14ac:dyDescent="0.2">
      <c r="A73" s="195"/>
      <c r="B73" s="131"/>
      <c r="C73" s="131" t="s">
        <v>328</v>
      </c>
      <c r="D73" s="83">
        <f>(Vcs/Rsense)</f>
        <v>10.511233333333333</v>
      </c>
      <c r="E73" s="83">
        <f>(E69)/Rsense</f>
        <v>10.625399999999999</v>
      </c>
      <c r="F73" s="83">
        <f>(F69)/Rsense</f>
        <v>11.193484765625001</v>
      </c>
      <c r="G73" s="178" t="s">
        <v>2</v>
      </c>
      <c r="H73" s="133" t="s">
        <v>332</v>
      </c>
      <c r="I73" s="212"/>
      <c r="J73" s="213"/>
      <c r="M73" s="157"/>
      <c r="N73" s="157"/>
    </row>
    <row r="74" spans="1:41" x14ac:dyDescent="0.2">
      <c r="A74" s="195"/>
      <c r="B74" s="177"/>
      <c r="C74" s="131" t="s">
        <v>324</v>
      </c>
      <c r="D74" s="83">
        <f>(D68)/Rsense</f>
        <v>12.960669097222221</v>
      </c>
      <c r="E74" s="83">
        <f>(E68)/Rsense</f>
        <v>13.141024999999997</v>
      </c>
      <c r="F74" s="83">
        <f>(F68)/Rsense</f>
        <v>13.193484765625001</v>
      </c>
      <c r="G74" s="178" t="s">
        <v>2</v>
      </c>
      <c r="H74" s="133" t="s">
        <v>325</v>
      </c>
      <c r="I74" s="212"/>
      <c r="J74" s="213"/>
      <c r="M74" s="157"/>
      <c r="N74" s="157"/>
    </row>
    <row r="75" spans="1:41" x14ac:dyDescent="0.2">
      <c r="A75" s="195"/>
      <c r="B75" s="131"/>
      <c r="C75" s="131" t="s">
        <v>333</v>
      </c>
      <c r="D75" s="120">
        <v>0.93</v>
      </c>
      <c r="E75" s="120">
        <v>0.96</v>
      </c>
      <c r="F75" s="120">
        <v>0.97</v>
      </c>
      <c r="G75" s="178"/>
      <c r="H75" s="133" t="s">
        <v>333</v>
      </c>
      <c r="I75" s="212"/>
      <c r="J75" s="213"/>
      <c r="M75" s="157"/>
      <c r="N75" s="157"/>
    </row>
    <row r="76" spans="1:41" x14ac:dyDescent="0.2">
      <c r="A76" s="195"/>
      <c r="B76" s="131"/>
      <c r="C76" s="131" t="s">
        <v>326</v>
      </c>
      <c r="D76" s="83">
        <f>(D73-Iripple/2)*(1-Dmax)*D75</f>
        <v>1.9277674748817968</v>
      </c>
      <c r="E76" s="83">
        <f>(E73-E60/2)*(1-Dnom)*E75</f>
        <v>2.3969045106382976</v>
      </c>
      <c r="F76" s="83">
        <f>(F73-F60/2)*(1-Dmin)*F75</f>
        <v>2.6823323483408839</v>
      </c>
      <c r="G76" s="178" t="s">
        <v>2</v>
      </c>
      <c r="H76" s="133" t="s">
        <v>352</v>
      </c>
      <c r="I76" s="198"/>
      <c r="J76" s="202"/>
    </row>
    <row r="77" spans="1:41" x14ac:dyDescent="0.2">
      <c r="A77" s="195"/>
      <c r="B77" s="177"/>
      <c r="C77" s="131" t="s">
        <v>326</v>
      </c>
      <c r="D77" s="83">
        <f>(D74-Iripple/2)*(1-Dmax)*D75</f>
        <v>2.4023456541352695</v>
      </c>
      <c r="E77" s="83">
        <f>(E74-E60/2)*(1-Dnom)*E75</f>
        <v>3.0006545106382974</v>
      </c>
      <c r="F77" s="83">
        <f>(F74-F60/2)*(1-Dmin)*F75</f>
        <v>3.1915823483408841</v>
      </c>
      <c r="G77" s="178" t="s">
        <v>2</v>
      </c>
      <c r="H77" s="133" t="s">
        <v>351</v>
      </c>
      <c r="I77" s="198"/>
      <c r="J77" s="202"/>
    </row>
    <row r="78" spans="1:41" x14ac:dyDescent="0.2">
      <c r="A78" s="195"/>
      <c r="B78" s="148"/>
      <c r="C78" s="141"/>
      <c r="D78" s="162"/>
      <c r="E78" s="162"/>
      <c r="F78" s="141"/>
      <c r="G78" s="145"/>
      <c r="H78" s="141"/>
      <c r="I78" s="198"/>
      <c r="J78" s="202"/>
    </row>
    <row r="79" spans="1:41" x14ac:dyDescent="0.2">
      <c r="A79" s="195"/>
      <c r="B79" s="258" t="s">
        <v>113</v>
      </c>
      <c r="C79" s="258"/>
      <c r="D79" s="158"/>
      <c r="E79" s="158"/>
      <c r="F79" s="158"/>
      <c r="G79" s="164"/>
      <c r="H79" s="166"/>
      <c r="I79" s="214"/>
      <c r="J79" s="202"/>
      <c r="M79" s="147"/>
    </row>
    <row r="80" spans="1:41" x14ac:dyDescent="0.2">
      <c r="A80" s="195"/>
      <c r="B80" s="177">
        <v>24</v>
      </c>
      <c r="C80" s="131" t="s">
        <v>208</v>
      </c>
      <c r="D80" s="82">
        <f>(Dmax*Iout)/(fsw*Vout_ripple)</f>
        <v>8.7962962962962956E-6</v>
      </c>
      <c r="E80" s="133"/>
      <c r="F80" s="133"/>
      <c r="G80" s="178" t="s">
        <v>7</v>
      </c>
      <c r="H80" s="181" t="s">
        <v>124</v>
      </c>
      <c r="I80" s="198"/>
      <c r="J80" s="202"/>
      <c r="M80" s="147"/>
    </row>
    <row r="81" spans="1:253" x14ac:dyDescent="0.2">
      <c r="A81" s="195"/>
      <c r="B81" s="177">
        <v>23</v>
      </c>
      <c r="C81" s="131" t="s">
        <v>209</v>
      </c>
      <c r="D81" s="82">
        <f>dItran/(2*PI()*Fco_target*dVtran)</f>
        <v>9.3999999999999998E-6</v>
      </c>
      <c r="E81" s="133"/>
      <c r="F81" s="133"/>
      <c r="G81" s="178" t="s">
        <v>7</v>
      </c>
      <c r="H81" s="181" t="s">
        <v>125</v>
      </c>
      <c r="I81" s="198"/>
      <c r="J81" s="202"/>
      <c r="M81" s="147"/>
    </row>
    <row r="82" spans="1:253" x14ac:dyDescent="0.2">
      <c r="A82" s="195"/>
      <c r="B82" s="177"/>
      <c r="C82" s="131" t="s">
        <v>210</v>
      </c>
      <c r="D82" s="83">
        <f>Vout_ripple/Iin_max</f>
        <v>2.5000000000000005E-2</v>
      </c>
      <c r="E82" s="136"/>
      <c r="F82" s="133"/>
      <c r="G82" s="178" t="s">
        <v>29</v>
      </c>
      <c r="H82" s="133" t="s">
        <v>211</v>
      </c>
      <c r="I82" s="198"/>
      <c r="J82" s="202"/>
      <c r="M82" s="147"/>
    </row>
    <row r="83" spans="1:253" x14ac:dyDescent="0.2">
      <c r="A83" s="195"/>
      <c r="B83" s="177"/>
      <c r="C83" s="131" t="s">
        <v>440</v>
      </c>
      <c r="D83" s="93">
        <f>MAX(D80:D81)</f>
        <v>9.3999999999999998E-6</v>
      </c>
      <c r="E83" s="133"/>
      <c r="F83" s="133"/>
      <c r="G83" s="178" t="s">
        <v>7</v>
      </c>
      <c r="H83" s="133" t="s">
        <v>430</v>
      </c>
      <c r="I83" s="198"/>
      <c r="J83" s="202"/>
      <c r="M83" s="147"/>
    </row>
    <row r="84" spans="1:253" x14ac:dyDescent="0.2">
      <c r="A84" s="195"/>
      <c r="B84" s="177"/>
      <c r="C84" s="131" t="s">
        <v>441</v>
      </c>
      <c r="D84" s="87">
        <v>8.5000000000000006E-3</v>
      </c>
      <c r="E84" s="135"/>
      <c r="F84" s="133"/>
      <c r="G84" s="178" t="s">
        <v>29</v>
      </c>
      <c r="H84" s="133" t="s">
        <v>442</v>
      </c>
      <c r="I84" s="198"/>
      <c r="J84" s="202"/>
      <c r="M84" s="147"/>
    </row>
    <row r="85" spans="1:253" x14ac:dyDescent="0.2">
      <c r="A85" s="195"/>
      <c r="B85" s="177"/>
      <c r="C85" s="131" t="s">
        <v>68</v>
      </c>
      <c r="D85" s="83">
        <f>Iout*SQRT(Dmax/(1-Dmax))</f>
        <v>1.9493588689617924</v>
      </c>
      <c r="E85" s="137"/>
      <c r="F85" s="136"/>
      <c r="G85" s="178" t="s">
        <v>2</v>
      </c>
      <c r="H85" s="133" t="s">
        <v>126</v>
      </c>
      <c r="I85" s="198"/>
      <c r="J85" s="202"/>
    </row>
    <row r="86" spans="1:253" x14ac:dyDescent="0.2">
      <c r="A86" s="195"/>
      <c r="B86" s="148"/>
      <c r="C86" s="141"/>
      <c r="D86" s="163"/>
      <c r="E86" s="163"/>
      <c r="F86" s="163"/>
      <c r="G86" s="145"/>
      <c r="H86" s="141"/>
      <c r="I86" s="198"/>
      <c r="J86" s="202"/>
    </row>
    <row r="87" spans="1:253" x14ac:dyDescent="0.2">
      <c r="A87" s="195"/>
      <c r="B87" s="258" t="s">
        <v>406</v>
      </c>
      <c r="C87" s="258"/>
      <c r="D87" s="167"/>
      <c r="E87" s="167"/>
      <c r="F87" s="159"/>
      <c r="G87" s="164"/>
      <c r="H87" s="159"/>
      <c r="I87" s="198"/>
      <c r="J87" s="202"/>
      <c r="M87" s="147"/>
      <c r="Q87" s="147"/>
      <c r="U87" s="147"/>
      <c r="Y87" s="147"/>
      <c r="AC87" s="147"/>
      <c r="AG87" s="147"/>
      <c r="AK87" s="147"/>
      <c r="AO87" s="147"/>
      <c r="AS87" s="147"/>
      <c r="AW87" s="147"/>
      <c r="BA87" s="147"/>
      <c r="BE87" s="147"/>
      <c r="BI87" s="147"/>
      <c r="BM87" s="147"/>
      <c r="BQ87" s="147"/>
      <c r="BU87" s="147"/>
      <c r="BY87" s="147"/>
      <c r="CC87" s="147"/>
      <c r="CG87" s="147"/>
      <c r="CK87" s="147"/>
      <c r="CO87" s="147"/>
      <c r="CS87" s="147"/>
      <c r="CW87" s="147"/>
      <c r="DA87" s="147"/>
      <c r="DE87" s="147"/>
      <c r="DI87" s="147"/>
      <c r="DM87" s="147"/>
      <c r="DQ87" s="147"/>
      <c r="DU87" s="147"/>
      <c r="DY87" s="147"/>
      <c r="EC87" s="147"/>
      <c r="EG87" s="147"/>
      <c r="EK87" s="147"/>
      <c r="EO87" s="147"/>
      <c r="ES87" s="147"/>
      <c r="EW87" s="147"/>
      <c r="FA87" s="147"/>
      <c r="FE87" s="147"/>
      <c r="FI87" s="147"/>
      <c r="FM87" s="147"/>
      <c r="FQ87" s="147"/>
      <c r="FU87" s="147"/>
      <c r="FY87" s="147"/>
      <c r="GC87" s="147"/>
      <c r="GG87" s="147"/>
      <c r="GK87" s="147"/>
      <c r="GO87" s="147"/>
      <c r="GS87" s="147"/>
      <c r="GW87" s="147"/>
      <c r="HA87" s="147"/>
      <c r="HE87" s="147"/>
      <c r="HI87" s="147"/>
      <c r="HM87" s="147"/>
      <c r="HQ87" s="147"/>
      <c r="HU87" s="147"/>
      <c r="HY87" s="147"/>
      <c r="IC87" s="147"/>
      <c r="IG87" s="147"/>
      <c r="IK87" s="147"/>
      <c r="IO87" s="147"/>
      <c r="IS87" s="147"/>
    </row>
    <row r="88" spans="1:253" x14ac:dyDescent="0.2">
      <c r="A88" s="195"/>
      <c r="B88" s="175"/>
      <c r="C88" s="131" t="s">
        <v>365</v>
      </c>
      <c r="D88" s="254" t="s">
        <v>463</v>
      </c>
      <c r="E88" s="136"/>
      <c r="F88" s="133"/>
      <c r="G88" s="178"/>
      <c r="H88" s="133" t="s">
        <v>385</v>
      </c>
      <c r="I88" s="198"/>
      <c r="J88" s="202"/>
      <c r="M88" s="147"/>
      <c r="Q88" s="147"/>
      <c r="U88" s="147"/>
      <c r="Y88" s="147"/>
      <c r="AC88" s="147"/>
      <c r="AG88" s="147"/>
      <c r="AK88" s="147"/>
      <c r="AO88" s="147"/>
      <c r="AS88" s="147"/>
      <c r="AW88" s="147"/>
      <c r="BA88" s="147"/>
      <c r="BE88" s="147"/>
      <c r="BI88" s="147"/>
      <c r="BM88" s="147"/>
      <c r="BQ88" s="147"/>
      <c r="BU88" s="147"/>
      <c r="BY88" s="147"/>
      <c r="CC88" s="147"/>
      <c r="CG88" s="147"/>
      <c r="CK88" s="147"/>
      <c r="CO88" s="147"/>
      <c r="CS88" s="147"/>
      <c r="CW88" s="147"/>
      <c r="DA88" s="147"/>
      <c r="DE88" s="147"/>
      <c r="DI88" s="147"/>
      <c r="DM88" s="147"/>
      <c r="DQ88" s="147"/>
      <c r="DU88" s="147"/>
      <c r="DY88" s="147"/>
      <c r="EC88" s="147"/>
      <c r="EG88" s="147"/>
      <c r="EK88" s="147"/>
      <c r="EO88" s="147"/>
      <c r="ES88" s="147"/>
      <c r="EW88" s="147"/>
      <c r="FA88" s="147"/>
      <c r="FE88" s="147"/>
      <c r="FI88" s="147"/>
      <c r="FM88" s="147"/>
      <c r="FQ88" s="147"/>
      <c r="FU88" s="147"/>
      <c r="FY88" s="147"/>
      <c r="GC88" s="147"/>
      <c r="GG88" s="147"/>
      <c r="GK88" s="147"/>
      <c r="GO88" s="147"/>
      <c r="GS88" s="147"/>
      <c r="GW88" s="147"/>
      <c r="HA88" s="147"/>
      <c r="HE88" s="147"/>
      <c r="HI88" s="147"/>
      <c r="HM88" s="147"/>
      <c r="HQ88" s="147"/>
      <c r="HU88" s="147"/>
      <c r="HY88" s="147"/>
      <c r="IC88" s="147"/>
      <c r="IG88" s="147"/>
      <c r="IK88" s="147"/>
      <c r="IO88" s="147"/>
      <c r="IS88" s="147"/>
    </row>
    <row r="89" spans="1:253" x14ac:dyDescent="0.2">
      <c r="A89" s="195"/>
      <c r="B89" s="175"/>
      <c r="C89" s="131" t="s">
        <v>214</v>
      </c>
      <c r="D89" s="93">
        <v>5.4700000000000003E-9</v>
      </c>
      <c r="E89" s="136"/>
      <c r="F89" s="133"/>
      <c r="G89" s="178" t="s">
        <v>220</v>
      </c>
      <c r="H89" s="133" t="s">
        <v>286</v>
      </c>
      <c r="I89" s="198"/>
      <c r="J89" s="202"/>
      <c r="M89" s="147"/>
      <c r="Q89" s="147"/>
      <c r="U89" s="147"/>
      <c r="Y89" s="147"/>
      <c r="AC89" s="147"/>
      <c r="AG89" s="147"/>
      <c r="AK89" s="147"/>
      <c r="AO89" s="147"/>
      <c r="AS89" s="147"/>
      <c r="AW89" s="147"/>
      <c r="BA89" s="147"/>
      <c r="BE89" s="147"/>
      <c r="BI89" s="147"/>
      <c r="BM89" s="147"/>
      <c r="BQ89" s="147"/>
      <c r="BU89" s="147"/>
      <c r="BY89" s="147"/>
      <c r="CC89" s="147"/>
      <c r="CG89" s="147"/>
      <c r="CK89" s="147"/>
      <c r="CO89" s="147"/>
      <c r="CS89" s="147"/>
      <c r="CW89" s="147"/>
      <c r="DA89" s="147"/>
      <c r="DE89" s="147"/>
      <c r="DI89" s="147"/>
      <c r="DM89" s="147"/>
      <c r="DQ89" s="147"/>
      <c r="DU89" s="147"/>
      <c r="DY89" s="147"/>
      <c r="EC89" s="147"/>
      <c r="EG89" s="147"/>
      <c r="EK89" s="147"/>
      <c r="EO89" s="147"/>
      <c r="ES89" s="147"/>
      <c r="EW89" s="147"/>
      <c r="FA89" s="147"/>
      <c r="FE89" s="147"/>
      <c r="FI89" s="147"/>
      <c r="FM89" s="147"/>
      <c r="FQ89" s="147"/>
      <c r="FU89" s="147"/>
      <c r="FY89" s="147"/>
      <c r="GC89" s="147"/>
      <c r="GG89" s="147"/>
      <c r="GK89" s="147"/>
      <c r="GO89" s="147"/>
      <c r="GS89" s="147"/>
      <c r="GW89" s="147"/>
      <c r="HA89" s="147"/>
      <c r="HE89" s="147"/>
      <c r="HI89" s="147"/>
      <c r="HM89" s="147"/>
      <c r="HQ89" s="147"/>
      <c r="HU89" s="147"/>
      <c r="HY89" s="147"/>
      <c r="IC89" s="147"/>
      <c r="IG89" s="147"/>
      <c r="IK89" s="147"/>
      <c r="IO89" s="147"/>
      <c r="IS89" s="147"/>
    </row>
    <row r="90" spans="1:253" x14ac:dyDescent="0.2">
      <c r="A90" s="195"/>
      <c r="B90" s="175"/>
      <c r="C90" s="131" t="s">
        <v>223</v>
      </c>
      <c r="D90" s="83">
        <f>Qg_ls*fsw</f>
        <v>4.1025000000000002E-3</v>
      </c>
      <c r="E90" s="136"/>
      <c r="F90" s="133"/>
      <c r="G90" s="178" t="s">
        <v>2</v>
      </c>
      <c r="H90" s="133" t="s">
        <v>443</v>
      </c>
      <c r="I90" s="198"/>
      <c r="J90" s="202"/>
      <c r="M90" s="147"/>
      <c r="Q90" s="147"/>
      <c r="U90" s="147"/>
      <c r="Y90" s="147"/>
      <c r="AC90" s="147"/>
      <c r="AG90" s="147"/>
      <c r="AK90" s="147"/>
      <c r="AO90" s="147"/>
      <c r="AS90" s="147"/>
      <c r="AW90" s="147"/>
      <c r="BA90" s="147"/>
      <c r="BE90" s="147"/>
      <c r="BI90" s="147"/>
      <c r="BM90" s="147"/>
      <c r="BQ90" s="147"/>
      <c r="BU90" s="147"/>
      <c r="BY90" s="147"/>
      <c r="CC90" s="147"/>
      <c r="CG90" s="147"/>
      <c r="CK90" s="147"/>
      <c r="CO90" s="147"/>
      <c r="CS90" s="147"/>
      <c r="CW90" s="147"/>
      <c r="DA90" s="147"/>
      <c r="DE90" s="147"/>
      <c r="DI90" s="147"/>
      <c r="DM90" s="147"/>
      <c r="DQ90" s="147"/>
      <c r="DU90" s="147"/>
      <c r="DY90" s="147"/>
      <c r="EC90" s="147"/>
      <c r="EG90" s="147"/>
      <c r="EK90" s="147"/>
      <c r="EO90" s="147"/>
      <c r="ES90" s="147"/>
      <c r="EW90" s="147"/>
      <c r="FA90" s="147"/>
      <c r="FE90" s="147"/>
      <c r="FI90" s="147"/>
      <c r="FM90" s="147"/>
      <c r="FQ90" s="147"/>
      <c r="FU90" s="147"/>
      <c r="FY90" s="147"/>
      <c r="GC90" s="147"/>
      <c r="GG90" s="147"/>
      <c r="GK90" s="147"/>
      <c r="GO90" s="147"/>
      <c r="GS90" s="147"/>
      <c r="GW90" s="147"/>
      <c r="HA90" s="147"/>
      <c r="HE90" s="147"/>
      <c r="HI90" s="147"/>
      <c r="HM90" s="147"/>
      <c r="HQ90" s="147"/>
      <c r="HU90" s="147"/>
      <c r="HY90" s="147"/>
      <c r="IC90" s="147"/>
      <c r="IG90" s="147"/>
      <c r="IK90" s="147"/>
      <c r="IO90" s="147"/>
      <c r="IS90" s="147"/>
    </row>
    <row r="91" spans="1:253" x14ac:dyDescent="0.2">
      <c r="A91" s="195"/>
      <c r="B91" s="175"/>
      <c r="C91" s="131" t="s">
        <v>215</v>
      </c>
      <c r="D91" s="100">
        <v>8.3999999999999995E-3</v>
      </c>
      <c r="E91" s="136"/>
      <c r="F91" s="133"/>
      <c r="G91" s="178" t="s">
        <v>29</v>
      </c>
      <c r="H91" s="133" t="s">
        <v>287</v>
      </c>
      <c r="I91" s="198"/>
      <c r="J91" s="202"/>
      <c r="M91" s="147"/>
      <c r="Q91" s="147"/>
      <c r="U91" s="147"/>
      <c r="Y91" s="147"/>
      <c r="AC91" s="147"/>
      <c r="AG91" s="147"/>
      <c r="AK91" s="147"/>
      <c r="AO91" s="147"/>
      <c r="AS91" s="147"/>
      <c r="AW91" s="147"/>
      <c r="BA91" s="147"/>
      <c r="BE91" s="147"/>
      <c r="BI91" s="147"/>
      <c r="BM91" s="147"/>
      <c r="BQ91" s="147"/>
      <c r="BU91" s="147"/>
      <c r="BY91" s="147"/>
      <c r="CC91" s="147"/>
      <c r="CG91" s="147"/>
      <c r="CK91" s="147"/>
      <c r="CO91" s="147"/>
      <c r="CS91" s="147"/>
      <c r="CW91" s="147"/>
      <c r="DA91" s="147"/>
      <c r="DE91" s="147"/>
      <c r="DI91" s="147"/>
      <c r="DM91" s="147"/>
      <c r="DQ91" s="147"/>
      <c r="DU91" s="147"/>
      <c r="DY91" s="147"/>
      <c r="EC91" s="147"/>
      <c r="EG91" s="147"/>
      <c r="EK91" s="147"/>
      <c r="EO91" s="147"/>
      <c r="ES91" s="147"/>
      <c r="EW91" s="147"/>
      <c r="FA91" s="147"/>
      <c r="FE91" s="147"/>
      <c r="FI91" s="147"/>
      <c r="FM91" s="147"/>
      <c r="FQ91" s="147"/>
      <c r="FU91" s="147"/>
      <c r="FY91" s="147"/>
      <c r="GC91" s="147"/>
      <c r="GG91" s="147"/>
      <c r="GK91" s="147"/>
      <c r="GO91" s="147"/>
      <c r="GS91" s="147"/>
      <c r="GW91" s="147"/>
      <c r="HA91" s="147"/>
      <c r="HE91" s="147"/>
      <c r="HI91" s="147"/>
      <c r="HM91" s="147"/>
      <c r="HQ91" s="147"/>
      <c r="HU91" s="147"/>
      <c r="HY91" s="147"/>
      <c r="IC91" s="147"/>
      <c r="IG91" s="147"/>
      <c r="IK91" s="147"/>
      <c r="IO91" s="147"/>
      <c r="IS91" s="147"/>
    </row>
    <row r="92" spans="1:253" x14ac:dyDescent="0.2">
      <c r="A92" s="195"/>
      <c r="B92" s="177">
        <v>26</v>
      </c>
      <c r="C92" s="131" t="s">
        <v>218</v>
      </c>
      <c r="D92" s="83">
        <f>Dnom*Ilrms^2*(Rdson_ls)</f>
        <v>0.14520716765728298</v>
      </c>
      <c r="E92" s="135"/>
      <c r="F92" s="133"/>
      <c r="G92" s="178" t="s">
        <v>12</v>
      </c>
      <c r="H92" s="133" t="s">
        <v>358</v>
      </c>
      <c r="I92" s="198"/>
      <c r="J92" s="202"/>
    </row>
    <row r="93" spans="1:253" x14ac:dyDescent="0.2">
      <c r="A93" s="195"/>
      <c r="B93" s="175"/>
      <c r="C93" s="131" t="s">
        <v>310</v>
      </c>
      <c r="D93" s="85">
        <v>1.3</v>
      </c>
      <c r="E93" s="136"/>
      <c r="F93" s="133"/>
      <c r="G93" s="178" t="s">
        <v>3</v>
      </c>
      <c r="H93" s="133" t="s">
        <v>311</v>
      </c>
      <c r="I93" s="198"/>
      <c r="J93" s="202"/>
      <c r="M93" s="147"/>
      <c r="Q93" s="147"/>
      <c r="U93" s="147"/>
      <c r="Y93" s="147"/>
      <c r="AC93" s="147"/>
      <c r="AG93" s="147"/>
      <c r="AK93" s="147"/>
      <c r="AO93" s="147"/>
      <c r="AS93" s="147"/>
      <c r="AW93" s="147"/>
      <c r="BA93" s="147"/>
      <c r="BE93" s="147"/>
      <c r="BI93" s="147"/>
      <c r="BM93" s="147"/>
      <c r="BQ93" s="147"/>
      <c r="BU93" s="147"/>
      <c r="BY93" s="147"/>
      <c r="CC93" s="147"/>
      <c r="CG93" s="147"/>
      <c r="CK93" s="147"/>
      <c r="CO93" s="147"/>
      <c r="CS93" s="147"/>
      <c r="CW93" s="147"/>
      <c r="DA93" s="147"/>
      <c r="DE93" s="147"/>
      <c r="DI93" s="147"/>
      <c r="DM93" s="147"/>
      <c r="DQ93" s="147"/>
      <c r="DU93" s="147"/>
      <c r="DY93" s="147"/>
      <c r="EC93" s="147"/>
      <c r="EG93" s="147"/>
      <c r="EK93" s="147"/>
      <c r="EO93" s="147"/>
      <c r="ES93" s="147"/>
      <c r="EW93" s="147"/>
      <c r="FA93" s="147"/>
      <c r="FE93" s="147"/>
      <c r="FI93" s="147"/>
      <c r="FM93" s="147"/>
      <c r="FQ93" s="147"/>
      <c r="FU93" s="147"/>
      <c r="FY93" s="147"/>
      <c r="GC93" s="147"/>
      <c r="GG93" s="147"/>
      <c r="GK93" s="147"/>
      <c r="GO93" s="147"/>
      <c r="GS93" s="147"/>
      <c r="GW93" s="147"/>
      <c r="HA93" s="147"/>
      <c r="HE93" s="147"/>
      <c r="HI93" s="147"/>
      <c r="HM93" s="147"/>
      <c r="HQ93" s="147"/>
      <c r="HU93" s="147"/>
      <c r="HY93" s="147"/>
      <c r="IC93" s="147"/>
      <c r="IG93" s="147"/>
      <c r="IK93" s="147"/>
      <c r="IO93" s="147"/>
      <c r="IS93" s="147"/>
    </row>
    <row r="94" spans="1:253" x14ac:dyDescent="0.2">
      <c r="A94" s="195"/>
      <c r="B94" s="175"/>
      <c r="C94" s="131" t="s">
        <v>319</v>
      </c>
      <c r="D94" s="93">
        <v>2.7E-10</v>
      </c>
      <c r="E94" s="136"/>
      <c r="F94" s="133"/>
      <c r="G94" s="178" t="s">
        <v>7</v>
      </c>
      <c r="H94" s="133" t="s">
        <v>354</v>
      </c>
      <c r="I94" s="198"/>
      <c r="J94" s="202"/>
      <c r="M94" s="147"/>
      <c r="Q94" s="147"/>
      <c r="U94" s="147"/>
      <c r="Y94" s="147"/>
      <c r="AC94" s="147"/>
      <c r="AG94" s="147"/>
      <c r="AK94" s="147"/>
      <c r="AO94" s="147"/>
      <c r="AS94" s="147"/>
      <c r="AW94" s="147"/>
      <c r="BA94" s="147"/>
      <c r="BE94" s="147"/>
      <c r="BI94" s="147"/>
      <c r="BM94" s="147"/>
      <c r="BQ94" s="147"/>
      <c r="BU94" s="147"/>
      <c r="BY94" s="147"/>
      <c r="CC94" s="147"/>
      <c r="CG94" s="147"/>
      <c r="CK94" s="147"/>
      <c r="CO94" s="147"/>
      <c r="CS94" s="147"/>
      <c r="CW94" s="147"/>
      <c r="DA94" s="147"/>
      <c r="DE94" s="147"/>
      <c r="DI94" s="147"/>
      <c r="DM94" s="147"/>
      <c r="DQ94" s="147"/>
      <c r="DU94" s="147"/>
      <c r="DY94" s="147"/>
      <c r="EC94" s="147"/>
      <c r="EG94" s="147"/>
      <c r="EK94" s="147"/>
      <c r="EO94" s="147"/>
      <c r="ES94" s="147"/>
      <c r="EW94" s="147"/>
      <c r="FA94" s="147"/>
      <c r="FE94" s="147"/>
      <c r="FI94" s="147"/>
      <c r="FM94" s="147"/>
      <c r="FQ94" s="147"/>
      <c r="FU94" s="147"/>
      <c r="FY94" s="147"/>
      <c r="GC94" s="147"/>
      <c r="GG94" s="147"/>
      <c r="GK94" s="147"/>
      <c r="GO94" s="147"/>
      <c r="GS94" s="147"/>
      <c r="GW94" s="147"/>
      <c r="HA94" s="147"/>
      <c r="HE94" s="147"/>
      <c r="HI94" s="147"/>
      <c r="HM94" s="147"/>
      <c r="HQ94" s="147"/>
      <c r="HU94" s="147"/>
      <c r="HY94" s="147"/>
      <c r="IC94" s="147"/>
      <c r="IG94" s="147"/>
      <c r="IK94" s="147"/>
      <c r="IO94" s="147"/>
      <c r="IS94" s="147"/>
    </row>
    <row r="95" spans="1:253" x14ac:dyDescent="0.2">
      <c r="A95" s="195"/>
      <c r="B95" s="175"/>
      <c r="C95" s="131" t="s">
        <v>320</v>
      </c>
      <c r="D95" s="93">
        <v>1.3999999999999999E-9</v>
      </c>
      <c r="E95" s="136"/>
      <c r="F95" s="133"/>
      <c r="G95" s="178" t="s">
        <v>220</v>
      </c>
      <c r="H95" s="133" t="s">
        <v>355</v>
      </c>
      <c r="I95" s="198"/>
      <c r="J95" s="202"/>
      <c r="M95" s="147"/>
      <c r="Q95" s="147"/>
      <c r="U95" s="147"/>
      <c r="Y95" s="147"/>
      <c r="AC95" s="147"/>
      <c r="AG95" s="147"/>
      <c r="AK95" s="147"/>
      <c r="AO95" s="147"/>
      <c r="AS95" s="147"/>
      <c r="AW95" s="147"/>
      <c r="BA95" s="147"/>
      <c r="BE95" s="147"/>
      <c r="BI95" s="147"/>
      <c r="BM95" s="147"/>
      <c r="BQ95" s="147"/>
      <c r="BU95" s="147"/>
      <c r="BY95" s="147"/>
      <c r="CC95" s="147"/>
      <c r="CG95" s="147"/>
      <c r="CK95" s="147"/>
      <c r="CO95" s="147"/>
      <c r="CS95" s="147"/>
      <c r="CW95" s="147"/>
      <c r="DA95" s="147"/>
      <c r="DE95" s="147"/>
      <c r="DI95" s="147"/>
      <c r="DM95" s="147"/>
      <c r="DQ95" s="147"/>
      <c r="DU95" s="147"/>
      <c r="DY95" s="147"/>
      <c r="EC95" s="147"/>
      <c r="EG95" s="147"/>
      <c r="EK95" s="147"/>
      <c r="EO95" s="147"/>
      <c r="ES95" s="147"/>
      <c r="EW95" s="147"/>
      <c r="FA95" s="147"/>
      <c r="FE95" s="147"/>
      <c r="FI95" s="147"/>
      <c r="FM95" s="147"/>
      <c r="FQ95" s="147"/>
      <c r="FU95" s="147"/>
      <c r="FY95" s="147"/>
      <c r="GC95" s="147"/>
      <c r="GG95" s="147"/>
      <c r="GK95" s="147"/>
      <c r="GO95" s="147"/>
      <c r="GS95" s="147"/>
      <c r="GW95" s="147"/>
      <c r="HA95" s="147"/>
      <c r="HE95" s="147"/>
      <c r="HI95" s="147"/>
      <c r="HM95" s="147"/>
      <c r="HQ95" s="147"/>
      <c r="HU95" s="147"/>
      <c r="HY95" s="147"/>
      <c r="IC95" s="147"/>
      <c r="IG95" s="147"/>
      <c r="IK95" s="147"/>
      <c r="IO95" s="147"/>
      <c r="IS95" s="147"/>
    </row>
    <row r="96" spans="1:253" x14ac:dyDescent="0.2">
      <c r="A96" s="195"/>
      <c r="B96" s="175"/>
      <c r="C96" s="131" t="s">
        <v>221</v>
      </c>
      <c r="D96" s="85">
        <v>2.2000000000000002</v>
      </c>
      <c r="E96" s="136"/>
      <c r="F96" s="133"/>
      <c r="G96" s="178" t="s">
        <v>29</v>
      </c>
      <c r="H96" s="133" t="s">
        <v>288</v>
      </c>
      <c r="I96" s="198"/>
      <c r="J96" s="202"/>
      <c r="M96" s="147"/>
      <c r="Q96" s="147"/>
      <c r="U96" s="147"/>
      <c r="Y96" s="147"/>
      <c r="AC96" s="147"/>
      <c r="AG96" s="147"/>
      <c r="AK96" s="147"/>
      <c r="AO96" s="147"/>
      <c r="AS96" s="147"/>
      <c r="AW96" s="147"/>
      <c r="BA96" s="147"/>
      <c r="BE96" s="147"/>
      <c r="BI96" s="147"/>
      <c r="BM96" s="147"/>
      <c r="BQ96" s="147"/>
      <c r="BU96" s="147"/>
      <c r="BY96" s="147"/>
      <c r="CC96" s="147"/>
      <c r="CG96" s="147"/>
      <c r="CK96" s="147"/>
      <c r="CO96" s="147"/>
      <c r="CS96" s="147"/>
      <c r="CW96" s="147"/>
      <c r="DA96" s="147"/>
      <c r="DE96" s="147"/>
      <c r="DI96" s="147"/>
      <c r="DM96" s="147"/>
      <c r="DQ96" s="147"/>
      <c r="DU96" s="147"/>
      <c r="DY96" s="147"/>
      <c r="EC96" s="147"/>
      <c r="EG96" s="147"/>
      <c r="EK96" s="147"/>
      <c r="EO96" s="147"/>
      <c r="ES96" s="147"/>
      <c r="EW96" s="147"/>
      <c r="FA96" s="147"/>
      <c r="FE96" s="147"/>
      <c r="FI96" s="147"/>
      <c r="FM96" s="147"/>
      <c r="FQ96" s="147"/>
      <c r="FU96" s="147"/>
      <c r="FY96" s="147"/>
      <c r="GC96" s="147"/>
      <c r="GG96" s="147"/>
      <c r="GK96" s="147"/>
      <c r="GO96" s="147"/>
      <c r="GS96" s="147"/>
      <c r="GW96" s="147"/>
      <c r="HA96" s="147"/>
      <c r="HE96" s="147"/>
      <c r="HI96" s="147"/>
      <c r="HM96" s="147"/>
      <c r="HQ96" s="147"/>
      <c r="HU96" s="147"/>
      <c r="HY96" s="147"/>
      <c r="IC96" s="147"/>
      <c r="IG96" s="147"/>
      <c r="IK96" s="147"/>
      <c r="IO96" s="147"/>
      <c r="IS96" s="147"/>
    </row>
    <row r="97" spans="1:253" x14ac:dyDescent="0.2">
      <c r="A97" s="195"/>
      <c r="B97" s="177">
        <v>27</v>
      </c>
      <c r="C97" s="131" t="s">
        <v>217</v>
      </c>
      <c r="D97" s="83">
        <f>fsw/2*(Coss*Vout^2+Vout*Iin_max*Qgd*Rg_ls/(Vcc_typ-Vth))</f>
        <v>0.09</v>
      </c>
      <c r="E97" s="136"/>
      <c r="F97" s="133"/>
      <c r="G97" s="178" t="s">
        <v>12</v>
      </c>
      <c r="H97" s="133" t="s">
        <v>356</v>
      </c>
      <c r="I97" s="198"/>
      <c r="J97" s="202"/>
      <c r="M97" s="147"/>
      <c r="Q97" s="147"/>
      <c r="U97" s="147"/>
      <c r="Y97" s="147"/>
      <c r="AC97" s="147"/>
      <c r="AG97" s="147"/>
      <c r="AK97" s="147"/>
      <c r="AO97" s="147"/>
      <c r="AS97" s="147"/>
      <c r="AW97" s="147"/>
      <c r="BA97" s="147"/>
      <c r="BE97" s="147"/>
      <c r="BI97" s="147"/>
      <c r="BM97" s="147"/>
      <c r="BQ97" s="147"/>
      <c r="BU97" s="147"/>
      <c r="BY97" s="147"/>
      <c r="CC97" s="147"/>
      <c r="CG97" s="147"/>
      <c r="CK97" s="147"/>
      <c r="CO97" s="147"/>
      <c r="CS97" s="147"/>
      <c r="CW97" s="147"/>
      <c r="DA97" s="147"/>
      <c r="DE97" s="147"/>
      <c r="DI97" s="147"/>
      <c r="DM97" s="147"/>
      <c r="DQ97" s="147"/>
      <c r="DU97" s="147"/>
      <c r="DY97" s="147"/>
      <c r="EC97" s="147"/>
      <c r="EG97" s="147"/>
      <c r="EK97" s="147"/>
      <c r="EO97" s="147"/>
      <c r="ES97" s="147"/>
      <c r="EW97" s="147"/>
      <c r="FA97" s="147"/>
      <c r="FE97" s="147"/>
      <c r="FI97" s="147"/>
      <c r="FM97" s="147"/>
      <c r="FQ97" s="147"/>
      <c r="FU97" s="147"/>
      <c r="FY97" s="147"/>
      <c r="GC97" s="147"/>
      <c r="GG97" s="147"/>
      <c r="GK97" s="147"/>
      <c r="GO97" s="147"/>
      <c r="GS97" s="147"/>
      <c r="GW97" s="147"/>
      <c r="HA97" s="147"/>
      <c r="HE97" s="147"/>
      <c r="HI97" s="147"/>
      <c r="HM97" s="147"/>
      <c r="HQ97" s="147"/>
      <c r="HU97" s="147"/>
      <c r="HY97" s="147"/>
      <c r="IC97" s="147"/>
      <c r="IG97" s="147"/>
      <c r="IK97" s="147"/>
      <c r="IO97" s="147"/>
      <c r="IS97" s="147"/>
    </row>
    <row r="98" spans="1:253" hidden="1" x14ac:dyDescent="0.2">
      <c r="A98" s="195"/>
      <c r="B98" s="175"/>
      <c r="C98" s="131" t="s">
        <v>318</v>
      </c>
      <c r="D98" s="80">
        <v>6.3000000000000002E-9</v>
      </c>
      <c r="E98" s="80">
        <v>4.2000000000000004E-9</v>
      </c>
      <c r="F98" s="133"/>
      <c r="G98" s="178" t="s">
        <v>42</v>
      </c>
      <c r="H98" s="133"/>
      <c r="I98" s="198"/>
      <c r="J98" s="202"/>
      <c r="M98" s="147"/>
      <c r="Q98" s="147"/>
      <c r="U98" s="147"/>
      <c r="Y98" s="147"/>
      <c r="AC98" s="147"/>
      <c r="AG98" s="147"/>
      <c r="AK98" s="147"/>
      <c r="AO98" s="147"/>
      <c r="AS98" s="147"/>
      <c r="AW98" s="147"/>
      <c r="BA98" s="147"/>
      <c r="BE98" s="147"/>
      <c r="BI98" s="147"/>
      <c r="BM98" s="147"/>
      <c r="BQ98" s="147"/>
      <c r="BU98" s="147"/>
      <c r="BY98" s="147"/>
      <c r="CC98" s="147"/>
      <c r="CG98" s="147"/>
      <c r="CK98" s="147"/>
      <c r="CO98" s="147"/>
      <c r="CS98" s="147"/>
      <c r="CW98" s="147"/>
      <c r="DA98" s="147"/>
      <c r="DE98" s="147"/>
      <c r="DI98" s="147"/>
      <c r="DM98" s="147"/>
      <c r="DQ98" s="147"/>
      <c r="DU98" s="147"/>
      <c r="DY98" s="147"/>
      <c r="EC98" s="147"/>
      <c r="EG98" s="147"/>
      <c r="EK98" s="147"/>
      <c r="EO98" s="147"/>
      <c r="ES98" s="147"/>
      <c r="EW98" s="147"/>
      <c r="FA98" s="147"/>
      <c r="FE98" s="147"/>
      <c r="FI98" s="147"/>
      <c r="FM98" s="147"/>
      <c r="FQ98" s="147"/>
      <c r="FU98" s="147"/>
      <c r="FY98" s="147"/>
      <c r="GC98" s="147"/>
      <c r="GG98" s="147"/>
      <c r="GK98" s="147"/>
      <c r="GO98" s="147"/>
      <c r="GS98" s="147"/>
      <c r="GW98" s="147"/>
      <c r="HA98" s="147"/>
      <c r="HE98" s="147"/>
      <c r="HI98" s="147"/>
      <c r="HM98" s="147"/>
      <c r="HQ98" s="147"/>
      <c r="HU98" s="147"/>
      <c r="HY98" s="147"/>
      <c r="IC98" s="147"/>
      <c r="IG98" s="147"/>
      <c r="IK98" s="147"/>
      <c r="IO98" s="147"/>
      <c r="IS98" s="147"/>
    </row>
    <row r="99" spans="1:253" hidden="1" x14ac:dyDescent="0.2">
      <c r="A99" s="195"/>
      <c r="B99" s="175"/>
      <c r="C99" s="131" t="s">
        <v>217</v>
      </c>
      <c r="D99" s="83">
        <f>Vout*fsw*Iin_max*(D98+E98)/2/6</f>
        <v>7.5600000000000001E-2</v>
      </c>
      <c r="E99" s="136"/>
      <c r="F99" s="133"/>
      <c r="G99" s="178" t="s">
        <v>12</v>
      </c>
      <c r="H99" s="133"/>
      <c r="I99" s="198"/>
      <c r="J99" s="202"/>
      <c r="M99" s="147"/>
      <c r="Q99" s="147"/>
      <c r="U99" s="147"/>
      <c r="Y99" s="147"/>
      <c r="AC99" s="147"/>
      <c r="AG99" s="147"/>
      <c r="AK99" s="147"/>
      <c r="AO99" s="147"/>
      <c r="AS99" s="147"/>
      <c r="AW99" s="147"/>
      <c r="BA99" s="147"/>
      <c r="BE99" s="147"/>
      <c r="BI99" s="147"/>
      <c r="BM99" s="147"/>
      <c r="BQ99" s="147"/>
      <c r="BU99" s="147"/>
      <c r="BY99" s="147"/>
      <c r="CC99" s="147"/>
      <c r="CG99" s="147"/>
      <c r="CK99" s="147"/>
      <c r="CO99" s="147"/>
      <c r="CS99" s="147"/>
      <c r="CW99" s="147"/>
      <c r="DA99" s="147"/>
      <c r="DE99" s="147"/>
      <c r="DI99" s="147"/>
      <c r="DM99" s="147"/>
      <c r="DQ99" s="147"/>
      <c r="DU99" s="147"/>
      <c r="DY99" s="147"/>
      <c r="EC99" s="147"/>
      <c r="EG99" s="147"/>
      <c r="EK99" s="147"/>
      <c r="EO99" s="147"/>
      <c r="ES99" s="147"/>
      <c r="EW99" s="147"/>
      <c r="FA99" s="147"/>
      <c r="FE99" s="147"/>
      <c r="FI99" s="147"/>
      <c r="FM99" s="147"/>
      <c r="FQ99" s="147"/>
      <c r="FU99" s="147"/>
      <c r="FY99" s="147"/>
      <c r="GC99" s="147"/>
      <c r="GG99" s="147"/>
      <c r="GK99" s="147"/>
      <c r="GO99" s="147"/>
      <c r="GS99" s="147"/>
      <c r="GW99" s="147"/>
      <c r="HA99" s="147"/>
      <c r="HE99" s="147"/>
      <c r="HI99" s="147"/>
      <c r="HM99" s="147"/>
      <c r="HQ99" s="147"/>
      <c r="HU99" s="147"/>
      <c r="HY99" s="147"/>
      <c r="IC99" s="147"/>
      <c r="IG99" s="147"/>
      <c r="IK99" s="147"/>
      <c r="IO99" s="147"/>
      <c r="IS99" s="147"/>
    </row>
    <row r="100" spans="1:253" x14ac:dyDescent="0.2">
      <c r="A100" s="195"/>
      <c r="B100" s="130"/>
      <c r="C100" s="131" t="s">
        <v>335</v>
      </c>
      <c r="D100" s="83">
        <f>Pls_sw+Psw_cond</f>
        <v>0.23520716765728297</v>
      </c>
      <c r="E100" s="135"/>
      <c r="F100" s="133"/>
      <c r="G100" s="178" t="s">
        <v>12</v>
      </c>
      <c r="H100" s="133" t="s">
        <v>359</v>
      </c>
      <c r="I100" s="198"/>
      <c r="J100" s="202"/>
    </row>
    <row r="101" spans="1:253" x14ac:dyDescent="0.2">
      <c r="A101" s="195"/>
      <c r="B101" s="156"/>
      <c r="C101" s="149"/>
      <c r="D101" s="156"/>
      <c r="E101" s="162"/>
      <c r="F101" s="141"/>
      <c r="G101" s="141"/>
      <c r="H101" s="141"/>
      <c r="I101" s="198"/>
      <c r="J101" s="202"/>
    </row>
    <row r="102" spans="1:253" x14ac:dyDescent="0.2">
      <c r="A102" s="195"/>
      <c r="B102" s="258" t="s">
        <v>408</v>
      </c>
      <c r="C102" s="258"/>
      <c r="D102" s="167"/>
      <c r="E102" s="167"/>
      <c r="F102" s="159"/>
      <c r="G102" s="164"/>
      <c r="H102" s="159"/>
      <c r="I102" s="198"/>
      <c r="J102" s="202"/>
      <c r="M102" s="147"/>
      <c r="Q102" s="147"/>
      <c r="U102" s="147"/>
      <c r="Y102" s="147"/>
      <c r="AC102" s="147"/>
      <c r="AG102" s="147"/>
      <c r="AK102" s="147"/>
      <c r="AO102" s="147"/>
      <c r="AS102" s="147"/>
      <c r="AW102" s="147"/>
      <c r="BA102" s="147"/>
      <c r="BE102" s="147"/>
      <c r="BI102" s="147"/>
      <c r="BM102" s="147"/>
      <c r="BQ102" s="147"/>
      <c r="BU102" s="147"/>
      <c r="BY102" s="147"/>
      <c r="CC102" s="147"/>
      <c r="CG102" s="147"/>
      <c r="CK102" s="147"/>
      <c r="CO102" s="147"/>
      <c r="CS102" s="147"/>
      <c r="CW102" s="147"/>
      <c r="DA102" s="147"/>
      <c r="DE102" s="147"/>
      <c r="DI102" s="147"/>
      <c r="DM102" s="147"/>
      <c r="DQ102" s="147"/>
      <c r="DU102" s="147"/>
      <c r="DY102" s="147"/>
      <c r="EC102" s="147"/>
      <c r="EG102" s="147"/>
      <c r="EK102" s="147"/>
      <c r="EO102" s="147"/>
      <c r="ES102" s="147"/>
      <c r="EW102" s="147"/>
      <c r="FA102" s="147"/>
      <c r="FE102" s="147"/>
      <c r="FI102" s="147"/>
      <c r="FM102" s="147"/>
      <c r="FQ102" s="147"/>
      <c r="FU102" s="147"/>
      <c r="FY102" s="147"/>
      <c r="GC102" s="147"/>
      <c r="GG102" s="147"/>
      <c r="GK102" s="147"/>
      <c r="GO102" s="147"/>
      <c r="GS102" s="147"/>
      <c r="GW102" s="147"/>
      <c r="HA102" s="147"/>
      <c r="HE102" s="147"/>
      <c r="HI102" s="147"/>
      <c r="HM102" s="147"/>
      <c r="HQ102" s="147"/>
      <c r="HU102" s="147"/>
      <c r="HY102" s="147"/>
      <c r="IC102" s="147"/>
      <c r="IG102" s="147"/>
      <c r="IK102" s="147"/>
      <c r="IO102" s="147"/>
      <c r="IS102" s="147"/>
    </row>
    <row r="103" spans="1:253" x14ac:dyDescent="0.2">
      <c r="A103" s="195"/>
      <c r="B103" s="175"/>
      <c r="C103" s="131" t="s">
        <v>365</v>
      </c>
      <c r="D103" s="254" t="s">
        <v>463</v>
      </c>
      <c r="E103" s="136"/>
      <c r="F103" s="133"/>
      <c r="G103" s="178"/>
      <c r="H103" s="133" t="s">
        <v>386</v>
      </c>
      <c r="I103" s="198"/>
      <c r="J103" s="202"/>
      <c r="M103" s="147"/>
      <c r="Q103" s="147"/>
      <c r="U103" s="147"/>
      <c r="Y103" s="147"/>
      <c r="AC103" s="147"/>
      <c r="AG103" s="147"/>
      <c r="AK103" s="147"/>
      <c r="AO103" s="147"/>
      <c r="AS103" s="147"/>
      <c r="AW103" s="147"/>
      <c r="BA103" s="147"/>
      <c r="BE103" s="147"/>
      <c r="BI103" s="147"/>
      <c r="BM103" s="147"/>
      <c r="BQ103" s="147"/>
      <c r="BU103" s="147"/>
      <c r="BY103" s="147"/>
      <c r="CC103" s="147"/>
      <c r="CG103" s="147"/>
      <c r="CK103" s="147"/>
      <c r="CO103" s="147"/>
      <c r="CS103" s="147"/>
      <c r="CW103" s="147"/>
      <c r="DA103" s="147"/>
      <c r="DE103" s="147"/>
      <c r="DI103" s="147"/>
      <c r="DM103" s="147"/>
      <c r="DQ103" s="147"/>
      <c r="DU103" s="147"/>
      <c r="DY103" s="147"/>
      <c r="EC103" s="147"/>
      <c r="EG103" s="147"/>
      <c r="EK103" s="147"/>
      <c r="EO103" s="147"/>
      <c r="ES103" s="147"/>
      <c r="EW103" s="147"/>
      <c r="FA103" s="147"/>
      <c r="FE103" s="147"/>
      <c r="FI103" s="147"/>
      <c r="FM103" s="147"/>
      <c r="FQ103" s="147"/>
      <c r="FU103" s="147"/>
      <c r="FY103" s="147"/>
      <c r="GC103" s="147"/>
      <c r="GG103" s="147"/>
      <c r="GK103" s="147"/>
      <c r="GO103" s="147"/>
      <c r="GS103" s="147"/>
      <c r="GW103" s="147"/>
      <c r="HA103" s="147"/>
      <c r="HE103" s="147"/>
      <c r="HI103" s="147"/>
      <c r="HM103" s="147"/>
      <c r="HQ103" s="147"/>
      <c r="HU103" s="147"/>
      <c r="HY103" s="147"/>
      <c r="IC103" s="147"/>
      <c r="IG103" s="147"/>
      <c r="IK103" s="147"/>
      <c r="IO103" s="147"/>
      <c r="IS103" s="147"/>
    </row>
    <row r="104" spans="1:253" x14ac:dyDescent="0.2">
      <c r="A104" s="195"/>
      <c r="B104" s="175"/>
      <c r="C104" s="131" t="s">
        <v>219</v>
      </c>
      <c r="D104" s="93">
        <f>Qg_ls</f>
        <v>5.4700000000000003E-9</v>
      </c>
      <c r="E104" s="136"/>
      <c r="F104" s="133"/>
      <c r="G104" s="178" t="s">
        <v>220</v>
      </c>
      <c r="H104" s="133" t="s">
        <v>286</v>
      </c>
      <c r="I104" s="198"/>
      <c r="J104" s="202"/>
      <c r="M104" s="147"/>
      <c r="Q104" s="147"/>
      <c r="U104" s="147"/>
      <c r="Y104" s="147"/>
      <c r="AC104" s="147"/>
      <c r="AG104" s="147"/>
      <c r="AK104" s="147"/>
      <c r="AO104" s="147"/>
      <c r="AS104" s="147"/>
      <c r="AW104" s="147"/>
      <c r="BA104" s="147"/>
      <c r="BE104" s="147"/>
      <c r="BI104" s="147"/>
      <c r="BM104" s="147"/>
      <c r="BQ104" s="147"/>
      <c r="BU104" s="147"/>
      <c r="BY104" s="147"/>
      <c r="CC104" s="147"/>
      <c r="CG104" s="147"/>
      <c r="CK104" s="147"/>
      <c r="CO104" s="147"/>
      <c r="CS104" s="147"/>
      <c r="CW104" s="147"/>
      <c r="DA104" s="147"/>
      <c r="DE104" s="147"/>
      <c r="DI104" s="147"/>
      <c r="DM104" s="147"/>
      <c r="DQ104" s="147"/>
      <c r="DU104" s="147"/>
      <c r="DY104" s="147"/>
      <c r="EC104" s="147"/>
      <c r="EG104" s="147"/>
      <c r="EK104" s="147"/>
      <c r="EO104" s="147"/>
      <c r="ES104" s="147"/>
      <c r="EW104" s="147"/>
      <c r="FA104" s="147"/>
      <c r="FE104" s="147"/>
      <c r="FI104" s="147"/>
      <c r="FM104" s="147"/>
      <c r="FQ104" s="147"/>
      <c r="FU104" s="147"/>
      <c r="FY104" s="147"/>
      <c r="GC104" s="147"/>
      <c r="GG104" s="147"/>
      <c r="GK104" s="147"/>
      <c r="GO104" s="147"/>
      <c r="GS104" s="147"/>
      <c r="GW104" s="147"/>
      <c r="HA104" s="147"/>
      <c r="HE104" s="147"/>
      <c r="HI104" s="147"/>
      <c r="HM104" s="147"/>
      <c r="HQ104" s="147"/>
      <c r="HU104" s="147"/>
      <c r="HY104" s="147"/>
      <c r="IC104" s="147"/>
      <c r="IG104" s="147"/>
      <c r="IK104" s="147"/>
      <c r="IO104" s="147"/>
      <c r="IS104" s="147"/>
    </row>
    <row r="105" spans="1:253" x14ac:dyDescent="0.2">
      <c r="A105" s="195"/>
      <c r="B105" s="177"/>
      <c r="C105" s="131" t="s">
        <v>223</v>
      </c>
      <c r="D105" s="83">
        <f>Qg_hs*fsw</f>
        <v>4.1025000000000002E-3</v>
      </c>
      <c r="E105" s="136"/>
      <c r="F105" s="133"/>
      <c r="G105" s="178" t="s">
        <v>2</v>
      </c>
      <c r="H105" s="133" t="s">
        <v>443</v>
      </c>
      <c r="I105" s="198"/>
      <c r="J105" s="202"/>
      <c r="M105" s="147"/>
      <c r="Q105" s="147"/>
      <c r="U105" s="147"/>
      <c r="Y105" s="147"/>
      <c r="AC105" s="147"/>
      <c r="AG105" s="147"/>
      <c r="AK105" s="147"/>
      <c r="AO105" s="147"/>
      <c r="AS105" s="147"/>
      <c r="AW105" s="147"/>
      <c r="BA105" s="147"/>
      <c r="BE105" s="147"/>
      <c r="BI105" s="147"/>
      <c r="BM105" s="147"/>
      <c r="BQ105" s="147"/>
      <c r="BU105" s="147"/>
      <c r="BY105" s="147"/>
      <c r="CC105" s="147"/>
      <c r="CG105" s="147"/>
      <c r="CK105" s="147"/>
      <c r="CO105" s="147"/>
      <c r="CS105" s="147"/>
      <c r="CW105" s="147"/>
      <c r="DA105" s="147"/>
      <c r="DE105" s="147"/>
      <c r="DI105" s="147"/>
      <c r="DM105" s="147"/>
      <c r="DQ105" s="147"/>
      <c r="DU105" s="147"/>
      <c r="DY105" s="147"/>
      <c r="EC105" s="147"/>
      <c r="EG105" s="147"/>
      <c r="EK105" s="147"/>
      <c r="EO105" s="147"/>
      <c r="ES105" s="147"/>
      <c r="EW105" s="147"/>
      <c r="FA105" s="147"/>
      <c r="FE105" s="147"/>
      <c r="FI105" s="147"/>
      <c r="FM105" s="147"/>
      <c r="FQ105" s="147"/>
      <c r="FU105" s="147"/>
      <c r="FY105" s="147"/>
      <c r="GC105" s="147"/>
      <c r="GG105" s="147"/>
      <c r="GK105" s="147"/>
      <c r="GO105" s="147"/>
      <c r="GS105" s="147"/>
      <c r="GW105" s="147"/>
      <c r="HA105" s="147"/>
      <c r="HE105" s="147"/>
      <c r="HI105" s="147"/>
      <c r="HM105" s="147"/>
      <c r="HQ105" s="147"/>
      <c r="HU105" s="147"/>
      <c r="HY105" s="147"/>
      <c r="IC105" s="147"/>
      <c r="IG105" s="147"/>
      <c r="IK105" s="147"/>
      <c r="IO105" s="147"/>
      <c r="IS105" s="147"/>
    </row>
    <row r="106" spans="1:253" x14ac:dyDescent="0.2">
      <c r="A106" s="195"/>
      <c r="B106" s="177">
        <v>30</v>
      </c>
      <c r="C106" s="131" t="s">
        <v>304</v>
      </c>
      <c r="D106" s="81">
        <f>Qg_hs/(0.25)</f>
        <v>2.1880000000000001E-8</v>
      </c>
      <c r="E106" s="97">
        <f>IF(D106*10^12&lt;10000,IF((10^(LOG(D106*10^12)-INT(LOG(D106*10^12))))-VLOOKUP((10^(LOG(D106*10^12)-INT(LOG(D106*10^12)))),c_s1:C_f1,1)&lt;VLOOKUP((10^(LOG(D106*10^12)-INT(LOG(D106*10^12)))),c_s1:C_f1,2)-(10^(LOG(D106*10^12)-INT(LOG(D106*10^12)))),VLOOKUP((10^(LOG(D106*10^12)-INT(LOG(D106*10^12)))),c_s1:C_f1,1),VLOOKUP((10^(LOG(D106*10^12)-INT(LOG(D106*10^12)))),c_s1:C_f1,2))*10^INT(LOG(D106*10^12)),IF((10^(LOG(D106*10^12)-INT(LOG(D106*10^12))))-VLOOKUP((10^(LOG(D106*10^12)-INT(LOG(D106*10^12)))),C_s2:C_f2,1)&lt;VLOOKUP((10^(LOG(D106*10^12)-INT(LOG(D106*10^12)))),C_s2:C_f2,2)-(10^(LOG(D106*10^12)-INT(LOG(D106*10^12)))),VLOOKUP((10^(LOG(D106*10^12)-INT(LOG(D106*10^12)))),C_s2:C_f2,1),VLOOKUP((10^(LOG(D106*10^12)-INT(LOG(D106*10^12)))),C_s2:C_f2,2))*10^INT(LOG(D106*10^12)))*10^-12</f>
        <v>2.1999999999999998E-8</v>
      </c>
      <c r="F106" s="133"/>
      <c r="G106" s="178" t="s">
        <v>7</v>
      </c>
      <c r="H106" s="133" t="s">
        <v>305</v>
      </c>
      <c r="I106" s="198"/>
      <c r="J106" s="202"/>
    </row>
    <row r="107" spans="1:253" x14ac:dyDescent="0.2">
      <c r="A107" s="195"/>
      <c r="B107" s="177"/>
      <c r="C107" s="131" t="s">
        <v>304</v>
      </c>
      <c r="D107" s="100">
        <v>9.9999999999999995E-8</v>
      </c>
      <c r="E107" s="133"/>
      <c r="F107" s="133"/>
      <c r="G107" s="178" t="s">
        <v>7</v>
      </c>
      <c r="H107" s="133" t="s">
        <v>357</v>
      </c>
      <c r="I107" s="198"/>
      <c r="J107" s="202"/>
    </row>
    <row r="108" spans="1:253" x14ac:dyDescent="0.2">
      <c r="A108" s="195"/>
      <c r="B108" s="177"/>
      <c r="C108" s="131" t="s">
        <v>213</v>
      </c>
      <c r="D108" s="100">
        <f>Rdson_ls</f>
        <v>8.3999999999999995E-3</v>
      </c>
      <c r="E108" s="136"/>
      <c r="F108" s="133"/>
      <c r="G108" s="178" t="s">
        <v>29</v>
      </c>
      <c r="H108" s="133" t="s">
        <v>287</v>
      </c>
      <c r="I108" s="198"/>
      <c r="J108" s="202"/>
      <c r="M108" s="147"/>
      <c r="Q108" s="147"/>
      <c r="U108" s="147"/>
      <c r="Y108" s="147"/>
      <c r="AC108" s="147"/>
      <c r="AG108" s="147"/>
      <c r="AK108" s="147"/>
      <c r="AO108" s="147"/>
      <c r="AS108" s="147"/>
      <c r="AW108" s="147"/>
      <c r="BA108" s="147"/>
      <c r="BE108" s="147"/>
      <c r="BI108" s="147"/>
      <c r="BM108" s="147"/>
      <c r="BQ108" s="147"/>
      <c r="BU108" s="147"/>
      <c r="BY108" s="147"/>
      <c r="CC108" s="147"/>
      <c r="CG108" s="147"/>
      <c r="CK108" s="147"/>
      <c r="CO108" s="147"/>
      <c r="CS108" s="147"/>
      <c r="CW108" s="147"/>
      <c r="DA108" s="147"/>
      <c r="DE108" s="147"/>
      <c r="DI108" s="147"/>
      <c r="DM108" s="147"/>
      <c r="DQ108" s="147"/>
      <c r="DU108" s="147"/>
      <c r="DY108" s="147"/>
      <c r="EC108" s="147"/>
      <c r="EG108" s="147"/>
      <c r="EK108" s="147"/>
      <c r="EO108" s="147"/>
      <c r="ES108" s="147"/>
      <c r="EW108" s="147"/>
      <c r="FA108" s="147"/>
      <c r="FE108" s="147"/>
      <c r="FI108" s="147"/>
      <c r="FM108" s="147"/>
      <c r="FQ108" s="147"/>
      <c r="FU108" s="147"/>
      <c r="FY108" s="147"/>
      <c r="GC108" s="147"/>
      <c r="GG108" s="147"/>
      <c r="GK108" s="147"/>
      <c r="GO108" s="147"/>
      <c r="GS108" s="147"/>
      <c r="GW108" s="147"/>
      <c r="HA108" s="147"/>
      <c r="HE108" s="147"/>
      <c r="HI108" s="147"/>
      <c r="HM108" s="147"/>
      <c r="HQ108" s="147"/>
      <c r="HU108" s="147"/>
      <c r="HY108" s="147"/>
      <c r="IC108" s="147"/>
      <c r="IG108" s="147"/>
      <c r="IK108" s="147"/>
      <c r="IO108" s="147"/>
      <c r="IS108" s="147"/>
    </row>
    <row r="109" spans="1:253" x14ac:dyDescent="0.2">
      <c r="A109" s="195"/>
      <c r="B109" s="177">
        <v>28</v>
      </c>
      <c r="C109" s="131" t="s">
        <v>216</v>
      </c>
      <c r="D109" s="83">
        <f>(1-Dmax)*Ilrms^2*(Rdson_hs)</f>
        <v>4.0335324349245284E-2</v>
      </c>
      <c r="E109" s="135"/>
      <c r="F109" s="133"/>
      <c r="G109" s="178" t="s">
        <v>12</v>
      </c>
      <c r="H109" s="133" t="s">
        <v>360</v>
      </c>
      <c r="I109" s="198"/>
      <c r="J109" s="202"/>
    </row>
    <row r="110" spans="1:253" x14ac:dyDescent="0.2">
      <c r="A110" s="195"/>
      <c r="B110" s="177"/>
      <c r="C110" s="131" t="s">
        <v>225</v>
      </c>
      <c r="D110" s="85">
        <f>Rg_ls</f>
        <v>2.2000000000000002</v>
      </c>
      <c r="E110" s="136"/>
      <c r="F110" s="133"/>
      <c r="G110" s="178" t="s">
        <v>29</v>
      </c>
      <c r="H110" s="133" t="s">
        <v>288</v>
      </c>
      <c r="I110" s="198"/>
      <c r="J110" s="202"/>
      <c r="M110" s="147"/>
      <c r="Q110" s="147"/>
      <c r="U110" s="147"/>
      <c r="Y110" s="147"/>
      <c r="AC110" s="147"/>
      <c r="AG110" s="147"/>
      <c r="AK110" s="147"/>
      <c r="AO110" s="147"/>
      <c r="AS110" s="147"/>
      <c r="AW110" s="147"/>
      <c r="BA110" s="147"/>
      <c r="BE110" s="147"/>
      <c r="BI110" s="147"/>
      <c r="BM110" s="147"/>
      <c r="BQ110" s="147"/>
      <c r="BU110" s="147"/>
      <c r="BY110" s="147"/>
      <c r="CC110" s="147"/>
      <c r="CG110" s="147"/>
      <c r="CK110" s="147"/>
      <c r="CO110" s="147"/>
      <c r="CS110" s="147"/>
      <c r="CW110" s="147"/>
      <c r="DA110" s="147"/>
      <c r="DE110" s="147"/>
      <c r="DI110" s="147"/>
      <c r="DM110" s="147"/>
      <c r="DQ110" s="147"/>
      <c r="DU110" s="147"/>
      <c r="DY110" s="147"/>
      <c r="EC110" s="147"/>
      <c r="EG110" s="147"/>
      <c r="EK110" s="147"/>
      <c r="EO110" s="147"/>
      <c r="ES110" s="147"/>
      <c r="EW110" s="147"/>
      <c r="FA110" s="147"/>
      <c r="FE110" s="147"/>
      <c r="FI110" s="147"/>
      <c r="FM110" s="147"/>
      <c r="FQ110" s="147"/>
      <c r="FU110" s="147"/>
      <c r="FY110" s="147"/>
      <c r="GC110" s="147"/>
      <c r="GG110" s="147"/>
      <c r="GK110" s="147"/>
      <c r="GO110" s="147"/>
      <c r="GS110" s="147"/>
      <c r="GW110" s="147"/>
      <c r="HA110" s="147"/>
      <c r="HE110" s="147"/>
      <c r="HI110" s="147"/>
      <c r="HM110" s="147"/>
      <c r="HQ110" s="147"/>
      <c r="HU110" s="147"/>
      <c r="HY110" s="147"/>
      <c r="IC110" s="147"/>
      <c r="IG110" s="147"/>
      <c r="IK110" s="147"/>
      <c r="IO110" s="147"/>
      <c r="IS110" s="147"/>
    </row>
    <row r="111" spans="1:253" x14ac:dyDescent="0.2">
      <c r="A111" s="195"/>
      <c r="B111" s="177"/>
      <c r="C111" s="131" t="s">
        <v>230</v>
      </c>
      <c r="D111" s="101">
        <v>1.3</v>
      </c>
      <c r="E111" s="136"/>
      <c r="F111" s="133"/>
      <c r="G111" s="178" t="s">
        <v>3</v>
      </c>
      <c r="H111" s="133" t="s">
        <v>235</v>
      </c>
      <c r="I111" s="198"/>
      <c r="J111" s="202"/>
      <c r="M111" s="147"/>
      <c r="Q111" s="147"/>
      <c r="U111" s="147"/>
      <c r="Y111" s="147"/>
      <c r="AC111" s="147"/>
      <c r="AG111" s="147"/>
      <c r="AK111" s="147"/>
      <c r="AO111" s="147"/>
      <c r="AS111" s="147"/>
      <c r="AW111" s="147"/>
      <c r="BA111" s="147"/>
      <c r="BE111" s="147"/>
      <c r="BI111" s="147"/>
      <c r="BM111" s="147"/>
      <c r="BQ111" s="147"/>
      <c r="BU111" s="147"/>
      <c r="BY111" s="147"/>
      <c r="CC111" s="147"/>
      <c r="CG111" s="147"/>
      <c r="CK111" s="147"/>
      <c r="CO111" s="147"/>
      <c r="CS111" s="147"/>
      <c r="CW111" s="147"/>
      <c r="DA111" s="147"/>
      <c r="DE111" s="147"/>
      <c r="DI111" s="147"/>
      <c r="DM111" s="147"/>
      <c r="DQ111" s="147"/>
      <c r="DU111" s="147"/>
      <c r="DY111" s="147"/>
      <c r="EC111" s="147"/>
      <c r="EG111" s="147"/>
      <c r="EK111" s="147"/>
      <c r="EO111" s="147"/>
      <c r="ES111" s="147"/>
      <c r="EW111" s="147"/>
      <c r="FA111" s="147"/>
      <c r="FE111" s="147"/>
      <c r="FI111" s="147"/>
      <c r="FM111" s="147"/>
      <c r="FQ111" s="147"/>
      <c r="FU111" s="147"/>
      <c r="FY111" s="147"/>
      <c r="GC111" s="147"/>
      <c r="GG111" s="147"/>
      <c r="GK111" s="147"/>
      <c r="GO111" s="147"/>
      <c r="GS111" s="147"/>
      <c r="GW111" s="147"/>
      <c r="HA111" s="147"/>
      <c r="HE111" s="147"/>
      <c r="HI111" s="147"/>
      <c r="HM111" s="147"/>
      <c r="HQ111" s="147"/>
      <c r="HU111" s="147"/>
      <c r="HY111" s="147"/>
      <c r="IC111" s="147"/>
      <c r="IG111" s="147"/>
      <c r="IK111" s="147"/>
      <c r="IO111" s="147"/>
      <c r="IS111" s="147"/>
    </row>
    <row r="112" spans="1:253" x14ac:dyDescent="0.2">
      <c r="A112" s="195"/>
      <c r="B112" s="177">
        <v>29</v>
      </c>
      <c r="C112" s="131" t="s">
        <v>231</v>
      </c>
      <c r="D112" s="83">
        <f>2*vf_body*Ilrms*tnonoverlap*fsw</f>
        <v>0.60851560575859953</v>
      </c>
      <c r="E112" s="136"/>
      <c r="F112" s="133"/>
      <c r="G112" s="178" t="s">
        <v>12</v>
      </c>
      <c r="H112" s="133" t="s">
        <v>361</v>
      </c>
      <c r="I112" s="198"/>
      <c r="J112" s="202"/>
      <c r="M112" s="147"/>
      <c r="Q112" s="147"/>
      <c r="U112" s="147"/>
      <c r="Y112" s="147"/>
      <c r="AC112" s="147"/>
      <c r="AG112" s="147"/>
      <c r="AK112" s="147"/>
      <c r="AO112" s="147"/>
      <c r="AS112" s="147"/>
      <c r="AW112" s="147"/>
      <c r="BA112" s="147"/>
      <c r="BE112" s="147"/>
      <c r="BI112" s="147"/>
      <c r="BM112" s="147"/>
      <c r="BQ112" s="147"/>
      <c r="BU112" s="147"/>
      <c r="BY112" s="147"/>
      <c r="CC112" s="147"/>
      <c r="CG112" s="147"/>
      <c r="CK112" s="147"/>
      <c r="CO112" s="147"/>
      <c r="CS112" s="147"/>
      <c r="CW112" s="147"/>
      <c r="DA112" s="147"/>
      <c r="DE112" s="147"/>
      <c r="DI112" s="147"/>
      <c r="DM112" s="147"/>
      <c r="DQ112" s="147"/>
      <c r="DU112" s="147"/>
      <c r="DY112" s="147"/>
      <c r="EC112" s="147"/>
      <c r="EG112" s="147"/>
      <c r="EK112" s="147"/>
      <c r="EO112" s="147"/>
      <c r="ES112" s="147"/>
      <c r="EW112" s="147"/>
      <c r="FA112" s="147"/>
      <c r="FE112" s="147"/>
      <c r="FI112" s="147"/>
      <c r="FM112" s="147"/>
      <c r="FQ112" s="147"/>
      <c r="FU112" s="147"/>
      <c r="FY112" s="147"/>
      <c r="GC112" s="147"/>
      <c r="GG112" s="147"/>
      <c r="GK112" s="147"/>
      <c r="GO112" s="147"/>
      <c r="GS112" s="147"/>
      <c r="GW112" s="147"/>
      <c r="HA112" s="147"/>
      <c r="HE112" s="147"/>
      <c r="HI112" s="147"/>
      <c r="HM112" s="147"/>
      <c r="HQ112" s="147"/>
      <c r="HU112" s="147"/>
      <c r="HY112" s="147"/>
      <c r="IC112" s="147"/>
      <c r="IG112" s="147"/>
      <c r="IK112" s="147"/>
      <c r="IO112" s="147"/>
      <c r="IS112" s="147"/>
    </row>
    <row r="113" spans="1:254" x14ac:dyDescent="0.2">
      <c r="A113" s="195"/>
      <c r="B113" s="177"/>
      <c r="C113" s="131" t="s">
        <v>336</v>
      </c>
      <c r="D113" s="83">
        <f>D109+D112</f>
        <v>0.64885093010784478</v>
      </c>
      <c r="E113" s="135"/>
      <c r="F113" s="133"/>
      <c r="G113" s="178" t="s">
        <v>12</v>
      </c>
      <c r="H113" s="133" t="s">
        <v>362</v>
      </c>
      <c r="I113" s="198"/>
      <c r="J113" s="202"/>
    </row>
    <row r="114" spans="1:254" x14ac:dyDescent="0.2">
      <c r="A114" s="195"/>
      <c r="B114" s="156"/>
      <c r="C114" s="141"/>
      <c r="D114" s="162"/>
      <c r="E114" s="162"/>
      <c r="F114" s="141"/>
      <c r="G114" s="145"/>
      <c r="H114" s="141"/>
      <c r="I114" s="198"/>
      <c r="J114" s="202"/>
    </row>
    <row r="115" spans="1:254" x14ac:dyDescent="0.2">
      <c r="A115" s="195"/>
      <c r="B115" s="258" t="s">
        <v>409</v>
      </c>
      <c r="C115" s="258"/>
      <c r="D115" s="167"/>
      <c r="E115" s="167"/>
      <c r="F115" s="159"/>
      <c r="G115" s="164"/>
      <c r="H115" s="159"/>
      <c r="I115" s="198"/>
      <c r="J115" s="202"/>
      <c r="M115" s="147"/>
      <c r="Q115" s="147"/>
      <c r="U115" s="147"/>
      <c r="Y115" s="147"/>
      <c r="AC115" s="147"/>
      <c r="AG115" s="147"/>
      <c r="AK115" s="147"/>
      <c r="AO115" s="147"/>
      <c r="AS115" s="147"/>
      <c r="AW115" s="147"/>
      <c r="BA115" s="147"/>
      <c r="BE115" s="147"/>
      <c r="BI115" s="147"/>
      <c r="BM115" s="147"/>
      <c r="BQ115" s="147"/>
      <c r="BU115" s="147"/>
      <c r="BY115" s="147"/>
      <c r="CC115" s="147"/>
      <c r="CG115" s="147"/>
      <c r="CK115" s="147"/>
      <c r="CO115" s="147"/>
      <c r="CS115" s="147"/>
      <c r="CW115" s="147"/>
      <c r="DA115" s="147"/>
      <c r="DE115" s="147"/>
      <c r="DI115" s="147"/>
      <c r="DM115" s="147"/>
      <c r="DQ115" s="147"/>
      <c r="DU115" s="147"/>
      <c r="DY115" s="147"/>
      <c r="EC115" s="147"/>
      <c r="EG115" s="147"/>
      <c r="EK115" s="147"/>
      <c r="EO115" s="147"/>
      <c r="ES115" s="147"/>
      <c r="EW115" s="147"/>
      <c r="FA115" s="147"/>
      <c r="FE115" s="147"/>
      <c r="FI115" s="147"/>
      <c r="FM115" s="147"/>
      <c r="FQ115" s="147"/>
      <c r="FU115" s="147"/>
      <c r="FY115" s="147"/>
      <c r="GC115" s="147"/>
      <c r="GG115" s="147"/>
      <c r="GK115" s="147"/>
      <c r="GO115" s="147"/>
      <c r="GS115" s="147"/>
      <c r="GW115" s="147"/>
      <c r="HA115" s="147"/>
      <c r="HE115" s="147"/>
      <c r="HI115" s="147"/>
      <c r="HM115" s="147"/>
      <c r="HQ115" s="147"/>
      <c r="HU115" s="147"/>
      <c r="HY115" s="147"/>
      <c r="IC115" s="147"/>
      <c r="IG115" s="147"/>
      <c r="IK115" s="147"/>
      <c r="IO115" s="147"/>
      <c r="IS115" s="147"/>
    </row>
    <row r="116" spans="1:254" x14ac:dyDescent="0.2">
      <c r="A116" s="195"/>
      <c r="B116" s="177">
        <v>25</v>
      </c>
      <c r="C116" s="131" t="s">
        <v>223</v>
      </c>
      <c r="D116" s="83">
        <f>Idrive_ls+Idrive_hs</f>
        <v>8.2050000000000005E-3</v>
      </c>
      <c r="E116" s="136"/>
      <c r="F116" s="133"/>
      <c r="G116" s="178" t="s">
        <v>2</v>
      </c>
      <c r="H116" s="133" t="s">
        <v>387</v>
      </c>
      <c r="I116" s="198"/>
      <c r="J116" s="202"/>
      <c r="M116" s="147"/>
      <c r="Q116" s="147"/>
      <c r="U116" s="147"/>
      <c r="Y116" s="147"/>
      <c r="AC116" s="147"/>
      <c r="AG116" s="147"/>
      <c r="AK116" s="147"/>
      <c r="AO116" s="147"/>
      <c r="AS116" s="147"/>
      <c r="AW116" s="147"/>
      <c r="BA116" s="147"/>
      <c r="BE116" s="147"/>
      <c r="BI116" s="147"/>
      <c r="BM116" s="147"/>
      <c r="BQ116" s="147"/>
      <c r="BU116" s="147"/>
      <c r="BY116" s="147"/>
      <c r="CC116" s="147"/>
      <c r="CG116" s="147"/>
      <c r="CK116" s="147"/>
      <c r="CO116" s="147"/>
      <c r="CS116" s="147"/>
      <c r="CW116" s="147"/>
      <c r="DA116" s="147"/>
      <c r="DE116" s="147"/>
      <c r="DI116" s="147"/>
      <c r="DM116" s="147"/>
      <c r="DQ116" s="147"/>
      <c r="DU116" s="147"/>
      <c r="DY116" s="147"/>
      <c r="EC116" s="147"/>
      <c r="EG116" s="147"/>
      <c r="EK116" s="147"/>
      <c r="EO116" s="147"/>
      <c r="ES116" s="147"/>
      <c r="EW116" s="147"/>
      <c r="FA116" s="147"/>
      <c r="FE116" s="147"/>
      <c r="FI116" s="147"/>
      <c r="FM116" s="147"/>
      <c r="FQ116" s="147"/>
      <c r="FU116" s="147"/>
      <c r="FY116" s="147"/>
      <c r="GC116" s="147"/>
      <c r="GG116" s="147"/>
      <c r="GK116" s="147"/>
      <c r="GO116" s="147"/>
      <c r="GS116" s="147"/>
      <c r="GW116" s="147"/>
      <c r="HA116" s="147"/>
      <c r="HE116" s="147"/>
      <c r="HI116" s="147"/>
      <c r="HM116" s="147"/>
      <c r="HQ116" s="147"/>
      <c r="HU116" s="147"/>
      <c r="HY116" s="147"/>
      <c r="IC116" s="147"/>
      <c r="IG116" s="147"/>
      <c r="IK116" s="147"/>
      <c r="IO116" s="147"/>
      <c r="IS116" s="147"/>
    </row>
    <row r="117" spans="1:254" x14ac:dyDescent="0.2">
      <c r="A117" s="195"/>
      <c r="B117" s="177"/>
      <c r="C117" s="131" t="s">
        <v>379</v>
      </c>
      <c r="D117" s="100">
        <v>5.5999999999999997E-6</v>
      </c>
      <c r="E117" s="136"/>
      <c r="F117" s="133"/>
      <c r="G117" s="178" t="s">
        <v>7</v>
      </c>
      <c r="H117" s="133" t="s">
        <v>444</v>
      </c>
      <c r="I117" s="198"/>
      <c r="J117" s="202"/>
      <c r="M117" s="147"/>
      <c r="Q117" s="147"/>
      <c r="U117" s="147"/>
      <c r="Y117" s="147"/>
      <c r="AC117" s="147"/>
      <c r="AG117" s="147"/>
      <c r="AK117" s="147"/>
      <c r="AO117" s="147"/>
      <c r="AS117" s="147"/>
      <c r="AW117" s="147"/>
      <c r="BA117" s="147"/>
      <c r="BE117" s="147"/>
      <c r="BI117" s="147"/>
      <c r="BM117" s="147"/>
      <c r="BQ117" s="147"/>
      <c r="BU117" s="147"/>
      <c r="BY117" s="147"/>
      <c r="CC117" s="147"/>
      <c r="CG117" s="147"/>
      <c r="CK117" s="147"/>
      <c r="CO117" s="147"/>
      <c r="CS117" s="147"/>
      <c r="CW117" s="147"/>
      <c r="DA117" s="147"/>
      <c r="DE117" s="147"/>
      <c r="DI117" s="147"/>
      <c r="DM117" s="147"/>
      <c r="DQ117" s="147"/>
      <c r="DU117" s="147"/>
      <c r="DY117" s="147"/>
      <c r="EC117" s="147"/>
      <c r="EG117" s="147"/>
      <c r="EK117" s="147"/>
      <c r="EO117" s="147"/>
      <c r="ES117" s="147"/>
      <c r="EW117" s="147"/>
      <c r="FA117" s="147"/>
      <c r="FE117" s="147"/>
      <c r="FI117" s="147"/>
      <c r="FM117" s="147"/>
      <c r="FQ117" s="147"/>
      <c r="FU117" s="147"/>
      <c r="FY117" s="147"/>
      <c r="GC117" s="147"/>
      <c r="GG117" s="147"/>
      <c r="GK117" s="147"/>
      <c r="GO117" s="147"/>
      <c r="GS117" s="147"/>
      <c r="GW117" s="147"/>
      <c r="HA117" s="147"/>
      <c r="HE117" s="147"/>
      <c r="HI117" s="147"/>
      <c r="HM117" s="147"/>
      <c r="HQ117" s="147"/>
      <c r="HU117" s="147"/>
      <c r="HY117" s="147"/>
      <c r="IC117" s="147"/>
      <c r="IG117" s="147"/>
      <c r="IK117" s="147"/>
      <c r="IO117" s="147"/>
      <c r="IS117" s="147"/>
    </row>
    <row r="118" spans="1:254" x14ac:dyDescent="0.2">
      <c r="A118" s="195"/>
      <c r="B118" s="175"/>
      <c r="C118" s="131" t="s">
        <v>366</v>
      </c>
      <c r="D118" s="121" t="str">
        <f>IF(Vfboot_int=0.75,"n/a","MBR1H100SFT3G")</f>
        <v>n/a</v>
      </c>
      <c r="E118" s="136"/>
      <c r="F118" s="133"/>
      <c r="G118" s="178"/>
      <c r="H118" s="133" t="s">
        <v>388</v>
      </c>
      <c r="I118" s="198"/>
      <c r="J118" s="202"/>
      <c r="M118" s="147"/>
      <c r="Q118" s="147"/>
      <c r="U118" s="147"/>
      <c r="Y118" s="147"/>
      <c r="AC118" s="147"/>
      <c r="AG118" s="147"/>
      <c r="AK118" s="147"/>
      <c r="AO118" s="147"/>
      <c r="AS118" s="147"/>
      <c r="AW118" s="147"/>
      <c r="BA118" s="147"/>
      <c r="BE118" s="147"/>
      <c r="BI118" s="147"/>
      <c r="BM118" s="147"/>
      <c r="BQ118" s="147"/>
      <c r="BU118" s="147"/>
      <c r="BY118" s="147"/>
      <c r="CC118" s="147"/>
      <c r="CG118" s="147"/>
      <c r="CK118" s="147"/>
      <c r="CO118" s="147"/>
      <c r="CS118" s="147"/>
      <c r="CW118" s="147"/>
      <c r="DA118" s="147"/>
      <c r="DE118" s="147"/>
      <c r="DI118" s="147"/>
      <c r="DM118" s="147"/>
      <c r="DQ118" s="147"/>
      <c r="DU118" s="147"/>
      <c r="DY118" s="147"/>
      <c r="EC118" s="147"/>
      <c r="EG118" s="147"/>
      <c r="EK118" s="147"/>
      <c r="EO118" s="147"/>
      <c r="ES118" s="147"/>
      <c r="EW118" s="147"/>
      <c r="FA118" s="147"/>
      <c r="FE118" s="147"/>
      <c r="FI118" s="147"/>
      <c r="FM118" s="147"/>
      <c r="FQ118" s="147"/>
      <c r="FU118" s="147"/>
      <c r="FY118" s="147"/>
      <c r="GC118" s="147"/>
      <c r="GG118" s="147"/>
      <c r="GK118" s="147"/>
      <c r="GO118" s="147"/>
      <c r="GS118" s="147"/>
      <c r="GW118" s="147"/>
      <c r="HA118" s="147"/>
      <c r="HE118" s="147"/>
      <c r="HI118" s="147"/>
      <c r="HM118" s="147"/>
      <c r="HQ118" s="147"/>
      <c r="HU118" s="147"/>
      <c r="HY118" s="147"/>
      <c r="IC118" s="147"/>
      <c r="IG118" s="147"/>
      <c r="IK118" s="147"/>
      <c r="IO118" s="147"/>
      <c r="IS118" s="147"/>
    </row>
    <row r="119" spans="1:254" x14ac:dyDescent="0.2">
      <c r="A119" s="195"/>
      <c r="B119" s="175"/>
      <c r="C119" s="131" t="s">
        <v>224</v>
      </c>
      <c r="D119" s="101">
        <f>IF(Vfboot_int=0.75,0.75,0.7)</f>
        <v>0.75</v>
      </c>
      <c r="E119" s="136"/>
      <c r="F119" s="133"/>
      <c r="G119" s="178" t="s">
        <v>3</v>
      </c>
      <c r="H119" s="133" t="s">
        <v>226</v>
      </c>
      <c r="I119" s="198"/>
      <c r="J119" s="202"/>
      <c r="M119" s="147"/>
      <c r="Q119" s="147"/>
      <c r="U119" s="147"/>
      <c r="Y119" s="147"/>
      <c r="AC119" s="147"/>
      <c r="AG119" s="147"/>
      <c r="AK119" s="147"/>
      <c r="AO119" s="147"/>
      <c r="AS119" s="147"/>
      <c r="AW119" s="147"/>
      <c r="BA119" s="147"/>
      <c r="BE119" s="147"/>
      <c r="BI119" s="147"/>
      <c r="BM119" s="147"/>
      <c r="BQ119" s="147"/>
      <c r="BU119" s="147"/>
      <c r="BY119" s="147"/>
      <c r="CC119" s="147"/>
      <c r="CG119" s="147"/>
      <c r="CK119" s="147"/>
      <c r="CO119" s="147"/>
      <c r="CS119" s="147"/>
      <c r="CW119" s="147"/>
      <c r="DA119" s="147"/>
      <c r="DE119" s="147"/>
      <c r="DI119" s="147"/>
      <c r="DM119" s="147"/>
      <c r="DQ119" s="147"/>
      <c r="DU119" s="147"/>
      <c r="DY119" s="147"/>
      <c r="EC119" s="147"/>
      <c r="EG119" s="147"/>
      <c r="EK119" s="147"/>
      <c r="EO119" s="147"/>
      <c r="ES119" s="147"/>
      <c r="EW119" s="147"/>
      <c r="FA119" s="147"/>
      <c r="FE119" s="147"/>
      <c r="FI119" s="147"/>
      <c r="FM119" s="147"/>
      <c r="FQ119" s="147"/>
      <c r="FU119" s="147"/>
      <c r="FY119" s="147"/>
      <c r="GC119" s="147"/>
      <c r="GG119" s="147"/>
      <c r="GK119" s="147"/>
      <c r="GO119" s="147"/>
      <c r="GS119" s="147"/>
      <c r="GW119" s="147"/>
      <c r="HA119" s="147"/>
      <c r="HE119" s="147"/>
      <c r="HI119" s="147"/>
      <c r="HM119" s="147"/>
      <c r="HQ119" s="147"/>
      <c r="HU119" s="147"/>
      <c r="HY119" s="147"/>
      <c r="IC119" s="147"/>
      <c r="IG119" s="147"/>
      <c r="IK119" s="147"/>
      <c r="IO119" s="147"/>
      <c r="IS119" s="147"/>
    </row>
    <row r="120" spans="1:254" ht="12.75" hidden="1" customHeight="1" x14ac:dyDescent="0.2">
      <c r="A120" s="195"/>
      <c r="B120" s="175"/>
      <c r="C120" s="131" t="s">
        <v>242</v>
      </c>
      <c r="D120" s="82">
        <f>Idrive_ls*Vcc_typ+Idrive_hs*(Vcc_typ-Vfboot)</f>
        <v>4.2050625000000001E-2</v>
      </c>
      <c r="E120" s="136"/>
      <c r="F120" s="133"/>
      <c r="G120" s="178" t="s">
        <v>12</v>
      </c>
      <c r="H120" s="133" t="s">
        <v>316</v>
      </c>
      <c r="I120" s="198"/>
      <c r="J120" s="202"/>
      <c r="M120" s="147"/>
      <c r="Q120" s="147"/>
      <c r="U120" s="147"/>
      <c r="Y120" s="147"/>
      <c r="AC120" s="147"/>
      <c r="AG120" s="147"/>
      <c r="AK120" s="147"/>
      <c r="AO120" s="147"/>
      <c r="AS120" s="147"/>
      <c r="AW120" s="147"/>
      <c r="BA120" s="147"/>
      <c r="BE120" s="147"/>
      <c r="BI120" s="147"/>
      <c r="BM120" s="147"/>
      <c r="BQ120" s="147"/>
      <c r="BU120" s="147"/>
      <c r="BY120" s="147"/>
      <c r="CC120" s="147"/>
      <c r="CG120" s="147"/>
      <c r="CK120" s="147"/>
      <c r="CO120" s="147"/>
      <c r="CS120" s="147"/>
      <c r="CW120" s="147"/>
      <c r="DA120" s="147"/>
      <c r="DE120" s="147"/>
      <c r="DI120" s="147"/>
      <c r="DM120" s="147"/>
      <c r="DQ120" s="147"/>
      <c r="DU120" s="147"/>
      <c r="DY120" s="147"/>
      <c r="EC120" s="147"/>
      <c r="EG120" s="147"/>
      <c r="EK120" s="147"/>
      <c r="EO120" s="147"/>
      <c r="ES120" s="147"/>
      <c r="EW120" s="147"/>
      <c r="FA120" s="147"/>
      <c r="FE120" s="147"/>
      <c r="FI120" s="147"/>
      <c r="FM120" s="147"/>
      <c r="FQ120" s="147"/>
      <c r="FU120" s="147"/>
      <c r="FY120" s="147"/>
      <c r="GC120" s="147"/>
      <c r="GG120" s="147"/>
      <c r="GK120" s="147"/>
      <c r="GO120" s="147"/>
      <c r="GS120" s="147"/>
      <c r="GW120" s="147"/>
      <c r="HA120" s="147"/>
      <c r="HE120" s="147"/>
      <c r="HI120" s="147"/>
      <c r="HM120" s="147"/>
      <c r="HQ120" s="147"/>
      <c r="HU120" s="147"/>
      <c r="HY120" s="147"/>
      <c r="IC120" s="147"/>
      <c r="IG120" s="147"/>
      <c r="IK120" s="147"/>
      <c r="IO120" s="147"/>
      <c r="IS120" s="147"/>
    </row>
    <row r="121" spans="1:254" ht="12.75" hidden="1" customHeight="1" x14ac:dyDescent="0.2">
      <c r="A121" s="195"/>
      <c r="B121" s="175"/>
      <c r="C121" s="131" t="s">
        <v>222</v>
      </c>
      <c r="D121" s="85">
        <v>0</v>
      </c>
      <c r="E121" s="136"/>
      <c r="F121" s="133"/>
      <c r="G121" s="178" t="s">
        <v>29</v>
      </c>
      <c r="H121" s="133" t="s">
        <v>292</v>
      </c>
      <c r="I121" s="198"/>
      <c r="J121" s="202"/>
      <c r="M121" s="147"/>
      <c r="Q121" s="147"/>
      <c r="U121" s="147"/>
      <c r="Y121" s="147"/>
      <c r="AC121" s="147"/>
      <c r="AG121" s="147"/>
      <c r="AK121" s="147"/>
      <c r="AO121" s="147"/>
      <c r="AS121" s="147"/>
      <c r="AW121" s="147"/>
      <c r="BA121" s="147"/>
      <c r="BE121" s="147"/>
      <c r="BI121" s="147"/>
      <c r="BM121" s="147"/>
      <c r="BQ121" s="147"/>
      <c r="BU121" s="147"/>
      <c r="BY121" s="147"/>
      <c r="CC121" s="147"/>
      <c r="CG121" s="147"/>
      <c r="CK121" s="147"/>
      <c r="CO121" s="147"/>
      <c r="CS121" s="147"/>
      <c r="CW121" s="147"/>
      <c r="DA121" s="147"/>
      <c r="DE121" s="147"/>
      <c r="DI121" s="147"/>
      <c r="DM121" s="147"/>
      <c r="DQ121" s="147"/>
      <c r="DU121" s="147"/>
      <c r="DY121" s="147"/>
      <c r="EC121" s="147"/>
      <c r="EG121" s="147"/>
      <c r="EK121" s="147"/>
      <c r="EO121" s="147"/>
      <c r="ES121" s="147"/>
      <c r="EW121" s="147"/>
      <c r="FA121" s="147"/>
      <c r="FE121" s="147"/>
      <c r="FI121" s="147"/>
      <c r="FM121" s="147"/>
      <c r="FQ121" s="147"/>
      <c r="FU121" s="147"/>
      <c r="FY121" s="147"/>
      <c r="GC121" s="147"/>
      <c r="GG121" s="147"/>
      <c r="GK121" s="147"/>
      <c r="GO121" s="147"/>
      <c r="GS121" s="147"/>
      <c r="GW121" s="147"/>
      <c r="HA121" s="147"/>
      <c r="HE121" s="147"/>
      <c r="HI121" s="147"/>
      <c r="HM121" s="147"/>
      <c r="HQ121" s="147"/>
      <c r="HU121" s="147"/>
      <c r="HY121" s="147"/>
      <c r="IC121" s="147"/>
      <c r="IG121" s="147"/>
      <c r="IK121" s="147"/>
      <c r="IO121" s="147"/>
      <c r="IS121" s="147"/>
    </row>
    <row r="122" spans="1:254" ht="12.75" hidden="1" customHeight="1" x14ac:dyDescent="0.2">
      <c r="A122" s="195"/>
      <c r="B122" s="175"/>
      <c r="C122" s="131" t="s">
        <v>228</v>
      </c>
      <c r="D122" s="85">
        <v>0</v>
      </c>
      <c r="E122" s="136"/>
      <c r="F122" s="133"/>
      <c r="G122" s="178" t="s">
        <v>29</v>
      </c>
      <c r="H122" s="133" t="s">
        <v>293</v>
      </c>
      <c r="I122" s="198"/>
      <c r="J122" s="202"/>
      <c r="M122" s="147"/>
      <c r="Q122" s="147"/>
      <c r="U122" s="147"/>
      <c r="Y122" s="147"/>
      <c r="AC122" s="147"/>
      <c r="AG122" s="147"/>
      <c r="AK122" s="147"/>
      <c r="AO122" s="147"/>
      <c r="AS122" s="147"/>
      <c r="AW122" s="147"/>
      <c r="BA122" s="147"/>
      <c r="BE122" s="147"/>
      <c r="BI122" s="147"/>
      <c r="BM122" s="147"/>
      <c r="BQ122" s="147"/>
      <c r="BU122" s="147"/>
      <c r="BY122" s="147"/>
      <c r="CC122" s="147"/>
      <c r="CG122" s="147"/>
      <c r="CK122" s="147"/>
      <c r="CO122" s="147"/>
      <c r="CS122" s="147"/>
      <c r="CW122" s="147"/>
      <c r="DA122" s="147"/>
      <c r="DE122" s="147"/>
      <c r="DI122" s="147"/>
      <c r="DM122" s="147"/>
      <c r="DQ122" s="147"/>
      <c r="DU122" s="147"/>
      <c r="DY122" s="147"/>
      <c r="EC122" s="147"/>
      <c r="EG122" s="147"/>
      <c r="EK122" s="147"/>
      <c r="EO122" s="147"/>
      <c r="ES122" s="147"/>
      <c r="EW122" s="147"/>
      <c r="FA122" s="147"/>
      <c r="FE122" s="147"/>
      <c r="FI122" s="147"/>
      <c r="FM122" s="147"/>
      <c r="FQ122" s="147"/>
      <c r="FU122" s="147"/>
      <c r="FY122" s="147"/>
      <c r="GC122" s="147"/>
      <c r="GG122" s="147"/>
      <c r="GK122" s="147"/>
      <c r="GO122" s="147"/>
      <c r="GS122" s="147"/>
      <c r="GW122" s="147"/>
      <c r="HA122" s="147"/>
      <c r="HE122" s="147"/>
      <c r="HI122" s="147"/>
      <c r="HM122" s="147"/>
      <c r="HQ122" s="147"/>
      <c r="HU122" s="147"/>
      <c r="HY122" s="147"/>
      <c r="IC122" s="147"/>
      <c r="IG122" s="147"/>
      <c r="IK122" s="147"/>
      <c r="IO122" s="147"/>
      <c r="IS122" s="147"/>
    </row>
    <row r="123" spans="1:254" x14ac:dyDescent="0.2">
      <c r="A123" s="195"/>
      <c r="B123" s="175"/>
      <c r="C123" s="131" t="s">
        <v>242</v>
      </c>
      <c r="D123" s="82">
        <f>(Vcc_typ-Vfboot)*Qg_hs*fsw/2*(Rhdrv_pu/(Rhdrv_pu+Rg_hs+Rgd_hs)+Rhdrv_pd/(Rhdrv_pd+Rg_hs+Rgd_hs))+Vcc_typ*Qg_ls*fsw/2*(Rldrv_pu/(Rldrv_pu+Rg_ls+Rgd_ls)+Rldrv_pd/(Rldrv_pd+Rg_ls+Rgd_ls))</f>
        <v>2.3138750482294627E-2</v>
      </c>
      <c r="E123" s="136"/>
      <c r="F123" s="133"/>
      <c r="G123" s="178" t="s">
        <v>12</v>
      </c>
      <c r="H123" s="133" t="s">
        <v>315</v>
      </c>
      <c r="I123" s="198"/>
      <c r="J123" s="202"/>
      <c r="M123" s="147"/>
      <c r="Q123" s="147"/>
      <c r="U123" s="147"/>
      <c r="Y123" s="147"/>
      <c r="AC123" s="147"/>
      <c r="AG123" s="147"/>
      <c r="AK123" s="147"/>
      <c r="AO123" s="147"/>
      <c r="AS123" s="147"/>
      <c r="AW123" s="147"/>
      <c r="BA123" s="147"/>
      <c r="BE123" s="147"/>
      <c r="BI123" s="147"/>
      <c r="BM123" s="147"/>
      <c r="BQ123" s="147"/>
      <c r="BU123" s="147"/>
      <c r="BY123" s="147"/>
      <c r="CC123" s="147"/>
      <c r="CG123" s="147"/>
      <c r="CK123" s="147"/>
      <c r="CO123" s="147"/>
      <c r="CS123" s="147"/>
      <c r="CW123" s="147"/>
      <c r="DA123" s="147"/>
      <c r="DE123" s="147"/>
      <c r="DI123" s="147"/>
      <c r="DM123" s="147"/>
      <c r="DQ123" s="147"/>
      <c r="DU123" s="147"/>
      <c r="DY123" s="147"/>
      <c r="EC123" s="147"/>
      <c r="EG123" s="147"/>
      <c r="EK123" s="147"/>
      <c r="EO123" s="147"/>
      <c r="ES123" s="147"/>
      <c r="EW123" s="147"/>
      <c r="FA123" s="147"/>
      <c r="FE123" s="147"/>
      <c r="FI123" s="147"/>
      <c r="FM123" s="147"/>
      <c r="FQ123" s="147"/>
      <c r="FU123" s="147"/>
      <c r="FY123" s="147"/>
      <c r="GC123" s="147"/>
      <c r="GG123" s="147"/>
      <c r="GK123" s="147"/>
      <c r="GO123" s="147"/>
      <c r="GS123" s="147"/>
      <c r="GW123" s="147"/>
      <c r="HA123" s="147"/>
      <c r="HE123" s="147"/>
      <c r="HI123" s="147"/>
      <c r="HM123" s="147"/>
      <c r="HQ123" s="147"/>
      <c r="HU123" s="147"/>
      <c r="HY123" s="147"/>
      <c r="IC123" s="147"/>
      <c r="IG123" s="147"/>
      <c r="IK123" s="147"/>
      <c r="IO123" s="147"/>
      <c r="IS123" s="147"/>
    </row>
    <row r="124" spans="1:254" x14ac:dyDescent="0.2">
      <c r="A124" s="195"/>
      <c r="B124" s="175"/>
      <c r="C124" s="131" t="s">
        <v>363</v>
      </c>
      <c r="D124" s="82">
        <f>(Vin_Max-Vcc_typ)*(Idrive_ls+Idrive_ls)</f>
        <v>6.5639999999999987E-3</v>
      </c>
      <c r="E124" s="136"/>
      <c r="F124" s="133"/>
      <c r="G124" s="178" t="s">
        <v>12</v>
      </c>
      <c r="H124" s="133" t="s">
        <v>364</v>
      </c>
      <c r="I124" s="198"/>
      <c r="J124" s="202"/>
      <c r="M124" s="147"/>
      <c r="Q124" s="147"/>
      <c r="U124" s="147"/>
      <c r="Y124" s="147"/>
      <c r="AC124" s="147"/>
      <c r="AG124" s="147"/>
      <c r="AK124" s="147"/>
      <c r="AO124" s="147"/>
      <c r="AS124" s="147"/>
      <c r="AW124" s="147"/>
      <c r="BA124" s="147"/>
      <c r="BE124" s="147"/>
      <c r="BI124" s="147"/>
      <c r="BM124" s="147"/>
      <c r="BQ124" s="147"/>
      <c r="BU124" s="147"/>
      <c r="BY124" s="147"/>
      <c r="CC124" s="147"/>
      <c r="CG124" s="147"/>
      <c r="CK124" s="147"/>
      <c r="CO124" s="147"/>
      <c r="CS124" s="147"/>
      <c r="CW124" s="147"/>
      <c r="DA124" s="147"/>
      <c r="DE124" s="147"/>
      <c r="DI124" s="147"/>
      <c r="DM124" s="147"/>
      <c r="DQ124" s="147"/>
      <c r="DU124" s="147"/>
      <c r="DY124" s="147"/>
      <c r="EC124" s="147"/>
      <c r="EG124" s="147"/>
      <c r="EK124" s="147"/>
      <c r="EO124" s="147"/>
      <c r="ES124" s="147"/>
      <c r="EW124" s="147"/>
      <c r="FA124" s="147"/>
      <c r="FE124" s="147"/>
      <c r="FI124" s="147"/>
      <c r="FM124" s="147"/>
      <c r="FQ124" s="147"/>
      <c r="FU124" s="147"/>
      <c r="FY124" s="147"/>
      <c r="GC124" s="147"/>
      <c r="GG124" s="147"/>
      <c r="GK124" s="147"/>
      <c r="GO124" s="147"/>
      <c r="GS124" s="147"/>
      <c r="GW124" s="147"/>
      <c r="HA124" s="147"/>
      <c r="HE124" s="147"/>
      <c r="HI124" s="147"/>
      <c r="HM124" s="147"/>
      <c r="HQ124" s="147"/>
      <c r="HU124" s="147"/>
      <c r="HY124" s="147"/>
      <c r="IC124" s="147"/>
      <c r="IG124" s="147"/>
      <c r="IK124" s="147"/>
      <c r="IO124" s="147"/>
      <c r="IS124" s="147"/>
    </row>
    <row r="125" spans="1:254" x14ac:dyDescent="0.2">
      <c r="A125" s="195"/>
      <c r="B125" s="175"/>
      <c r="C125" s="131" t="s">
        <v>234</v>
      </c>
      <c r="D125" s="82">
        <f>Vin_Nom*Iq</f>
        <v>3.5999999999999999E-3</v>
      </c>
      <c r="E125" s="136"/>
      <c r="F125" s="133"/>
      <c r="G125" s="178" t="s">
        <v>12</v>
      </c>
      <c r="H125" s="133" t="s">
        <v>294</v>
      </c>
      <c r="I125" s="198"/>
      <c r="J125" s="202"/>
      <c r="M125" s="147"/>
      <c r="Q125" s="147"/>
      <c r="U125" s="147"/>
      <c r="Y125" s="147"/>
      <c r="AC125" s="147"/>
      <c r="AG125" s="147"/>
      <c r="AK125" s="147"/>
      <c r="AO125" s="147"/>
      <c r="AS125" s="147"/>
      <c r="AW125" s="147"/>
      <c r="BA125" s="147"/>
      <c r="BE125" s="147"/>
      <c r="BI125" s="147"/>
      <c r="BM125" s="147"/>
      <c r="BQ125" s="147"/>
      <c r="BU125" s="147"/>
      <c r="BY125" s="147"/>
      <c r="CC125" s="147"/>
      <c r="CG125" s="147"/>
      <c r="CK125" s="147"/>
      <c r="CO125" s="147"/>
      <c r="CS125" s="147"/>
      <c r="CW125" s="147"/>
      <c r="DA125" s="147"/>
      <c r="DE125" s="147"/>
      <c r="DI125" s="147"/>
      <c r="DM125" s="147"/>
      <c r="DQ125" s="147"/>
      <c r="DU125" s="147"/>
      <c r="DY125" s="147"/>
      <c r="EC125" s="147"/>
      <c r="EG125" s="147"/>
      <c r="EK125" s="147"/>
      <c r="EO125" s="147"/>
      <c r="ES125" s="147"/>
      <c r="EW125" s="147"/>
      <c r="FA125" s="147"/>
      <c r="FE125" s="147"/>
      <c r="FI125" s="147"/>
      <c r="FM125" s="147"/>
      <c r="FQ125" s="147"/>
      <c r="FU125" s="147"/>
      <c r="FY125" s="147"/>
      <c r="GC125" s="147"/>
      <c r="GG125" s="147"/>
      <c r="GK125" s="147"/>
      <c r="GO125" s="147"/>
      <c r="GS125" s="147"/>
      <c r="GW125" s="147"/>
      <c r="HA125" s="147"/>
      <c r="HE125" s="147"/>
      <c r="HI125" s="147"/>
      <c r="HM125" s="147"/>
      <c r="HQ125" s="147"/>
      <c r="HU125" s="147"/>
      <c r="HY125" s="147"/>
      <c r="IC125" s="147"/>
      <c r="IG125" s="147"/>
      <c r="IK125" s="147"/>
      <c r="IO125" s="147"/>
      <c r="IS125" s="147"/>
    </row>
    <row r="126" spans="1:254" x14ac:dyDescent="0.2">
      <c r="A126" s="195"/>
      <c r="B126" s="156"/>
      <c r="C126" s="141"/>
      <c r="D126" s="162"/>
      <c r="E126" s="162"/>
      <c r="F126" s="141"/>
      <c r="G126" s="145"/>
      <c r="H126" s="141"/>
      <c r="I126" s="198"/>
      <c r="J126" s="202"/>
    </row>
    <row r="127" spans="1:254" x14ac:dyDescent="0.2">
      <c r="A127" s="195"/>
      <c r="B127" s="258" t="s">
        <v>112</v>
      </c>
      <c r="C127" s="258"/>
      <c r="D127" s="158"/>
      <c r="E127" s="158"/>
      <c r="F127" s="158"/>
      <c r="G127" s="160"/>
      <c r="H127" s="158"/>
      <c r="I127" s="212"/>
      <c r="J127" s="213"/>
      <c r="L127" s="168"/>
      <c r="M127" s="157"/>
      <c r="N127" s="157"/>
      <c r="P127" s="157"/>
      <c r="Q127" s="157"/>
      <c r="R127" s="157"/>
      <c r="T127" s="157"/>
      <c r="U127" s="157"/>
      <c r="V127" s="157"/>
      <c r="X127" s="157"/>
      <c r="Y127" s="157"/>
      <c r="Z127" s="157"/>
      <c r="AB127" s="157"/>
      <c r="AC127" s="157"/>
      <c r="AD127" s="157"/>
      <c r="AF127" s="157"/>
      <c r="AG127" s="157"/>
      <c r="AH127" s="157"/>
      <c r="AJ127" s="157"/>
      <c r="AK127" s="157"/>
      <c r="AL127" s="157"/>
      <c r="AN127" s="157"/>
      <c r="AO127" s="157"/>
      <c r="AP127" s="157"/>
      <c r="AR127" s="157"/>
      <c r="AS127" s="157"/>
      <c r="AT127" s="157"/>
      <c r="AV127" s="157"/>
      <c r="AW127" s="157"/>
      <c r="AX127" s="157"/>
      <c r="AZ127" s="157"/>
      <c r="BA127" s="157"/>
      <c r="BB127" s="157"/>
      <c r="BD127" s="157"/>
      <c r="BE127" s="157"/>
      <c r="BF127" s="157"/>
      <c r="BH127" s="157"/>
      <c r="BI127" s="157"/>
      <c r="BJ127" s="157"/>
      <c r="BL127" s="157"/>
      <c r="BM127" s="157"/>
      <c r="BN127" s="157"/>
      <c r="BP127" s="157"/>
      <c r="BQ127" s="157"/>
      <c r="BR127" s="157"/>
      <c r="BT127" s="157"/>
      <c r="BU127" s="157"/>
      <c r="BV127" s="157"/>
      <c r="BX127" s="157"/>
      <c r="BY127" s="157"/>
      <c r="BZ127" s="157"/>
      <c r="CB127" s="157"/>
      <c r="CC127" s="157"/>
      <c r="CD127" s="157"/>
      <c r="CF127" s="157"/>
      <c r="CG127" s="157"/>
      <c r="CH127" s="157"/>
      <c r="CJ127" s="157"/>
      <c r="CK127" s="157"/>
      <c r="CL127" s="157"/>
      <c r="CN127" s="157"/>
      <c r="CO127" s="157"/>
      <c r="CP127" s="157"/>
      <c r="CR127" s="157"/>
      <c r="CS127" s="157"/>
      <c r="CT127" s="157"/>
      <c r="CV127" s="157"/>
      <c r="CW127" s="157"/>
      <c r="CX127" s="157"/>
      <c r="CZ127" s="157"/>
      <c r="DA127" s="157"/>
      <c r="DB127" s="157"/>
      <c r="DD127" s="157"/>
      <c r="DE127" s="157"/>
      <c r="DF127" s="157"/>
      <c r="DH127" s="157"/>
      <c r="DI127" s="157"/>
      <c r="DJ127" s="157"/>
      <c r="DL127" s="157"/>
      <c r="DM127" s="157"/>
      <c r="DN127" s="157"/>
      <c r="DP127" s="157"/>
      <c r="DQ127" s="157"/>
      <c r="DR127" s="157"/>
      <c r="DT127" s="157"/>
      <c r="DU127" s="157"/>
      <c r="DV127" s="157"/>
      <c r="DX127" s="157"/>
      <c r="DY127" s="157"/>
      <c r="DZ127" s="157"/>
      <c r="EB127" s="157"/>
      <c r="EC127" s="157"/>
      <c r="ED127" s="157"/>
      <c r="EF127" s="157"/>
      <c r="EG127" s="157"/>
      <c r="EH127" s="157"/>
      <c r="EJ127" s="157"/>
      <c r="EK127" s="157"/>
      <c r="EL127" s="157"/>
      <c r="EN127" s="157"/>
      <c r="EO127" s="157"/>
      <c r="EP127" s="157"/>
      <c r="ER127" s="157"/>
      <c r="ES127" s="157"/>
      <c r="ET127" s="157"/>
      <c r="EV127" s="157"/>
      <c r="EW127" s="157"/>
      <c r="EX127" s="157"/>
      <c r="EZ127" s="157"/>
      <c r="FA127" s="157"/>
      <c r="FB127" s="157"/>
      <c r="FD127" s="157"/>
      <c r="FE127" s="157"/>
      <c r="FF127" s="157"/>
      <c r="FH127" s="157"/>
      <c r="FI127" s="157"/>
      <c r="FJ127" s="157"/>
      <c r="FL127" s="157"/>
      <c r="FM127" s="157"/>
      <c r="FN127" s="157"/>
      <c r="FP127" s="157"/>
      <c r="FQ127" s="157"/>
      <c r="FR127" s="157"/>
      <c r="FT127" s="157"/>
      <c r="FU127" s="157"/>
      <c r="FV127" s="157"/>
      <c r="FX127" s="157"/>
      <c r="FY127" s="157"/>
      <c r="FZ127" s="157"/>
      <c r="GB127" s="157"/>
      <c r="GC127" s="157"/>
      <c r="GD127" s="157"/>
      <c r="GF127" s="157"/>
      <c r="GG127" s="157"/>
      <c r="GH127" s="157"/>
      <c r="GJ127" s="157"/>
      <c r="GK127" s="157"/>
      <c r="GL127" s="157"/>
      <c r="GN127" s="157"/>
      <c r="GO127" s="157"/>
      <c r="GP127" s="157"/>
      <c r="GR127" s="157"/>
      <c r="GS127" s="157"/>
      <c r="GT127" s="157"/>
      <c r="GV127" s="157"/>
      <c r="GW127" s="157"/>
      <c r="GX127" s="157"/>
      <c r="GZ127" s="157"/>
      <c r="HA127" s="157"/>
      <c r="HB127" s="157"/>
      <c r="HD127" s="157"/>
      <c r="HE127" s="157"/>
      <c r="HF127" s="157"/>
      <c r="HH127" s="157"/>
      <c r="HI127" s="157"/>
      <c r="HJ127" s="157"/>
      <c r="HL127" s="157"/>
      <c r="HM127" s="157"/>
      <c r="HN127" s="157"/>
      <c r="HP127" s="157"/>
      <c r="HQ127" s="157"/>
      <c r="HR127" s="157"/>
      <c r="HT127" s="157"/>
      <c r="HU127" s="157"/>
      <c r="HV127" s="157"/>
      <c r="HX127" s="157"/>
      <c r="HY127" s="157"/>
      <c r="HZ127" s="157"/>
      <c r="IB127" s="157"/>
      <c r="IC127" s="157"/>
      <c r="ID127" s="157"/>
      <c r="IF127" s="157"/>
      <c r="IG127" s="157"/>
      <c r="IH127" s="157"/>
      <c r="IJ127" s="157"/>
      <c r="IK127" s="157"/>
      <c r="IL127" s="157"/>
      <c r="IN127" s="157"/>
      <c r="IO127" s="157"/>
      <c r="IP127" s="157"/>
      <c r="IR127" s="157"/>
      <c r="IS127" s="157"/>
      <c r="IT127" s="157"/>
    </row>
    <row r="128" spans="1:254" x14ac:dyDescent="0.2">
      <c r="A128" s="195"/>
      <c r="B128" s="177">
        <v>31</v>
      </c>
      <c r="C128" s="131" t="s">
        <v>424</v>
      </c>
      <c r="D128" s="81">
        <f>Iripple/(4*fsw*Viripple)</f>
        <v>6.2385080115576569E-6</v>
      </c>
      <c r="E128" s="136"/>
      <c r="F128" s="133"/>
      <c r="G128" s="178" t="s">
        <v>3</v>
      </c>
      <c r="H128" s="181" t="s">
        <v>227</v>
      </c>
      <c r="I128" s="198"/>
      <c r="J128" s="202"/>
      <c r="M128" s="147"/>
      <c r="Q128" s="147"/>
      <c r="U128" s="147"/>
      <c r="Y128" s="147"/>
      <c r="AC128" s="147"/>
      <c r="AG128" s="147"/>
      <c r="AK128" s="147"/>
      <c r="AO128" s="147"/>
      <c r="AS128" s="147"/>
      <c r="AW128" s="147"/>
      <c r="BA128" s="147"/>
      <c r="BE128" s="147"/>
      <c r="BI128" s="147"/>
      <c r="BM128" s="147"/>
      <c r="BQ128" s="147"/>
      <c r="BU128" s="147"/>
      <c r="BY128" s="147"/>
      <c r="CC128" s="147"/>
      <c r="CG128" s="147"/>
      <c r="CK128" s="147"/>
      <c r="CO128" s="147"/>
      <c r="CS128" s="147"/>
      <c r="CW128" s="147"/>
      <c r="DA128" s="147"/>
      <c r="DE128" s="147"/>
      <c r="DI128" s="147"/>
      <c r="DM128" s="147"/>
      <c r="DQ128" s="147"/>
      <c r="DU128" s="147"/>
      <c r="DY128" s="147"/>
      <c r="EC128" s="147"/>
      <c r="EG128" s="147"/>
      <c r="EK128" s="147"/>
      <c r="EO128" s="147"/>
      <c r="ES128" s="147"/>
      <c r="EW128" s="147"/>
      <c r="FA128" s="147"/>
      <c r="FE128" s="147"/>
      <c r="FI128" s="147"/>
      <c r="FM128" s="147"/>
      <c r="FQ128" s="147"/>
      <c r="FU128" s="147"/>
      <c r="FY128" s="147"/>
      <c r="GC128" s="147"/>
      <c r="GG128" s="147"/>
      <c r="GK128" s="147"/>
      <c r="GO128" s="147"/>
      <c r="GS128" s="147"/>
      <c r="GW128" s="147"/>
      <c r="HA128" s="147"/>
      <c r="HE128" s="147"/>
      <c r="HI128" s="147"/>
      <c r="HM128" s="147"/>
      <c r="HQ128" s="147"/>
      <c r="HU128" s="147"/>
      <c r="HY128" s="147"/>
      <c r="IC128" s="147"/>
      <c r="IG128" s="147"/>
      <c r="IK128" s="147"/>
      <c r="IO128" s="147"/>
      <c r="IS128" s="147"/>
    </row>
    <row r="129" spans="1:253" x14ac:dyDescent="0.2">
      <c r="A129" s="195"/>
      <c r="B129" s="130"/>
      <c r="C129" s="131" t="s">
        <v>425</v>
      </c>
      <c r="D129" s="93">
        <v>1.1199999999999999E-5</v>
      </c>
      <c r="E129" s="133"/>
      <c r="F129" s="133"/>
      <c r="G129" s="178" t="s">
        <v>7</v>
      </c>
      <c r="H129" s="133" t="s">
        <v>431</v>
      </c>
      <c r="I129" s="198"/>
      <c r="J129" s="202"/>
      <c r="M129" s="147"/>
      <c r="Q129" s="147"/>
      <c r="U129" s="147"/>
      <c r="Y129" s="147"/>
      <c r="AC129" s="147"/>
      <c r="AG129" s="147"/>
      <c r="AK129" s="147"/>
      <c r="AO129" s="147"/>
      <c r="AS129" s="147"/>
      <c r="AW129" s="147"/>
      <c r="BA129" s="147"/>
      <c r="BE129" s="147"/>
      <c r="BI129" s="147"/>
      <c r="BM129" s="147"/>
      <c r="BQ129" s="147"/>
      <c r="BU129" s="147"/>
      <c r="BY129" s="147"/>
      <c r="CC129" s="147"/>
      <c r="CG129" s="147"/>
      <c r="CK129" s="147"/>
      <c r="CO129" s="147"/>
      <c r="CS129" s="147"/>
      <c r="CW129" s="147"/>
      <c r="DA129" s="147"/>
      <c r="DE129" s="147"/>
      <c r="DI129" s="147"/>
      <c r="DM129" s="147"/>
      <c r="DQ129" s="147"/>
      <c r="DU129" s="147"/>
      <c r="DY129" s="147"/>
      <c r="EC129" s="147"/>
      <c r="EG129" s="147"/>
      <c r="EK129" s="147"/>
      <c r="EO129" s="147"/>
      <c r="ES129" s="147"/>
      <c r="EW129" s="147"/>
      <c r="FA129" s="147"/>
      <c r="FE129" s="147"/>
      <c r="FI129" s="147"/>
      <c r="FM129" s="147"/>
      <c r="FQ129" s="147"/>
      <c r="FU129" s="147"/>
      <c r="FY129" s="147"/>
      <c r="GC129" s="147"/>
      <c r="GG129" s="147"/>
      <c r="GK129" s="147"/>
      <c r="GO129" s="147"/>
      <c r="GS129" s="147"/>
      <c r="GW129" s="147"/>
      <c r="HA129" s="147"/>
      <c r="HE129" s="147"/>
      <c r="HI129" s="147"/>
      <c r="HM129" s="147"/>
      <c r="HQ129" s="147"/>
      <c r="HU129" s="147"/>
      <c r="HY129" s="147"/>
      <c r="IC129" s="147"/>
      <c r="IG129" s="147"/>
      <c r="IK129" s="147"/>
      <c r="IO129" s="147"/>
      <c r="IS129" s="147"/>
    </row>
    <row r="130" spans="1:253" x14ac:dyDescent="0.2">
      <c r="A130" s="195"/>
      <c r="B130" s="177">
        <v>32</v>
      </c>
      <c r="C130" s="131" t="s">
        <v>67</v>
      </c>
      <c r="D130" s="83">
        <f>Iripple/SQRT(12)</f>
        <v>0.32416238518330054</v>
      </c>
      <c r="E130" s="136"/>
      <c r="F130" s="133"/>
      <c r="G130" s="178" t="s">
        <v>2</v>
      </c>
      <c r="H130" s="181" t="s">
        <v>91</v>
      </c>
      <c r="I130" s="198"/>
      <c r="J130" s="202"/>
      <c r="M130" s="147"/>
      <c r="Q130" s="147"/>
      <c r="U130" s="147"/>
      <c r="Y130" s="147"/>
      <c r="AC130" s="147"/>
      <c r="AG130" s="147"/>
      <c r="AK130" s="147"/>
      <c r="AO130" s="147"/>
      <c r="AS130" s="147"/>
      <c r="AW130" s="147"/>
      <c r="BA130" s="147"/>
      <c r="BE130" s="147"/>
      <c r="BI130" s="147"/>
      <c r="BM130" s="147"/>
      <c r="BQ130" s="147"/>
      <c r="BU130" s="147"/>
      <c r="BY130" s="147"/>
      <c r="CC130" s="147"/>
      <c r="CG130" s="147"/>
      <c r="CK130" s="147"/>
      <c r="CO130" s="147"/>
      <c r="CS130" s="147"/>
      <c r="CW130" s="147"/>
      <c r="DA130" s="147"/>
      <c r="DE130" s="147"/>
      <c r="DI130" s="147"/>
      <c r="DM130" s="147"/>
      <c r="DQ130" s="147"/>
      <c r="DU130" s="147"/>
      <c r="DY130" s="147"/>
      <c r="EC130" s="147"/>
      <c r="EG130" s="147"/>
      <c r="EK130" s="147"/>
      <c r="EO130" s="147"/>
      <c r="ES130" s="147"/>
      <c r="EW130" s="147"/>
      <c r="FA130" s="147"/>
      <c r="FE130" s="147"/>
      <c r="FI130" s="147"/>
      <c r="FM130" s="147"/>
      <c r="FQ130" s="147"/>
      <c r="FU130" s="147"/>
      <c r="FY130" s="147"/>
      <c r="GC130" s="147"/>
      <c r="GG130" s="147"/>
      <c r="GK130" s="147"/>
      <c r="GO130" s="147"/>
      <c r="GS130" s="147"/>
      <c r="GW130" s="147"/>
      <c r="HA130" s="147"/>
      <c r="HE130" s="147"/>
      <c r="HI130" s="147"/>
      <c r="HM130" s="147"/>
      <c r="HQ130" s="147"/>
      <c r="HU130" s="147"/>
      <c r="HY130" s="147"/>
      <c r="IC130" s="147"/>
      <c r="IG130" s="147"/>
      <c r="IK130" s="147"/>
      <c r="IO130" s="147"/>
      <c r="IS130" s="147"/>
    </row>
    <row r="131" spans="1:253" x14ac:dyDescent="0.2">
      <c r="A131" s="195"/>
      <c r="B131" s="156"/>
      <c r="C131" s="141"/>
      <c r="D131" s="162"/>
      <c r="E131" s="162"/>
      <c r="F131" s="141"/>
      <c r="G131" s="145"/>
      <c r="H131" s="141"/>
      <c r="I131" s="198"/>
      <c r="J131" s="202"/>
    </row>
    <row r="132" spans="1:253" ht="15" x14ac:dyDescent="0.25">
      <c r="A132" s="198"/>
      <c r="B132" s="119" t="s">
        <v>120</v>
      </c>
      <c r="C132" s="118" t="s">
        <v>57</v>
      </c>
      <c r="D132" s="255" t="s">
        <v>9</v>
      </c>
      <c r="E132" s="256"/>
      <c r="F132" s="257"/>
      <c r="G132" s="118" t="s">
        <v>8</v>
      </c>
      <c r="H132" s="126" t="s">
        <v>422</v>
      </c>
      <c r="I132" s="216"/>
      <c r="J132" s="202"/>
      <c r="M132" s="147"/>
    </row>
    <row r="133" spans="1:253" x14ac:dyDescent="0.2">
      <c r="A133" s="195"/>
      <c r="B133" s="156"/>
      <c r="C133" s="141"/>
      <c r="D133" s="162"/>
      <c r="E133" s="162"/>
      <c r="F133" s="141"/>
      <c r="G133" s="145"/>
      <c r="H133" s="141"/>
      <c r="I133" s="198"/>
      <c r="J133" s="202"/>
    </row>
    <row r="134" spans="1:253" x14ac:dyDescent="0.2">
      <c r="A134" s="195"/>
      <c r="B134" s="258" t="s">
        <v>410</v>
      </c>
      <c r="C134" s="258"/>
      <c r="D134" s="159"/>
      <c r="E134" s="159"/>
      <c r="F134" s="159"/>
      <c r="G134" s="164"/>
      <c r="H134" s="159"/>
      <c r="I134" s="198"/>
      <c r="J134" s="202"/>
    </row>
    <row r="135" spans="1:253" x14ac:dyDescent="0.2">
      <c r="A135" s="195"/>
      <c r="B135" s="177"/>
      <c r="C135" s="131" t="s">
        <v>445</v>
      </c>
      <c r="D135" s="93">
        <v>11000</v>
      </c>
      <c r="E135" s="133"/>
      <c r="F135" s="133"/>
      <c r="G135" s="178" t="s">
        <v>29</v>
      </c>
      <c r="H135" s="133" t="s">
        <v>266</v>
      </c>
      <c r="I135" s="198"/>
      <c r="J135" s="202"/>
    </row>
    <row r="136" spans="1:253" x14ac:dyDescent="0.2">
      <c r="A136" s="195"/>
      <c r="B136" s="177">
        <v>33</v>
      </c>
      <c r="C136" s="131" t="s">
        <v>367</v>
      </c>
      <c r="D136" s="82">
        <f>Rsl*(Vout/Vref-1)</f>
        <v>205393.44262295082</v>
      </c>
      <c r="E136" s="94">
        <f>(IF((10^(LOG(D136)-INT(LOG(D136)))*100)-VLOOKUP((10^(LOG(D136)-INT(LOG(D136)))*100),E96_s:E96_f,1)&lt;VLOOKUP((10^(LOG(D136)-INT(LOG(D136)))*100),E96_s:E96_f,2)-(10^(LOG(D136)-INT(LOG(D136)))*100),VLOOKUP((10^(LOG(D136)-INT(LOG(D136)))*100),E96_s:E96_f,1),VLOOKUP((10^(LOG(D136)-INT(LOG(D136)))*100),E96_s:E96_f,2)))*10^INT(LOG(D136))/100</f>
        <v>205000</v>
      </c>
      <c r="F136" s="133"/>
      <c r="G136" s="178" t="s">
        <v>29</v>
      </c>
      <c r="H136" s="133" t="s">
        <v>265</v>
      </c>
      <c r="I136" s="198"/>
      <c r="J136" s="202"/>
    </row>
    <row r="137" spans="1:253" x14ac:dyDescent="0.2">
      <c r="A137" s="195"/>
      <c r="B137" s="177"/>
      <c r="C137" s="131" t="s">
        <v>368</v>
      </c>
      <c r="D137" s="93">
        <f>E136</f>
        <v>205000</v>
      </c>
      <c r="E137" s="136"/>
      <c r="F137" s="133"/>
      <c r="G137" s="178" t="s">
        <v>29</v>
      </c>
      <c r="H137" s="133" t="s">
        <v>106</v>
      </c>
      <c r="I137" s="198"/>
      <c r="J137" s="202"/>
    </row>
    <row r="138" spans="1:253" x14ac:dyDescent="0.2">
      <c r="A138" s="195"/>
      <c r="B138" s="148"/>
      <c r="C138" s="141"/>
      <c r="D138" s="163"/>
      <c r="E138" s="163"/>
      <c r="F138" s="163"/>
      <c r="G138" s="145"/>
      <c r="H138" s="141"/>
      <c r="I138" s="198"/>
      <c r="J138" s="202"/>
    </row>
    <row r="139" spans="1:253" x14ac:dyDescent="0.2">
      <c r="A139" s="195"/>
      <c r="B139" s="258" t="s">
        <v>411</v>
      </c>
      <c r="C139" s="258"/>
      <c r="D139" s="159"/>
      <c r="E139" s="159"/>
      <c r="F139" s="159"/>
      <c r="G139" s="164"/>
      <c r="H139" s="159"/>
      <c r="I139" s="198"/>
      <c r="J139" s="202"/>
      <c r="M139" s="147"/>
    </row>
    <row r="140" spans="1:253" x14ac:dyDescent="0.2">
      <c r="A140" s="195"/>
      <c r="B140" s="175"/>
      <c r="C140" s="131" t="s">
        <v>243</v>
      </c>
      <c r="D140" s="93">
        <v>2.5000000000000001E-2</v>
      </c>
      <c r="E140" s="133"/>
      <c r="F140" s="133"/>
      <c r="G140" s="178" t="s">
        <v>42</v>
      </c>
      <c r="H140" s="133" t="s">
        <v>244</v>
      </c>
      <c r="I140" s="198"/>
      <c r="J140" s="202"/>
      <c r="M140" s="147"/>
    </row>
    <row r="141" spans="1:253" x14ac:dyDescent="0.2">
      <c r="A141" s="195"/>
      <c r="B141" s="177">
        <v>34</v>
      </c>
      <c r="C141" s="131" t="s">
        <v>261</v>
      </c>
      <c r="D141" s="95">
        <f>tss*Iss/Vref</f>
        <v>1.0245901639344264E-7</v>
      </c>
      <c r="E141" s="97">
        <f>IF(D141*10^12&lt;10000,IF((10^(LOG(D141*10^12)-INT(LOG(D141*10^12))))-VLOOKUP((10^(LOG(D141*10^12)-INT(LOG(D141*10^12)))),c_s1:C_f1,1)&lt;VLOOKUP((10^(LOG(D141*10^12)-INT(LOG(D141*10^12)))),c_s1:C_f1,2)-(10^(LOG(D141*10^12)-INT(LOG(D141*10^12)))),VLOOKUP((10^(LOG(D141*10^12)-INT(LOG(D141*10^12)))),c_s1:C_f1,1),VLOOKUP((10^(LOG(D141*10^12)-INT(LOG(D141*10^12)))),c_s1:C_f1,2))*10^INT(LOG(D141*10^12)),IF((10^(LOG(D141*10^12)-INT(LOG(D141*10^12))))-VLOOKUP((10^(LOG(D141*10^12)-INT(LOG(D141*10^12)))),C_s2:C_f2,1)&lt;VLOOKUP((10^(LOG(D141*10^12)-INT(LOG(D141*10^12)))),C_s2:C_f2,2)-(10^(LOG(D141*10^12)-INT(LOG(D141*10^12)))),VLOOKUP((10^(LOG(D141*10^12)-INT(LOG(D141*10^12)))),C_s2:C_f2,1),VLOOKUP((10^(LOG(D141*10^12)-INT(LOG(D141*10^12)))),C_s2:C_f2,2))*10^INT(LOG(D141*10^12)))*10^-12</f>
        <v>9.9999999999999995E-8</v>
      </c>
      <c r="F141" s="133"/>
      <c r="G141" s="178" t="s">
        <v>7</v>
      </c>
      <c r="H141" s="133" t="s">
        <v>262</v>
      </c>
      <c r="I141" s="198"/>
      <c r="J141" s="202"/>
      <c r="M141" s="147"/>
    </row>
    <row r="142" spans="1:253" x14ac:dyDescent="0.2">
      <c r="A142" s="195"/>
      <c r="B142" s="177"/>
      <c r="C142" s="131" t="s">
        <v>446</v>
      </c>
      <c r="D142" s="93">
        <f>E141</f>
        <v>9.9999999999999995E-8</v>
      </c>
      <c r="E142" s="132"/>
      <c r="F142" s="133"/>
      <c r="G142" s="178" t="s">
        <v>7</v>
      </c>
      <c r="H142" s="133" t="s">
        <v>263</v>
      </c>
      <c r="I142" s="198"/>
      <c r="J142" s="202"/>
      <c r="M142" s="147"/>
    </row>
    <row r="143" spans="1:253" x14ac:dyDescent="0.2">
      <c r="A143" s="195"/>
      <c r="B143" s="156"/>
      <c r="C143" s="157"/>
      <c r="D143" s="157"/>
      <c r="E143" s="157"/>
      <c r="F143" s="141"/>
      <c r="G143" s="156"/>
      <c r="H143" s="157"/>
      <c r="I143" s="212"/>
      <c r="J143" s="202"/>
      <c r="M143" s="147"/>
    </row>
    <row r="144" spans="1:253" x14ac:dyDescent="0.2">
      <c r="A144" s="195"/>
      <c r="B144" s="258" t="s">
        <v>412</v>
      </c>
      <c r="C144" s="258"/>
      <c r="D144" s="159"/>
      <c r="E144" s="159"/>
      <c r="F144" s="159"/>
      <c r="G144" s="164"/>
      <c r="H144" s="159"/>
      <c r="I144" s="198"/>
      <c r="J144" s="202"/>
    </row>
    <row r="145" spans="1:13" x14ac:dyDescent="0.2">
      <c r="A145" s="195"/>
      <c r="B145" s="177">
        <v>35</v>
      </c>
      <c r="C145" s="131" t="s">
        <v>416</v>
      </c>
      <c r="D145" s="82">
        <f>(Vstart*(Ven_dis/Ven_on)-Vstop)/(Ien_pup*(1-Ven_dis/Ven_on)+Ien_hys)</f>
        <v>6753.3766883439685</v>
      </c>
      <c r="E145" s="94">
        <f>(IF((10^(LOG(D145)-INT(LOG(D145)))*100)-VLOOKUP((10^(LOG(D145)-INT(LOG(D145)))*100),E96_s:E96_f,1)&lt;VLOOKUP((10^(LOG(D145)-INT(LOG(D145)))*100),E96_s:E96_f,2)-(10^(LOG(D145)-INT(LOG(D145)))*100),VLOOKUP((10^(LOG(D145)-INT(LOG(D145)))*100),E96_s:E96_f,1),VLOOKUP((10^(LOG(D145)-INT(LOG(D145)))*100),E96_s:E96_f,2)))*10^INT(LOG(D145))/100</f>
        <v>6810</v>
      </c>
      <c r="F145" s="133"/>
      <c r="G145" s="178" t="s">
        <v>29</v>
      </c>
      <c r="H145" s="133" t="s">
        <v>267</v>
      </c>
      <c r="I145" s="198"/>
      <c r="J145" s="202"/>
    </row>
    <row r="146" spans="1:13" x14ac:dyDescent="0.2">
      <c r="A146" s="195"/>
      <c r="B146" s="177"/>
      <c r="C146" s="131" t="s">
        <v>447</v>
      </c>
      <c r="D146" s="93">
        <f>E145</f>
        <v>6810</v>
      </c>
      <c r="E146" s="133"/>
      <c r="F146" s="133"/>
      <c r="G146" s="178" t="s">
        <v>29</v>
      </c>
      <c r="H146" s="133" t="s">
        <v>268</v>
      </c>
      <c r="I146" s="198"/>
      <c r="J146" s="202"/>
    </row>
    <row r="147" spans="1:13" x14ac:dyDescent="0.2">
      <c r="A147" s="195"/>
      <c r="B147" s="177">
        <v>36</v>
      </c>
      <c r="C147" s="131" t="s">
        <v>417</v>
      </c>
      <c r="D147" s="82">
        <f>Ruvloh*Ven_dis/(Vstop-Ven_dis+Ruvloh*(Ien_pup+Ien_hys)+Ien_hys)</f>
        <v>2287.353657273256</v>
      </c>
      <c r="E147" s="94">
        <f>(IF((10^(LOG(D147)-INT(LOG(D147)))*100)-VLOOKUP((10^(LOG(D147)-INT(LOG(D147)))*100),E96_s:E96_f,1)&lt;VLOOKUP((10^(LOG(D147)-INT(LOG(D147)))*100),E96_s:E96_f,2)-(10^(LOG(D147)-INT(LOG(D147)))*100),VLOOKUP((10^(LOG(D147)-INT(LOG(D147)))*100),E96_s:E96_f,1),VLOOKUP((10^(LOG(D147)-INT(LOG(D147)))*100),E96_s:E96_f,2)))*10^INT(LOG(D147))/100</f>
        <v>2260</v>
      </c>
      <c r="F147" s="133"/>
      <c r="G147" s="178" t="s">
        <v>29</v>
      </c>
      <c r="H147" s="133" t="s">
        <v>270</v>
      </c>
      <c r="I147" s="198"/>
      <c r="J147" s="202"/>
    </row>
    <row r="148" spans="1:13" x14ac:dyDescent="0.2">
      <c r="A148" s="195"/>
      <c r="B148" s="177"/>
      <c r="C148" s="131" t="s">
        <v>448</v>
      </c>
      <c r="D148" s="93">
        <f>E147</f>
        <v>2260</v>
      </c>
      <c r="E148" s="136"/>
      <c r="F148" s="133"/>
      <c r="G148" s="178" t="s">
        <v>29</v>
      </c>
      <c r="H148" s="133" t="s">
        <v>269</v>
      </c>
      <c r="I148" s="198"/>
      <c r="J148" s="202"/>
    </row>
    <row r="149" spans="1:13" x14ac:dyDescent="0.2">
      <c r="A149" s="195"/>
      <c r="B149" s="130"/>
      <c r="C149" s="131" t="s">
        <v>369</v>
      </c>
      <c r="D149" s="99">
        <f>Ven_on-Ien_pup*Ruvloh-Ien_hys*Ven_on/Ven_dis+Ruvloh*Ven_on/Ruvlol</f>
        <v>4.8438005504114265</v>
      </c>
      <c r="E149" s="135"/>
      <c r="F149" s="133"/>
      <c r="G149" s="178" t="s">
        <v>3</v>
      </c>
      <c r="H149" s="133" t="s">
        <v>296</v>
      </c>
      <c r="I149" s="198"/>
      <c r="J149" s="202"/>
    </row>
    <row r="150" spans="1:13" x14ac:dyDescent="0.2">
      <c r="A150" s="195"/>
      <c r="B150" s="130"/>
      <c r="C150" s="131" t="s">
        <v>370</v>
      </c>
      <c r="D150" s="99">
        <f>Ven_dis-Ien_hys-Ien_hys*Ruvloh-Ien_pup*Ruvloh+Ruvloh*Ven_dis/Ruvlol</f>
        <v>4.541079543362831</v>
      </c>
      <c r="E150" s="135"/>
      <c r="F150" s="133"/>
      <c r="G150" s="178" t="s">
        <v>3</v>
      </c>
      <c r="H150" s="133" t="s">
        <v>295</v>
      </c>
      <c r="I150" s="198"/>
      <c r="J150" s="202"/>
    </row>
    <row r="151" spans="1:13" x14ac:dyDescent="0.2">
      <c r="A151" s="195"/>
      <c r="B151" s="148"/>
      <c r="C151" s="141"/>
      <c r="D151" s="162"/>
      <c r="E151" s="162"/>
      <c r="F151" s="141"/>
      <c r="G151" s="145"/>
      <c r="H151" s="141"/>
      <c r="I151" s="198"/>
      <c r="J151" s="202"/>
    </row>
    <row r="152" spans="1:13" x14ac:dyDescent="0.2">
      <c r="A152" s="195"/>
      <c r="B152" s="258" t="s">
        <v>449</v>
      </c>
      <c r="C152" s="258"/>
      <c r="D152" s="159"/>
      <c r="E152" s="159"/>
      <c r="F152" s="159"/>
      <c r="G152" s="164"/>
      <c r="H152" s="159"/>
      <c r="I152" s="198"/>
      <c r="J152" s="202"/>
    </row>
    <row r="153" spans="1:13" x14ac:dyDescent="0.2">
      <c r="A153" s="195"/>
      <c r="B153" s="177"/>
      <c r="C153" s="131" t="s">
        <v>450</v>
      </c>
      <c r="D153" s="93">
        <v>100000</v>
      </c>
      <c r="E153" s="133"/>
      <c r="F153" s="133"/>
      <c r="G153" s="178" t="s">
        <v>29</v>
      </c>
      <c r="H153" s="133" t="s">
        <v>451</v>
      </c>
      <c r="I153" s="198"/>
      <c r="J153" s="202"/>
    </row>
    <row r="154" spans="1:13" x14ac:dyDescent="0.2">
      <c r="A154" s="195"/>
      <c r="B154" s="148"/>
      <c r="C154" s="141"/>
      <c r="D154" s="163"/>
      <c r="E154" s="163"/>
      <c r="F154" s="163"/>
      <c r="G154" s="145"/>
      <c r="H154" s="141"/>
      <c r="I154" s="198"/>
      <c r="J154" s="202"/>
    </row>
    <row r="155" spans="1:13" ht="15" x14ac:dyDescent="0.25">
      <c r="A155" s="195"/>
      <c r="B155" s="119" t="s">
        <v>120</v>
      </c>
      <c r="C155" s="118" t="s">
        <v>31</v>
      </c>
      <c r="D155" s="255" t="s">
        <v>9</v>
      </c>
      <c r="E155" s="256"/>
      <c r="F155" s="257"/>
      <c r="G155" s="118" t="s">
        <v>8</v>
      </c>
      <c r="H155" s="126" t="s">
        <v>422</v>
      </c>
      <c r="I155" s="198"/>
      <c r="J155" s="202"/>
    </row>
    <row r="156" spans="1:13" x14ac:dyDescent="0.2">
      <c r="A156" s="195"/>
      <c r="B156" s="156"/>
      <c r="C156" s="157"/>
      <c r="D156" s="157"/>
      <c r="E156" s="157"/>
      <c r="F156" s="141"/>
      <c r="G156" s="156"/>
      <c r="H156" s="157"/>
      <c r="I156" s="198"/>
      <c r="J156" s="202"/>
    </row>
    <row r="157" spans="1:13" x14ac:dyDescent="0.2">
      <c r="A157" s="198"/>
      <c r="B157" s="258" t="s">
        <v>37</v>
      </c>
      <c r="C157" s="258"/>
      <c r="D157" s="158"/>
      <c r="E157" s="158"/>
      <c r="F157" s="159"/>
      <c r="G157" s="160"/>
      <c r="H157" s="158"/>
      <c r="I157" s="216"/>
      <c r="J157" s="202"/>
      <c r="M157" s="147"/>
    </row>
    <row r="158" spans="1:13" x14ac:dyDescent="0.2">
      <c r="A158" s="195"/>
      <c r="B158" s="177"/>
      <c r="C158" s="131" t="s">
        <v>10</v>
      </c>
      <c r="D158" s="98">
        <f>Vout/(Iout)</f>
        <v>24</v>
      </c>
      <c r="E158" s="134"/>
      <c r="F158" s="133"/>
      <c r="G158" s="178" t="s">
        <v>29</v>
      </c>
      <c r="H158" s="133" t="s">
        <v>64</v>
      </c>
      <c r="I158" s="212"/>
      <c r="J158" s="202"/>
      <c r="M158" s="147"/>
    </row>
    <row r="159" spans="1:13" x14ac:dyDescent="0.2">
      <c r="A159" s="195"/>
      <c r="B159" s="177">
        <v>37</v>
      </c>
      <c r="C159" s="131" t="s">
        <v>241</v>
      </c>
      <c r="D159" s="98">
        <f>20*LOG(Vin_Min/(2*40/3*Rsense*Iout))</f>
        <v>31.480625354554377</v>
      </c>
      <c r="E159" s="98">
        <f>Vin_Min/(2*40/3*Rsense*Iout)</f>
        <v>37.5</v>
      </c>
      <c r="F159" s="133"/>
      <c r="G159" s="178" t="s">
        <v>11</v>
      </c>
      <c r="H159" s="133" t="s">
        <v>297</v>
      </c>
      <c r="I159" s="212"/>
      <c r="J159" s="202"/>
      <c r="M159" s="147"/>
    </row>
    <row r="160" spans="1:13" x14ac:dyDescent="0.2">
      <c r="A160" s="195"/>
      <c r="B160" s="177">
        <v>38</v>
      </c>
      <c r="C160" s="131" t="s">
        <v>21</v>
      </c>
      <c r="D160" s="81">
        <f>2/(2*PI()*Ro*Co)</f>
        <v>1410.9480770558098</v>
      </c>
      <c r="E160" s="134"/>
      <c r="F160" s="133"/>
      <c r="G160" s="182" t="s">
        <v>5</v>
      </c>
      <c r="H160" s="133" t="s">
        <v>65</v>
      </c>
      <c r="I160" s="212"/>
      <c r="J160" s="202"/>
      <c r="M160" s="147"/>
    </row>
    <row r="161" spans="1:13" x14ac:dyDescent="0.2">
      <c r="A161" s="195"/>
      <c r="B161" s="177">
        <v>39</v>
      </c>
      <c r="C161" s="131" t="s">
        <v>20</v>
      </c>
      <c r="D161" s="81">
        <f>(Ro/(2*PI()*L))*(Vin_Min/Vout)^2</f>
        <v>35273.701926395246</v>
      </c>
      <c r="E161" s="134"/>
      <c r="F161" s="134"/>
      <c r="G161" s="182" t="s">
        <v>5</v>
      </c>
      <c r="H161" s="133" t="s">
        <v>66</v>
      </c>
      <c r="I161" s="212"/>
      <c r="J161" s="202"/>
      <c r="M161" s="147"/>
    </row>
    <row r="162" spans="1:13" x14ac:dyDescent="0.2">
      <c r="A162" s="195"/>
      <c r="B162" s="177">
        <v>40</v>
      </c>
      <c r="C162" s="131" t="s">
        <v>92</v>
      </c>
      <c r="D162" s="81">
        <f>1/(2*PI()*Co_esr*Co)</f>
        <v>1991926.6970199668</v>
      </c>
      <c r="E162" s="134"/>
      <c r="F162" s="134"/>
      <c r="G162" s="178" t="s">
        <v>5</v>
      </c>
      <c r="H162" s="133" t="s">
        <v>298</v>
      </c>
      <c r="I162" s="212"/>
      <c r="J162" s="202"/>
      <c r="M162" s="147"/>
    </row>
    <row r="163" spans="1:13" x14ac:dyDescent="0.2">
      <c r="A163" s="195"/>
      <c r="B163" s="148"/>
      <c r="C163" s="157"/>
      <c r="D163" s="157"/>
      <c r="E163" s="141"/>
      <c r="F163" s="141"/>
      <c r="G163" s="156"/>
      <c r="H163" s="157"/>
      <c r="I163" s="212"/>
      <c r="J163" s="202"/>
      <c r="M163" s="147"/>
    </row>
    <row r="164" spans="1:13" x14ac:dyDescent="0.2">
      <c r="A164" s="195"/>
      <c r="B164" s="258" t="s">
        <v>413</v>
      </c>
      <c r="C164" s="258"/>
      <c r="D164" s="158"/>
      <c r="E164" s="158"/>
      <c r="F164" s="159"/>
      <c r="G164" s="160"/>
      <c r="H164" s="158"/>
      <c r="I164" s="212"/>
      <c r="J164" s="202"/>
      <c r="M164" s="147"/>
    </row>
    <row r="165" spans="1:13" x14ac:dyDescent="0.2">
      <c r="A165" s="195"/>
      <c r="B165" s="177">
        <v>41</v>
      </c>
      <c r="C165" s="131" t="s">
        <v>256</v>
      </c>
      <c r="D165" s="81">
        <f>frhpz/4</f>
        <v>8818.4254815988115</v>
      </c>
      <c r="E165" s="177"/>
      <c r="F165" s="177"/>
      <c r="G165" s="178" t="s">
        <v>5</v>
      </c>
      <c r="H165" s="133" t="s">
        <v>281</v>
      </c>
      <c r="I165" s="212"/>
      <c r="J165" s="202"/>
      <c r="M165" s="147"/>
    </row>
    <row r="166" spans="1:13" ht="12" customHeight="1" x14ac:dyDescent="0.2">
      <c r="A166" s="195"/>
      <c r="B166" s="177">
        <v>42</v>
      </c>
      <c r="C166" s="131" t="s">
        <v>257</v>
      </c>
      <c r="D166" s="81">
        <f>fsw/5</f>
        <v>150000</v>
      </c>
      <c r="E166" s="133"/>
      <c r="F166" s="133"/>
      <c r="G166" s="178" t="s">
        <v>5</v>
      </c>
      <c r="H166" s="133" t="s">
        <v>339</v>
      </c>
      <c r="I166" s="212"/>
      <c r="J166" s="202"/>
      <c r="M166" s="147"/>
    </row>
    <row r="167" spans="1:13" x14ac:dyDescent="0.2">
      <c r="A167" s="195"/>
      <c r="B167" s="177"/>
      <c r="C167" s="131" t="s">
        <v>371</v>
      </c>
      <c r="D167" s="100">
        <f>MIN(D166,D165)</f>
        <v>8818.4254815988115</v>
      </c>
      <c r="E167" s="133"/>
      <c r="F167" s="133"/>
      <c r="G167" s="178" t="s">
        <v>5</v>
      </c>
      <c r="H167" s="133" t="s">
        <v>69</v>
      </c>
      <c r="I167" s="198"/>
      <c r="J167" s="202"/>
      <c r="M167" s="147"/>
    </row>
    <row r="168" spans="1:13" x14ac:dyDescent="0.2">
      <c r="A168" s="195"/>
      <c r="B168" s="177"/>
      <c r="C168" s="131" t="s">
        <v>58</v>
      </c>
      <c r="D168" s="99">
        <f>VLOOKUP(MIN('Small Signal'!M4:M404),'Small Signal'!M4:AB404,16,FALSE)</f>
        <v>15.077873322224526</v>
      </c>
      <c r="E168" s="137"/>
      <c r="F168" s="133"/>
      <c r="G168" s="178" t="s">
        <v>11</v>
      </c>
      <c r="H168" s="133" t="s">
        <v>258</v>
      </c>
      <c r="I168" s="198"/>
      <c r="J168" s="202"/>
      <c r="M168" s="147"/>
    </row>
    <row r="169" spans="1:13" x14ac:dyDescent="0.2">
      <c r="A169" s="195"/>
      <c r="B169" s="177"/>
      <c r="C169" s="131" t="s">
        <v>58</v>
      </c>
      <c r="D169" s="101">
        <f>D168</f>
        <v>15.077873322224526</v>
      </c>
      <c r="E169" s="137"/>
      <c r="F169" s="133"/>
      <c r="G169" s="178" t="s">
        <v>11</v>
      </c>
      <c r="H169" s="133" t="s">
        <v>259</v>
      </c>
      <c r="I169" s="198"/>
      <c r="J169" s="202"/>
      <c r="M169" s="147"/>
    </row>
    <row r="170" spans="1:13" x14ac:dyDescent="0.2">
      <c r="A170" s="195"/>
      <c r="B170" s="177">
        <v>43</v>
      </c>
      <c r="C170" s="131" t="s">
        <v>114</v>
      </c>
      <c r="D170" s="81">
        <f>2*PI()*Co*40/3*Rsense*Vout*Fco_target*(Rsh+Rsl)/(Rsl*Vin_Min*gea)</f>
        <v>2975.2066115702469</v>
      </c>
      <c r="E170" s="94">
        <f>(IF((10^(LOG(D170)-INT(LOG(D170)))*100)-VLOOKUP((10^(LOG(D170)-INT(LOG(D170)))*100),E96_s:E96_f,1)&lt;VLOOKUP((10^(LOG(D170)-INT(LOG(D170)))*100),E96_s:E96_f,2)-(10^(LOG(D170)-INT(LOG(D170)))*100),VLOOKUP((10^(LOG(D170)-INT(LOG(D170)))*100),E96_s:E96_f,1),VLOOKUP((10^(LOG(D170)-INT(LOG(D170)))*100),E96_s:E96_f,2)))*10^INT(LOG(D170))/100</f>
        <v>3010</v>
      </c>
      <c r="F170" s="133"/>
      <c r="G170" s="178" t="s">
        <v>29</v>
      </c>
      <c r="H170" s="133" t="s">
        <v>372</v>
      </c>
      <c r="I170" s="198"/>
      <c r="J170" s="202"/>
      <c r="M170" s="147"/>
    </row>
    <row r="171" spans="1:13" x14ac:dyDescent="0.2">
      <c r="A171" s="195"/>
      <c r="B171" s="177"/>
      <c r="C171" s="131" t="s">
        <v>114</v>
      </c>
      <c r="D171" s="81">
        <f>1/(gea*Rsl/(Rsh+Rsl)*10^(PSgain_fco/20))</f>
        <v>3146.115879239851</v>
      </c>
      <c r="E171" s="94">
        <f>(IF((10^(LOG(D171)-INT(LOG(D171)))*100)-VLOOKUP((10^(LOG(D171)-INT(LOG(D171)))*100),E96_s:E96_f,1)&lt;VLOOKUP((10^(LOG(D171)-INT(LOG(D171)))*100),E96_s:E96_f,2)-(10^(LOG(D171)-INT(LOG(D171)))*100),VLOOKUP((10^(LOG(D171)-INT(LOG(D171)))*100),E96_s:E96_f,1),VLOOKUP((10^(LOG(D171)-INT(LOG(D171)))*100),E96_s:E96_f,2)))*10^INT(LOG(D171))/100</f>
        <v>3160</v>
      </c>
      <c r="F171" s="133"/>
      <c r="G171" s="178" t="s">
        <v>29</v>
      </c>
      <c r="H171" s="133" t="s">
        <v>373</v>
      </c>
      <c r="I171" s="198"/>
      <c r="J171" s="202"/>
      <c r="M171" s="147"/>
    </row>
    <row r="172" spans="1:13" x14ac:dyDescent="0.2">
      <c r="A172" s="195"/>
      <c r="B172" s="177"/>
      <c r="C172" s="131" t="s">
        <v>282</v>
      </c>
      <c r="D172" s="100">
        <f>MIN(E170:E171)</f>
        <v>3010</v>
      </c>
      <c r="E172" s="133"/>
      <c r="F172" s="133"/>
      <c r="G172" s="178" t="s">
        <v>29</v>
      </c>
      <c r="H172" s="133" t="s">
        <v>86</v>
      </c>
      <c r="I172" s="198"/>
      <c r="J172" s="202"/>
      <c r="M172" s="147"/>
    </row>
    <row r="173" spans="1:13" x14ac:dyDescent="0.2">
      <c r="A173" s="195"/>
      <c r="B173" s="177">
        <v>44</v>
      </c>
      <c r="C173" s="131" t="s">
        <v>115</v>
      </c>
      <c r="D173" s="81">
        <f>1/(2*PI()*Rcomp*Fco_target/10)</f>
        <v>5.996013289036545E-8</v>
      </c>
      <c r="E173" s="97">
        <f>IF(D173*10^12&lt;10000,IF((10^(LOG(D173*10^12)-INT(LOG(D173*10^12))))-VLOOKUP((10^(LOG(D173*10^12)-INT(LOG(D173*10^12)))),c_s1:C_f1,1)&lt;VLOOKUP((10^(LOG(D173*10^12)-INT(LOG(D173*10^12)))),c_s1:C_f1,2)-(10^(LOG(D173*10^12)-INT(LOG(D173*10^12)))),VLOOKUP((10^(LOG(D173*10^12)-INT(LOG(D173*10^12)))),c_s1:C_f1,1),VLOOKUP((10^(LOG(D173*10^12)-INT(LOG(D173*10^12)))),c_s1:C_f1,2))*10^INT(LOG(D173*10^12)),IF((10^(LOG(D173*10^12)-INT(LOG(D173*10^12))))-VLOOKUP((10^(LOG(D173*10^12)-INT(LOG(D173*10^12)))),C_s2:C_f2,1)&lt;VLOOKUP((10^(LOG(D173*10^12)-INT(LOG(D173*10^12)))),C_s2:C_f2,2)-(10^(LOG(D173*10^12)-INT(LOG(D173*10^12)))),VLOOKUP((10^(LOG(D173*10^12)-INT(LOG(D173*10^12)))),C_s2:C_f2,1),VLOOKUP((10^(LOG(D173*10^12)-INT(LOG(D173*10^12)))),C_s2:C_f2,2))*10^INT(LOG(D173*10^12)))*10^-12</f>
        <v>6.8E-8</v>
      </c>
      <c r="F173" s="133"/>
      <c r="G173" s="178" t="s">
        <v>7</v>
      </c>
      <c r="H173" s="133" t="s">
        <v>87</v>
      </c>
      <c r="I173" s="198"/>
      <c r="J173" s="202"/>
      <c r="M173" s="147"/>
    </row>
    <row r="174" spans="1:13" x14ac:dyDescent="0.2">
      <c r="A174" s="195"/>
      <c r="B174" s="177"/>
      <c r="C174" s="131" t="s">
        <v>283</v>
      </c>
      <c r="D174" s="100">
        <f>E173</f>
        <v>6.8E-8</v>
      </c>
      <c r="E174" s="133"/>
      <c r="F174" s="133"/>
      <c r="G174" s="178" t="s">
        <v>7</v>
      </c>
      <c r="H174" s="133" t="s">
        <v>88</v>
      </c>
      <c r="I174" s="198"/>
      <c r="J174" s="202"/>
      <c r="M174" s="147"/>
    </row>
    <row r="175" spans="1:13" x14ac:dyDescent="0.2">
      <c r="A175" s="195"/>
      <c r="B175" s="177">
        <v>46</v>
      </c>
      <c r="C175" s="131" t="s">
        <v>116</v>
      </c>
      <c r="D175" s="81">
        <f>1/(2*PI()*Rcomp*10*Fco_target)</f>
        <v>5.9960132890365451E-10</v>
      </c>
      <c r="E175" s="97">
        <f>IF(D175*10^12&lt;10000,IF((10^(LOG(D175*10^12)-INT(LOG(D175*10^12))))-VLOOKUP((10^(LOG(D175*10^12)-INT(LOG(D175*10^12)))),c_s1:C_f1,1)&lt;VLOOKUP((10^(LOG(D175*10^12)-INT(LOG(D175*10^12)))),c_s1:C_f1,2)-(10^(LOG(D175*10^12)-INT(LOG(D175*10^12)))),VLOOKUP((10^(LOG(D175*10^12)-INT(LOG(D175*10^12)))),c_s1:C_f1,1),VLOOKUP((10^(LOG(D175*10^12)-INT(LOG(D175*10^12)))),c_s1:C_f1,2))*10^INT(LOG(D175*10^12)),IF((10^(LOG(D175*10^12)-INT(LOG(D175*10^12))))-VLOOKUP((10^(LOG(D175*10^12)-INT(LOG(D175*10^12)))),C_s2:C_f2,1)&lt;VLOOKUP((10^(LOG(D175*10^12)-INT(LOG(D175*10^12)))),C_s2:C_f2,2)-(10^(LOG(D175*10^12)-INT(LOG(D175*10^12)))),VLOOKUP((10^(LOG(D175*10^12)-INT(LOG(D175*10^12)))),C_s2:C_f2,1),VLOOKUP((10^(LOG(D175*10^12)-INT(LOG(D175*10^12)))),C_s2:C_f2,2))*10^INT(LOG(D175*10^12)))*10^-12</f>
        <v>5.6000000000000003E-10</v>
      </c>
      <c r="F175" s="133"/>
      <c r="G175" s="178" t="s">
        <v>7</v>
      </c>
      <c r="H175" s="183" t="s">
        <v>89</v>
      </c>
      <c r="I175" s="198"/>
      <c r="J175" s="202"/>
      <c r="M175" s="147"/>
    </row>
    <row r="176" spans="1:13" x14ac:dyDescent="0.2">
      <c r="A176" s="195"/>
      <c r="B176" s="177">
        <v>45</v>
      </c>
      <c r="C176" s="131" t="s">
        <v>117</v>
      </c>
      <c r="D176" s="81">
        <f>Co*Co_esr/Rcomp</f>
        <v>2.6544850498338874E-11</v>
      </c>
      <c r="E176" s="97">
        <f>IF(D176*10^12&lt;10000,IF((10^(LOG(D176*10^12)-INT(LOG(D176*10^12))))-VLOOKUP((10^(LOG(D176*10^12)-INT(LOG(D176*10^12)))),c_s1:C_f1,1)&lt;VLOOKUP((10^(LOG(D176*10^12)-INT(LOG(D176*10^12)))),c_s1:C_f1,2)-(10^(LOG(D176*10^12)-INT(LOG(D176*10^12)))),VLOOKUP((10^(LOG(D176*10^12)-INT(LOG(D176*10^12)))),c_s1:C_f1,1),VLOOKUP((10^(LOG(D176*10^12)-INT(LOG(D176*10^12)))),c_s1:C_f1,2))*10^INT(LOG(D176*10^12)),IF((10^(LOG(D176*10^12)-INT(LOG(D176*10^12))))-VLOOKUP((10^(LOG(D176*10^12)-INT(LOG(D176*10^12)))),C_s2:C_f2,1)&lt;VLOOKUP((10^(LOG(D176*10^12)-INT(LOG(D176*10^12)))),C_s2:C_f2,2)-(10^(LOG(D176*10^12)-INT(LOG(D176*10^12)))),VLOOKUP((10^(LOG(D176*10^12)-INT(LOG(D176*10^12)))),C_s2:C_f2,1),VLOOKUP((10^(LOG(D176*10^12)-INT(LOG(D176*10^12)))),C_s2:C_f2,2))*10^INT(LOG(D176*10^12)))*10^-12</f>
        <v>2.7E-11</v>
      </c>
      <c r="F176" s="133"/>
      <c r="G176" s="178" t="s">
        <v>7</v>
      </c>
      <c r="H176" s="183" t="s">
        <v>90</v>
      </c>
      <c r="I176" s="198"/>
      <c r="J176" s="202"/>
      <c r="M176" s="147"/>
    </row>
    <row r="177" spans="1:13" ht="12.75" customHeight="1" x14ac:dyDescent="0.2">
      <c r="A177" s="195"/>
      <c r="B177" s="177"/>
      <c r="C177" s="131" t="s">
        <v>284</v>
      </c>
      <c r="D177" s="100">
        <f>MAX(E175:E176)</f>
        <v>5.6000000000000003E-10</v>
      </c>
      <c r="E177" s="134"/>
      <c r="F177" s="133"/>
      <c r="G177" s="178"/>
      <c r="H177" s="183" t="s">
        <v>129</v>
      </c>
      <c r="I177" s="198"/>
      <c r="J177" s="202"/>
      <c r="M177" s="147"/>
    </row>
    <row r="178" spans="1:13" ht="12.75" customHeight="1" x14ac:dyDescent="0.2">
      <c r="A178" s="195"/>
      <c r="B178" s="177"/>
      <c r="C178" s="131" t="s">
        <v>38</v>
      </c>
      <c r="D178" s="81">
        <f>1/(2*PI()*Rea*Ccomp)</f>
        <v>0.23405138689984611</v>
      </c>
      <c r="E178" s="134"/>
      <c r="F178" s="134"/>
      <c r="G178" s="178" t="s">
        <v>5</v>
      </c>
      <c r="H178" s="133" t="s">
        <v>127</v>
      </c>
      <c r="I178" s="198"/>
      <c r="J178" s="202"/>
      <c r="M178" s="147"/>
    </row>
    <row r="179" spans="1:13" x14ac:dyDescent="0.2">
      <c r="A179" s="195"/>
      <c r="B179" s="177"/>
      <c r="C179" s="131" t="s">
        <v>39</v>
      </c>
      <c r="D179" s="81">
        <f>1/(2*PI()*Rcomp*Ccomp)</f>
        <v>777.57935847124952</v>
      </c>
      <c r="E179" s="134"/>
      <c r="F179" s="134"/>
      <c r="G179" s="178" t="s">
        <v>5</v>
      </c>
      <c r="H179" s="133" t="s">
        <v>128</v>
      </c>
      <c r="I179" s="198"/>
      <c r="J179" s="202"/>
      <c r="M179" s="147"/>
    </row>
    <row r="180" spans="1:13" x14ac:dyDescent="0.2">
      <c r="A180" s="195"/>
      <c r="B180" s="177"/>
      <c r="C180" s="131" t="s">
        <v>40</v>
      </c>
      <c r="D180" s="81">
        <f>(1/(2*PI()*Chf*Rcomp))</f>
        <v>94420.350671508859</v>
      </c>
      <c r="E180" s="134"/>
      <c r="F180" s="134"/>
      <c r="G180" s="178" t="s">
        <v>5</v>
      </c>
      <c r="H180" s="133" t="s">
        <v>260</v>
      </c>
      <c r="I180" s="198"/>
      <c r="J180" s="202"/>
      <c r="M180" s="147"/>
    </row>
    <row r="181" spans="1:13" ht="15" x14ac:dyDescent="0.25">
      <c r="A181" s="195"/>
      <c r="B181" s="169" t="s">
        <v>313</v>
      </c>
      <c r="C181" s="141"/>
      <c r="D181" s="141"/>
      <c r="E181" s="141"/>
      <c r="F181" s="141"/>
      <c r="G181" s="145"/>
      <c r="H181" s="141"/>
      <c r="I181" s="198"/>
      <c r="J181" s="202"/>
      <c r="M181" s="147"/>
    </row>
    <row r="182" spans="1:13" ht="15" x14ac:dyDescent="0.25">
      <c r="A182" s="195"/>
      <c r="B182" s="256" t="s">
        <v>48</v>
      </c>
      <c r="C182" s="257"/>
      <c r="D182" s="255" t="s">
        <v>9</v>
      </c>
      <c r="E182" s="256"/>
      <c r="F182" s="257"/>
      <c r="G182" s="118" t="s">
        <v>8</v>
      </c>
      <c r="H182" s="126" t="s">
        <v>422</v>
      </c>
      <c r="I182" s="198"/>
      <c r="J182" s="202"/>
      <c r="M182" s="147"/>
    </row>
    <row r="183" spans="1:13" ht="15" x14ac:dyDescent="0.25">
      <c r="A183" s="195"/>
      <c r="B183" s="170"/>
      <c r="C183" s="171"/>
      <c r="D183" s="184" t="s">
        <v>43</v>
      </c>
      <c r="E183" s="185" t="s">
        <v>44</v>
      </c>
      <c r="F183" s="186" t="s">
        <v>45</v>
      </c>
      <c r="G183" s="172"/>
      <c r="H183" s="173"/>
      <c r="I183" s="198"/>
      <c r="J183" s="202"/>
    </row>
    <row r="184" spans="1:13" ht="15" x14ac:dyDescent="0.25">
      <c r="A184" s="196"/>
      <c r="B184" s="156"/>
      <c r="C184" s="131" t="s">
        <v>23</v>
      </c>
      <c r="D184" s="187" t="s">
        <v>53</v>
      </c>
      <c r="E184" s="88"/>
      <c r="F184" s="88">
        <v>58</v>
      </c>
      <c r="G184" s="178" t="s">
        <v>3</v>
      </c>
      <c r="H184" s="133" t="s">
        <v>0</v>
      </c>
      <c r="I184" s="217"/>
      <c r="J184" s="207"/>
    </row>
    <row r="185" spans="1:13" ht="15" x14ac:dyDescent="0.25">
      <c r="A185" s="197"/>
      <c r="B185" s="156"/>
      <c r="C185" s="131" t="s">
        <v>53</v>
      </c>
      <c r="D185" s="88">
        <v>4.5</v>
      </c>
      <c r="E185" s="88"/>
      <c r="F185" s="88">
        <v>38</v>
      </c>
      <c r="G185" s="178" t="s">
        <v>3</v>
      </c>
      <c r="H185" s="133" t="s">
        <v>46</v>
      </c>
      <c r="I185" s="218"/>
      <c r="J185" s="207"/>
    </row>
    <row r="186" spans="1:13" x14ac:dyDescent="0.2">
      <c r="A186" s="195"/>
      <c r="B186" s="156"/>
      <c r="C186" s="131" t="s">
        <v>35</v>
      </c>
      <c r="D186" s="90">
        <v>50000</v>
      </c>
      <c r="E186" s="89"/>
      <c r="F186" s="89">
        <v>1200000</v>
      </c>
      <c r="G186" s="178" t="s">
        <v>5</v>
      </c>
      <c r="H186" s="133" t="s">
        <v>47</v>
      </c>
      <c r="I186" s="198"/>
      <c r="J186" s="213"/>
    </row>
    <row r="187" spans="1:13" x14ac:dyDescent="0.2">
      <c r="A187" s="195"/>
      <c r="B187" s="156"/>
      <c r="C187" s="131" t="s">
        <v>174</v>
      </c>
      <c r="D187" s="188"/>
      <c r="E187" s="89">
        <f>0.0011</f>
        <v>1.1000000000000001E-3</v>
      </c>
      <c r="F187" s="90"/>
      <c r="G187" s="178" t="s">
        <v>1</v>
      </c>
      <c r="H187" s="133" t="s">
        <v>16</v>
      </c>
      <c r="I187" s="198"/>
      <c r="J187" s="213"/>
    </row>
    <row r="188" spans="1:13" x14ac:dyDescent="0.2">
      <c r="A188" s="195"/>
      <c r="B188" s="156"/>
      <c r="C188" s="131" t="s">
        <v>54</v>
      </c>
      <c r="D188" s="188"/>
      <c r="E188" s="90">
        <f>10*10^6</f>
        <v>10000000</v>
      </c>
      <c r="F188" s="188"/>
      <c r="G188" s="178" t="s">
        <v>29</v>
      </c>
      <c r="H188" s="133" t="s">
        <v>17</v>
      </c>
      <c r="I188" s="198"/>
      <c r="J188" s="213"/>
    </row>
    <row r="189" spans="1:13" x14ac:dyDescent="0.2">
      <c r="A189" s="195"/>
      <c r="B189" s="156"/>
      <c r="C189" s="131" t="s">
        <v>55</v>
      </c>
      <c r="D189" s="188"/>
      <c r="E189" s="88">
        <v>1.22</v>
      </c>
      <c r="F189" s="188"/>
      <c r="G189" s="178" t="s">
        <v>3</v>
      </c>
      <c r="H189" s="133" t="s">
        <v>18</v>
      </c>
      <c r="I189" s="198"/>
      <c r="J189" s="202"/>
    </row>
    <row r="190" spans="1:13" x14ac:dyDescent="0.2">
      <c r="A190" s="195"/>
      <c r="B190" s="156"/>
      <c r="C190" s="131" t="s">
        <v>232</v>
      </c>
      <c r="D190" s="188"/>
      <c r="E190" s="90">
        <v>9.9999999999999995E-8</v>
      </c>
      <c r="F190" s="188"/>
      <c r="G190" s="178" t="s">
        <v>42</v>
      </c>
      <c r="H190" s="133" t="s">
        <v>32</v>
      </c>
      <c r="I190" s="198"/>
      <c r="J190" s="202"/>
    </row>
    <row r="191" spans="1:13" x14ac:dyDescent="0.2">
      <c r="A191" s="195"/>
      <c r="B191" s="156"/>
      <c r="C191" s="131" t="s">
        <v>233</v>
      </c>
      <c r="D191" s="188"/>
      <c r="E191" s="90">
        <v>2.4999999999999999E-7</v>
      </c>
      <c r="F191" s="188"/>
      <c r="G191" s="178" t="s">
        <v>42</v>
      </c>
      <c r="H191" s="133" t="s">
        <v>193</v>
      </c>
      <c r="I191" s="198"/>
      <c r="J191" s="202"/>
    </row>
    <row r="192" spans="1:13" x14ac:dyDescent="0.2">
      <c r="A192" s="195"/>
      <c r="B192" s="156"/>
      <c r="C192" s="131" t="s">
        <v>341</v>
      </c>
      <c r="D192" s="91">
        <v>6.4000000000000001E-2</v>
      </c>
      <c r="E192" s="91">
        <v>7.2999999999999995E-2</v>
      </c>
      <c r="F192" s="91">
        <v>8.2000000000000003E-2</v>
      </c>
      <c r="G192" s="178" t="s">
        <v>3</v>
      </c>
      <c r="H192" s="133" t="s">
        <v>247</v>
      </c>
      <c r="I192" s="198"/>
      <c r="J192" s="202"/>
    </row>
    <row r="193" spans="1:10" x14ac:dyDescent="0.2">
      <c r="A193" s="195"/>
      <c r="B193" s="156"/>
      <c r="C193" s="131" t="s">
        <v>342</v>
      </c>
      <c r="D193" s="91">
        <v>5.0999999999999997E-2</v>
      </c>
      <c r="E193" s="91">
        <v>6.0999999999999999E-2</v>
      </c>
      <c r="F193" s="91">
        <v>7.1999999999999995E-2</v>
      </c>
      <c r="G193" s="178" t="s">
        <v>3</v>
      </c>
      <c r="H193" s="133" t="s">
        <v>246</v>
      </c>
      <c r="I193" s="198"/>
      <c r="J193" s="202"/>
    </row>
    <row r="194" spans="1:10" x14ac:dyDescent="0.2">
      <c r="A194" s="195"/>
      <c r="B194" s="156"/>
      <c r="C194" s="131" t="s">
        <v>229</v>
      </c>
      <c r="D194" s="91"/>
      <c r="E194" s="106">
        <f>LOOKUP($D$4,partdata!A4:A5,partdata!B4:B5)</f>
        <v>5.5</v>
      </c>
      <c r="F194" s="91"/>
      <c r="G194" s="178" t="s">
        <v>3</v>
      </c>
      <c r="H194" s="133" t="s">
        <v>248</v>
      </c>
      <c r="I194" s="198"/>
      <c r="J194" s="202"/>
    </row>
    <row r="195" spans="1:10" x14ac:dyDescent="0.2">
      <c r="A195" s="195"/>
      <c r="B195" s="156"/>
      <c r="C195" s="131" t="s">
        <v>224</v>
      </c>
      <c r="D195" s="91"/>
      <c r="E195" s="91">
        <f>LOOKUP($D$4,partdata!A4:A5,partdata!C4:C5)</f>
        <v>0.75</v>
      </c>
      <c r="F195" s="91"/>
      <c r="G195" s="178" t="s">
        <v>3</v>
      </c>
      <c r="H195" s="133" t="s">
        <v>249</v>
      </c>
      <c r="I195" s="198"/>
      <c r="J195" s="202"/>
    </row>
    <row r="196" spans="1:10" x14ac:dyDescent="0.2">
      <c r="A196" s="195"/>
      <c r="B196" s="156"/>
      <c r="C196" s="131" t="s">
        <v>323</v>
      </c>
      <c r="D196" s="91"/>
      <c r="E196" s="90">
        <v>6.5E-8</v>
      </c>
      <c r="F196" s="91"/>
      <c r="G196" s="178" t="s">
        <v>42</v>
      </c>
      <c r="H196" s="133" t="s">
        <v>322</v>
      </c>
      <c r="I196" s="198"/>
      <c r="J196" s="202"/>
    </row>
    <row r="197" spans="1:10" x14ac:dyDescent="0.2">
      <c r="A197" s="195"/>
      <c r="B197" s="156"/>
      <c r="C197" s="131" t="s">
        <v>275</v>
      </c>
      <c r="D197" s="91"/>
      <c r="E197" s="106">
        <f>LOOKUP($D$4,partdata!A4:A5,partdata!D4:D5)</f>
        <v>2.5</v>
      </c>
      <c r="F197" s="91"/>
      <c r="G197" s="178" t="s">
        <v>29</v>
      </c>
      <c r="H197" s="133" t="s">
        <v>273</v>
      </c>
      <c r="I197" s="198"/>
      <c r="J197" s="202"/>
    </row>
    <row r="198" spans="1:10" x14ac:dyDescent="0.2">
      <c r="A198" s="195"/>
      <c r="B198" s="156"/>
      <c r="C198" s="131" t="s">
        <v>274</v>
      </c>
      <c r="D198" s="91"/>
      <c r="E198" s="106">
        <f>LOOKUP($D$4,partdata!A4:A5,partdata!E4:E5)</f>
        <v>1.6</v>
      </c>
      <c r="F198" s="91"/>
      <c r="G198" s="178" t="s">
        <v>29</v>
      </c>
      <c r="H198" s="133" t="s">
        <v>278</v>
      </c>
      <c r="I198" s="198"/>
      <c r="J198" s="202"/>
    </row>
    <row r="199" spans="1:10" x14ac:dyDescent="0.2">
      <c r="A199" s="195"/>
      <c r="B199" s="156"/>
      <c r="C199" s="131" t="s">
        <v>276</v>
      </c>
      <c r="D199" s="91"/>
      <c r="E199" s="106">
        <f>LOOKUP($D$4,partdata!A4:A5,partdata!F4:F5)</f>
        <v>5</v>
      </c>
      <c r="F199" s="91"/>
      <c r="G199" s="178" t="s">
        <v>29</v>
      </c>
      <c r="H199" s="133" t="s">
        <v>279</v>
      </c>
      <c r="I199" s="198"/>
      <c r="J199" s="202"/>
    </row>
    <row r="200" spans="1:10" x14ac:dyDescent="0.2">
      <c r="A200" s="195"/>
      <c r="B200" s="156"/>
      <c r="C200" s="131" t="s">
        <v>277</v>
      </c>
      <c r="D200" s="91"/>
      <c r="E200" s="106">
        <f>LOOKUP($D$4,partdata!A4:A5,partdata!G4:G5)</f>
        <v>3</v>
      </c>
      <c r="F200" s="91"/>
      <c r="G200" s="178" t="s">
        <v>29</v>
      </c>
      <c r="H200" s="133" t="s">
        <v>280</v>
      </c>
      <c r="I200" s="198"/>
      <c r="J200" s="202"/>
    </row>
    <row r="201" spans="1:10" x14ac:dyDescent="0.2">
      <c r="A201" s="195"/>
      <c r="B201" s="156"/>
      <c r="C201" s="131" t="s">
        <v>236</v>
      </c>
      <c r="D201" s="91"/>
      <c r="E201" s="96">
        <v>1.21</v>
      </c>
      <c r="F201" s="91"/>
      <c r="G201" s="178" t="s">
        <v>3</v>
      </c>
      <c r="H201" s="133" t="s">
        <v>250</v>
      </c>
      <c r="I201" s="198"/>
      <c r="J201" s="202"/>
    </row>
    <row r="202" spans="1:10" x14ac:dyDescent="0.2">
      <c r="A202" s="195"/>
      <c r="B202" s="156"/>
      <c r="C202" s="131" t="s">
        <v>239</v>
      </c>
      <c r="D202" s="91"/>
      <c r="E202" s="96">
        <v>1.1399999999999999</v>
      </c>
      <c r="F202" s="91"/>
      <c r="G202" s="178" t="s">
        <v>3</v>
      </c>
      <c r="H202" s="133" t="s">
        <v>251</v>
      </c>
      <c r="I202" s="198"/>
      <c r="J202" s="202"/>
    </row>
    <row r="203" spans="1:10" x14ac:dyDescent="0.2">
      <c r="A203" s="195"/>
      <c r="B203" s="156"/>
      <c r="C203" s="131" t="s">
        <v>237</v>
      </c>
      <c r="D203" s="91"/>
      <c r="E203" s="89">
        <v>1.7999999999999999E-6</v>
      </c>
      <c r="F203" s="91"/>
      <c r="G203" s="178" t="s">
        <v>42</v>
      </c>
      <c r="H203" s="133" t="s">
        <v>252</v>
      </c>
      <c r="I203" s="198"/>
      <c r="J203" s="202"/>
    </row>
    <row r="204" spans="1:10" x14ac:dyDescent="0.2">
      <c r="A204" s="195"/>
      <c r="B204" s="156"/>
      <c r="C204" s="131" t="s">
        <v>238</v>
      </c>
      <c r="D204" s="91"/>
      <c r="E204" s="89">
        <v>3.1999999999999999E-6</v>
      </c>
      <c r="F204" s="91"/>
      <c r="G204" s="178" t="s">
        <v>42</v>
      </c>
      <c r="H204" s="133" t="s">
        <v>253</v>
      </c>
      <c r="I204" s="198"/>
      <c r="J204" s="202"/>
    </row>
    <row r="205" spans="1:10" x14ac:dyDescent="0.2">
      <c r="A205" s="195"/>
      <c r="B205" s="156"/>
      <c r="C205" s="131" t="s">
        <v>240</v>
      </c>
      <c r="D205" s="91"/>
      <c r="E205" s="90">
        <v>5.9999999999999995E-4</v>
      </c>
      <c r="F205" s="91"/>
      <c r="G205" s="178" t="s">
        <v>2</v>
      </c>
      <c r="H205" s="133" t="s">
        <v>254</v>
      </c>
      <c r="I205" s="198"/>
      <c r="J205" s="202"/>
    </row>
    <row r="206" spans="1:10" x14ac:dyDescent="0.2">
      <c r="A206" s="195"/>
      <c r="B206" s="156"/>
      <c r="C206" s="131" t="s">
        <v>245</v>
      </c>
      <c r="D206" s="91"/>
      <c r="E206" s="90">
        <v>5.0000000000000004E-6</v>
      </c>
      <c r="F206" s="91"/>
      <c r="G206" s="178" t="s">
        <v>2</v>
      </c>
      <c r="H206" s="133" t="s">
        <v>255</v>
      </c>
      <c r="I206" s="198"/>
      <c r="J206" s="202"/>
    </row>
    <row r="207" spans="1:10" x14ac:dyDescent="0.2">
      <c r="A207" s="195"/>
      <c r="B207" s="199"/>
      <c r="C207" s="193"/>
      <c r="D207" s="193"/>
      <c r="E207" s="193"/>
      <c r="F207" s="193"/>
      <c r="G207" s="200"/>
      <c r="H207" s="193"/>
      <c r="I207" s="198"/>
      <c r="J207" s="202"/>
    </row>
    <row r="208" spans="1:10" x14ac:dyDescent="0.2">
      <c r="A208" s="195"/>
      <c r="B208" s="203"/>
      <c r="C208" s="204"/>
      <c r="D208" s="204"/>
      <c r="E208" s="204"/>
      <c r="F208" s="204"/>
      <c r="G208" s="205"/>
      <c r="H208" s="204"/>
      <c r="I208" s="198"/>
      <c r="J208" s="202"/>
    </row>
    <row r="209" spans="1:10" x14ac:dyDescent="0.2">
      <c r="A209" s="141"/>
      <c r="B209" s="156"/>
      <c r="C209" s="141"/>
      <c r="D209" s="141"/>
      <c r="E209" s="141"/>
      <c r="F209" s="141"/>
      <c r="G209" s="145"/>
      <c r="H209" s="141"/>
      <c r="I209" s="141"/>
      <c r="J209" s="146"/>
    </row>
    <row r="210" spans="1:10" x14ac:dyDescent="0.2">
      <c r="A210" s="141"/>
      <c r="B210" s="156"/>
      <c r="C210" s="141"/>
      <c r="D210" s="141"/>
      <c r="E210" s="141"/>
      <c r="F210" s="141"/>
      <c r="G210" s="145"/>
      <c r="H210" s="141"/>
      <c r="I210" s="141"/>
      <c r="J210" s="146"/>
    </row>
    <row r="211" spans="1:10" x14ac:dyDescent="0.2">
      <c r="A211" s="141"/>
      <c r="B211" s="156"/>
      <c r="C211" s="141"/>
      <c r="D211" s="141"/>
      <c r="E211" s="141"/>
      <c r="F211" s="141"/>
      <c r="G211" s="145"/>
      <c r="H211" s="141"/>
      <c r="I211" s="141"/>
      <c r="J211" s="146"/>
    </row>
    <row r="212" spans="1:10" x14ac:dyDescent="0.2">
      <c r="A212" s="141"/>
      <c r="B212" s="156"/>
      <c r="C212" s="141"/>
      <c r="D212" s="141"/>
      <c r="E212" s="141"/>
      <c r="F212" s="141"/>
      <c r="G212" s="145"/>
      <c r="H212" s="141"/>
      <c r="I212" s="141"/>
      <c r="J212" s="146"/>
    </row>
    <row r="213" spans="1:10" x14ac:dyDescent="0.2">
      <c r="A213" s="141"/>
      <c r="B213" s="156"/>
      <c r="C213" s="141"/>
      <c r="D213" s="141"/>
      <c r="E213" s="141"/>
      <c r="F213" s="141"/>
      <c r="G213" s="145"/>
      <c r="H213" s="141"/>
      <c r="I213" s="141"/>
      <c r="J213" s="146"/>
    </row>
    <row r="214" spans="1:10" x14ac:dyDescent="0.2">
      <c r="A214" s="141"/>
      <c r="B214" s="156"/>
      <c r="C214" s="141"/>
      <c r="D214" s="141"/>
      <c r="E214" s="141"/>
      <c r="F214" s="141"/>
      <c r="G214" s="145"/>
      <c r="H214" s="141"/>
      <c r="I214" s="141"/>
      <c r="J214" s="146"/>
    </row>
    <row r="215" spans="1:10" x14ac:dyDescent="0.2">
      <c r="A215" s="141"/>
      <c r="B215" s="156"/>
      <c r="C215" s="141"/>
      <c r="D215" s="141"/>
      <c r="E215" s="141"/>
      <c r="F215" s="141"/>
      <c r="G215" s="145"/>
      <c r="H215" s="141"/>
      <c r="I215" s="141"/>
      <c r="J215" s="146"/>
    </row>
    <row r="216" spans="1:10" x14ac:dyDescent="0.2">
      <c r="A216" s="141"/>
      <c r="B216" s="156"/>
      <c r="C216" s="141"/>
      <c r="D216" s="141"/>
      <c r="E216" s="141"/>
      <c r="F216" s="141"/>
      <c r="G216" s="145"/>
      <c r="H216" s="141"/>
      <c r="I216" s="141"/>
      <c r="J216" s="146"/>
    </row>
    <row r="217" spans="1:10" x14ac:dyDescent="0.2">
      <c r="A217" s="141"/>
      <c r="B217" s="156"/>
      <c r="C217" s="141"/>
      <c r="D217" s="141"/>
      <c r="E217" s="141"/>
      <c r="F217" s="141"/>
      <c r="G217" s="145"/>
      <c r="H217" s="141"/>
      <c r="I217" s="141"/>
      <c r="J217" s="146"/>
    </row>
    <row r="218" spans="1:10" x14ac:dyDescent="0.2">
      <c r="A218" s="141"/>
      <c r="B218" s="156"/>
      <c r="C218" s="141"/>
      <c r="D218" s="141"/>
      <c r="E218" s="141"/>
      <c r="F218" s="141"/>
      <c r="G218" s="145"/>
      <c r="H218" s="141"/>
      <c r="I218" s="141"/>
      <c r="J218" s="146"/>
    </row>
    <row r="219" spans="1:10" x14ac:dyDescent="0.2">
      <c r="A219" s="141"/>
      <c r="B219" s="156"/>
      <c r="C219" s="141"/>
      <c r="D219" s="141"/>
      <c r="E219" s="141"/>
      <c r="F219" s="141"/>
      <c r="G219" s="145"/>
      <c r="H219" s="141"/>
      <c r="I219" s="141"/>
      <c r="J219" s="146"/>
    </row>
    <row r="220" spans="1:10" x14ac:dyDescent="0.2">
      <c r="A220" s="141"/>
      <c r="B220" s="156"/>
      <c r="C220" s="141"/>
      <c r="D220" s="141"/>
      <c r="E220" s="141"/>
      <c r="F220" s="141"/>
      <c r="G220" s="145"/>
      <c r="H220" s="141"/>
      <c r="I220" s="141"/>
      <c r="J220" s="146"/>
    </row>
    <row r="221" spans="1:10" x14ac:dyDescent="0.2">
      <c r="A221" s="141"/>
      <c r="B221" s="156"/>
      <c r="C221" s="141"/>
      <c r="D221" s="141"/>
      <c r="E221" s="141"/>
      <c r="F221" s="141"/>
      <c r="G221" s="145"/>
      <c r="H221" s="141"/>
      <c r="I221" s="141"/>
      <c r="J221" s="146"/>
    </row>
    <row r="222" spans="1:10" x14ac:dyDescent="0.2">
      <c r="A222" s="141"/>
      <c r="B222" s="156"/>
      <c r="C222" s="141"/>
      <c r="D222" s="141"/>
      <c r="E222" s="141"/>
      <c r="F222" s="141"/>
      <c r="G222" s="145"/>
      <c r="H222" s="141"/>
      <c r="I222" s="141"/>
      <c r="J222" s="146"/>
    </row>
    <row r="223" spans="1:10" x14ac:dyDescent="0.2">
      <c r="A223" s="141"/>
      <c r="B223" s="156"/>
      <c r="C223" s="141"/>
      <c r="D223" s="141"/>
      <c r="E223" s="141"/>
      <c r="F223" s="141"/>
      <c r="G223" s="145"/>
      <c r="H223" s="141"/>
      <c r="I223" s="141"/>
      <c r="J223" s="146"/>
    </row>
    <row r="224" spans="1:10" x14ac:dyDescent="0.2">
      <c r="A224" s="141"/>
      <c r="B224" s="156"/>
      <c r="C224" s="141"/>
      <c r="D224" s="141"/>
      <c r="E224" s="141"/>
      <c r="F224" s="141"/>
      <c r="G224" s="145"/>
      <c r="H224" s="141"/>
      <c r="I224" s="141"/>
      <c r="J224" s="146"/>
    </row>
    <row r="225" spans="1:10" x14ac:dyDescent="0.2">
      <c r="A225" s="141"/>
      <c r="B225" s="156"/>
      <c r="C225" s="141"/>
      <c r="D225" s="141"/>
      <c r="E225" s="141"/>
      <c r="F225" s="141"/>
      <c r="G225" s="145"/>
      <c r="H225" s="141"/>
      <c r="I225" s="141"/>
      <c r="J225" s="146"/>
    </row>
    <row r="226" spans="1:10" x14ac:dyDescent="0.2">
      <c r="A226" s="141"/>
      <c r="B226" s="156"/>
      <c r="C226" s="141"/>
      <c r="D226" s="141"/>
      <c r="E226" s="141"/>
      <c r="F226" s="141"/>
      <c r="G226" s="145"/>
      <c r="H226" s="141"/>
      <c r="I226" s="141"/>
      <c r="J226" s="146"/>
    </row>
    <row r="227" spans="1:10" x14ac:dyDescent="0.2">
      <c r="A227" s="141"/>
      <c r="B227" s="156"/>
      <c r="C227" s="141"/>
      <c r="D227" s="141"/>
      <c r="E227" s="141"/>
      <c r="F227" s="141"/>
      <c r="G227" s="145"/>
      <c r="H227" s="141"/>
      <c r="I227" s="141"/>
      <c r="J227" s="146"/>
    </row>
    <row r="228" spans="1:10" x14ac:dyDescent="0.2">
      <c r="A228" s="141"/>
      <c r="B228" s="156"/>
      <c r="C228" s="141"/>
      <c r="D228" s="141"/>
      <c r="E228" s="141"/>
      <c r="F228" s="141"/>
      <c r="G228" s="145"/>
      <c r="H228" s="141"/>
      <c r="I228" s="141"/>
      <c r="J228" s="146"/>
    </row>
    <row r="229" spans="1:10" x14ac:dyDescent="0.2">
      <c r="A229" s="141"/>
      <c r="B229" s="156"/>
      <c r="C229" s="141"/>
      <c r="D229" s="141"/>
      <c r="E229" s="141"/>
      <c r="F229" s="141"/>
      <c r="G229" s="145"/>
      <c r="H229" s="141"/>
      <c r="I229" s="141"/>
      <c r="J229" s="146"/>
    </row>
    <row r="230" spans="1:10" x14ac:dyDescent="0.2">
      <c r="A230" s="141"/>
      <c r="B230" s="156"/>
      <c r="C230" s="141"/>
      <c r="D230" s="141"/>
      <c r="E230" s="141"/>
      <c r="F230" s="141"/>
      <c r="G230" s="145"/>
      <c r="H230" s="141"/>
      <c r="I230" s="141"/>
      <c r="J230" s="146"/>
    </row>
    <row r="231" spans="1:10" x14ac:dyDescent="0.2">
      <c r="A231" s="141"/>
      <c r="B231" s="156"/>
      <c r="C231" s="141"/>
      <c r="D231" s="141"/>
      <c r="E231" s="141"/>
      <c r="F231" s="141"/>
      <c r="G231" s="145"/>
      <c r="H231" s="141"/>
      <c r="I231" s="141"/>
      <c r="J231" s="146"/>
    </row>
    <row r="232" spans="1:10" x14ac:dyDescent="0.2">
      <c r="A232" s="141"/>
      <c r="B232" s="156"/>
      <c r="C232" s="141"/>
      <c r="D232" s="141"/>
      <c r="E232" s="141"/>
      <c r="F232" s="141"/>
      <c r="G232" s="145"/>
      <c r="H232" s="141"/>
      <c r="I232" s="141"/>
      <c r="J232" s="146"/>
    </row>
    <row r="233" spans="1:10" x14ac:dyDescent="0.2">
      <c r="A233" s="141"/>
      <c r="B233" s="156"/>
      <c r="C233" s="141"/>
      <c r="D233" s="141"/>
      <c r="E233" s="141"/>
      <c r="F233" s="141"/>
      <c r="G233" s="145"/>
      <c r="H233" s="141"/>
      <c r="I233" s="141"/>
      <c r="J233" s="146"/>
    </row>
    <row r="234" spans="1:10" x14ac:dyDescent="0.2">
      <c r="A234" s="141"/>
      <c r="B234" s="156"/>
      <c r="C234" s="141"/>
      <c r="D234" s="141"/>
      <c r="E234" s="141"/>
      <c r="F234" s="141"/>
      <c r="G234" s="145"/>
      <c r="H234" s="141"/>
      <c r="I234" s="141"/>
      <c r="J234" s="146"/>
    </row>
    <row r="235" spans="1:10" x14ac:dyDescent="0.2">
      <c r="A235" s="141"/>
      <c r="B235" s="156"/>
      <c r="C235" s="141"/>
      <c r="D235" s="141"/>
      <c r="E235" s="141"/>
      <c r="F235" s="141"/>
      <c r="G235" s="145"/>
      <c r="H235" s="141"/>
      <c r="I235" s="141"/>
      <c r="J235" s="146"/>
    </row>
    <row r="236" spans="1:10" x14ac:dyDescent="0.2">
      <c r="A236" s="141"/>
      <c r="B236" s="156"/>
      <c r="C236" s="141"/>
      <c r="D236" s="141"/>
      <c r="E236" s="141"/>
      <c r="F236" s="141"/>
      <c r="G236" s="145"/>
      <c r="H236" s="141"/>
      <c r="I236" s="141"/>
      <c r="J236" s="146"/>
    </row>
    <row r="237" spans="1:10" x14ac:dyDescent="0.2">
      <c r="A237" s="141"/>
      <c r="B237" s="156"/>
      <c r="C237" s="141"/>
      <c r="D237" s="141"/>
      <c r="E237" s="141"/>
      <c r="F237" s="141"/>
      <c r="G237" s="145"/>
      <c r="H237" s="141"/>
      <c r="I237" s="141"/>
      <c r="J237" s="146"/>
    </row>
    <row r="238" spans="1:10" x14ac:dyDescent="0.2">
      <c r="A238" s="141"/>
      <c r="B238" s="156"/>
      <c r="C238" s="141"/>
      <c r="D238" s="141"/>
      <c r="E238" s="141"/>
      <c r="F238" s="141"/>
      <c r="G238" s="145"/>
      <c r="H238" s="141"/>
      <c r="I238" s="141"/>
      <c r="J238" s="146"/>
    </row>
    <row r="239" spans="1:10" x14ac:dyDescent="0.2">
      <c r="A239" s="141"/>
      <c r="B239" s="156"/>
      <c r="C239" s="141"/>
      <c r="D239" s="141"/>
      <c r="E239" s="141"/>
      <c r="F239" s="141"/>
      <c r="G239" s="145"/>
      <c r="H239" s="141"/>
      <c r="I239" s="141"/>
      <c r="J239" s="146"/>
    </row>
    <row r="240" spans="1:10" x14ac:dyDescent="0.2">
      <c r="A240" s="141"/>
      <c r="B240" s="156"/>
      <c r="C240" s="141"/>
      <c r="D240" s="141"/>
      <c r="E240" s="141"/>
      <c r="F240" s="141"/>
      <c r="G240" s="145"/>
      <c r="H240" s="141"/>
      <c r="I240" s="141"/>
      <c r="J240" s="146"/>
    </row>
    <row r="241" spans="1:10" x14ac:dyDescent="0.2">
      <c r="A241" s="141"/>
      <c r="B241" s="156"/>
      <c r="C241" s="141"/>
      <c r="D241" s="141"/>
      <c r="E241" s="141"/>
      <c r="F241" s="141"/>
      <c r="G241" s="145"/>
      <c r="H241" s="141"/>
      <c r="I241" s="141"/>
      <c r="J241" s="146"/>
    </row>
    <row r="242" spans="1:10" x14ac:dyDescent="0.2">
      <c r="A242" s="141"/>
      <c r="B242" s="156"/>
      <c r="C242" s="141"/>
      <c r="D242" s="141"/>
      <c r="E242" s="141"/>
      <c r="F242" s="141"/>
      <c r="G242" s="145"/>
      <c r="H242" s="141"/>
      <c r="I242" s="141"/>
      <c r="J242" s="146"/>
    </row>
    <row r="243" spans="1:10" x14ac:dyDescent="0.2">
      <c r="A243" s="141"/>
      <c r="B243" s="156"/>
      <c r="C243" s="141"/>
      <c r="D243" s="141"/>
      <c r="E243" s="141"/>
      <c r="F243" s="141"/>
      <c r="G243" s="145"/>
      <c r="H243" s="141"/>
      <c r="I243" s="141"/>
      <c r="J243" s="146"/>
    </row>
    <row r="244" spans="1:10" x14ac:dyDescent="0.2">
      <c r="A244" s="141"/>
      <c r="B244" s="156"/>
      <c r="C244" s="141"/>
      <c r="D244" s="141"/>
      <c r="E244" s="141"/>
      <c r="F244" s="141"/>
      <c r="G244" s="145"/>
      <c r="H244" s="141"/>
      <c r="I244" s="141"/>
      <c r="J244" s="146"/>
    </row>
    <row r="245" spans="1:10" x14ac:dyDescent="0.2">
      <c r="A245" s="141"/>
      <c r="B245" s="156"/>
      <c r="C245" s="141"/>
      <c r="D245" s="141"/>
      <c r="E245" s="141"/>
      <c r="F245" s="141"/>
      <c r="G245" s="145"/>
      <c r="H245" s="141"/>
      <c r="I245" s="141"/>
      <c r="J245" s="146"/>
    </row>
    <row r="246" spans="1:10" x14ac:dyDescent="0.2">
      <c r="A246" s="141"/>
      <c r="B246" s="156"/>
      <c r="C246" s="141"/>
      <c r="D246" s="141"/>
      <c r="E246" s="141"/>
      <c r="F246" s="141"/>
      <c r="G246" s="145"/>
      <c r="H246" s="141"/>
      <c r="I246" s="141"/>
      <c r="J246" s="146"/>
    </row>
    <row r="247" spans="1:10" x14ac:dyDescent="0.2">
      <c r="A247" s="141"/>
      <c r="B247" s="156"/>
      <c r="C247" s="141"/>
      <c r="D247" s="141"/>
      <c r="E247" s="141"/>
      <c r="F247" s="141"/>
      <c r="G247" s="145"/>
      <c r="H247" s="141"/>
      <c r="I247" s="141"/>
      <c r="J247" s="146"/>
    </row>
    <row r="248" spans="1:10" x14ac:dyDescent="0.2">
      <c r="A248" s="141"/>
      <c r="B248" s="156"/>
      <c r="C248" s="141"/>
      <c r="D248" s="141"/>
      <c r="E248" s="141"/>
      <c r="F248" s="141"/>
      <c r="G248" s="145"/>
      <c r="H248" s="141"/>
      <c r="I248" s="141"/>
      <c r="J248" s="146"/>
    </row>
    <row r="249" spans="1:10" x14ac:dyDescent="0.2">
      <c r="A249" s="141"/>
      <c r="B249" s="156"/>
      <c r="C249" s="141"/>
      <c r="D249" s="141"/>
      <c r="E249" s="141"/>
      <c r="F249" s="141"/>
      <c r="G249" s="145"/>
      <c r="H249" s="141"/>
      <c r="I249" s="141"/>
      <c r="J249" s="146"/>
    </row>
    <row r="250" spans="1:10" x14ac:dyDescent="0.2">
      <c r="A250" s="141"/>
      <c r="B250" s="156"/>
      <c r="C250" s="141"/>
      <c r="D250" s="141"/>
      <c r="E250" s="141"/>
      <c r="F250" s="141"/>
      <c r="G250" s="145"/>
      <c r="H250" s="141"/>
      <c r="I250" s="141"/>
      <c r="J250" s="146"/>
    </row>
    <row r="251" spans="1:10" x14ac:dyDescent="0.2">
      <c r="A251" s="141"/>
      <c r="B251" s="156"/>
      <c r="C251" s="141"/>
      <c r="D251" s="141"/>
      <c r="E251" s="141"/>
      <c r="F251" s="141"/>
      <c r="G251" s="145"/>
      <c r="H251" s="141"/>
      <c r="I251" s="141"/>
      <c r="J251" s="146"/>
    </row>
    <row r="252" spans="1:10" x14ac:dyDescent="0.2">
      <c r="A252" s="141"/>
      <c r="B252" s="156"/>
      <c r="C252" s="141"/>
      <c r="D252" s="141"/>
      <c r="E252" s="141"/>
      <c r="F252" s="141"/>
      <c r="G252" s="145"/>
      <c r="H252" s="141"/>
      <c r="I252" s="141"/>
      <c r="J252" s="146"/>
    </row>
    <row r="253" spans="1:10" x14ac:dyDescent="0.2">
      <c r="A253" s="141"/>
      <c r="B253" s="156"/>
      <c r="C253" s="141"/>
      <c r="D253" s="141"/>
      <c r="E253" s="141"/>
      <c r="F253" s="141"/>
      <c r="G253" s="145"/>
      <c r="H253" s="141"/>
      <c r="I253" s="141"/>
      <c r="J253" s="146"/>
    </row>
    <row r="254" spans="1:10" x14ac:dyDescent="0.2">
      <c r="A254" s="141"/>
      <c r="B254" s="156"/>
      <c r="C254" s="141"/>
      <c r="D254" s="141"/>
      <c r="E254" s="141"/>
      <c r="F254" s="141"/>
      <c r="G254" s="145"/>
      <c r="H254" s="141"/>
      <c r="I254" s="141"/>
      <c r="J254" s="146"/>
    </row>
    <row r="255" spans="1:10" x14ac:dyDescent="0.2">
      <c r="A255" s="141"/>
      <c r="B255" s="156"/>
      <c r="C255" s="141"/>
      <c r="D255" s="141"/>
      <c r="E255" s="141"/>
      <c r="F255" s="141"/>
      <c r="G255" s="145"/>
      <c r="H255" s="141"/>
      <c r="I255" s="141"/>
      <c r="J255" s="146"/>
    </row>
    <row r="256" spans="1:10" x14ac:dyDescent="0.2">
      <c r="A256" s="141"/>
      <c r="B256" s="156"/>
      <c r="C256" s="141"/>
      <c r="D256" s="141"/>
      <c r="E256" s="141"/>
      <c r="F256" s="141"/>
      <c r="G256" s="145"/>
      <c r="H256" s="141"/>
      <c r="I256" s="141"/>
      <c r="J256" s="146"/>
    </row>
    <row r="257" spans="1:10" x14ac:dyDescent="0.2">
      <c r="A257" s="141"/>
      <c r="B257" s="156"/>
      <c r="C257" s="141"/>
      <c r="D257" s="141"/>
      <c r="E257" s="141"/>
      <c r="F257" s="141"/>
      <c r="G257" s="145"/>
      <c r="H257" s="141"/>
      <c r="I257" s="141"/>
      <c r="J257" s="146"/>
    </row>
    <row r="258" spans="1:10" x14ac:dyDescent="0.2">
      <c r="A258" s="141"/>
      <c r="B258" s="156"/>
      <c r="C258" s="141"/>
      <c r="D258" s="141"/>
      <c r="E258" s="141"/>
      <c r="F258" s="141"/>
      <c r="G258" s="145"/>
      <c r="H258" s="141"/>
      <c r="I258" s="141"/>
      <c r="J258" s="146"/>
    </row>
    <row r="259" spans="1:10" x14ac:dyDescent="0.2">
      <c r="A259" s="141"/>
      <c r="B259" s="156"/>
      <c r="C259" s="141"/>
      <c r="D259" s="141"/>
      <c r="E259" s="141"/>
      <c r="F259" s="141"/>
      <c r="G259" s="145"/>
      <c r="H259" s="141"/>
      <c r="I259" s="141"/>
      <c r="J259" s="146"/>
    </row>
    <row r="260" spans="1:10" x14ac:dyDescent="0.2">
      <c r="A260" s="141"/>
      <c r="B260" s="156"/>
      <c r="C260" s="141"/>
      <c r="D260" s="141"/>
      <c r="E260" s="141"/>
      <c r="F260" s="141"/>
      <c r="G260" s="145"/>
      <c r="H260" s="141"/>
      <c r="I260" s="141"/>
      <c r="J260" s="146"/>
    </row>
    <row r="261" spans="1:10" x14ac:dyDescent="0.2">
      <c r="A261" s="141"/>
      <c r="B261" s="156"/>
      <c r="C261" s="141"/>
      <c r="D261" s="141"/>
      <c r="E261" s="141"/>
      <c r="F261" s="141"/>
      <c r="G261" s="145"/>
      <c r="H261" s="141"/>
      <c r="I261" s="141"/>
      <c r="J261" s="146"/>
    </row>
    <row r="262" spans="1:10" x14ac:dyDescent="0.2">
      <c r="A262" s="141"/>
      <c r="B262" s="156"/>
      <c r="C262" s="141"/>
      <c r="D262" s="141"/>
      <c r="E262" s="141"/>
      <c r="F262" s="141"/>
      <c r="G262" s="145"/>
      <c r="H262" s="141"/>
      <c r="I262" s="141"/>
      <c r="J262" s="146"/>
    </row>
    <row r="263" spans="1:10" x14ac:dyDescent="0.2">
      <c r="A263" s="141"/>
      <c r="B263" s="156"/>
      <c r="C263" s="141"/>
      <c r="D263" s="141"/>
      <c r="E263" s="141"/>
      <c r="F263" s="141"/>
      <c r="G263" s="145"/>
      <c r="H263" s="141"/>
      <c r="I263" s="141"/>
      <c r="J263" s="146"/>
    </row>
    <row r="264" spans="1:10" x14ac:dyDescent="0.2">
      <c r="A264" s="141"/>
      <c r="B264" s="156"/>
      <c r="C264" s="141"/>
      <c r="D264" s="141"/>
      <c r="E264" s="141"/>
      <c r="F264" s="141"/>
      <c r="G264" s="145"/>
      <c r="H264" s="141"/>
      <c r="I264" s="141"/>
      <c r="J264" s="146"/>
    </row>
    <row r="265" spans="1:10" x14ac:dyDescent="0.2">
      <c r="A265" s="141"/>
      <c r="B265" s="156"/>
      <c r="C265" s="141"/>
      <c r="D265" s="141"/>
      <c r="E265" s="141"/>
      <c r="F265" s="141"/>
      <c r="G265" s="145"/>
      <c r="H265" s="141"/>
      <c r="I265" s="141"/>
      <c r="J265" s="146"/>
    </row>
    <row r="266" spans="1:10" x14ac:dyDescent="0.2">
      <c r="A266" s="141"/>
      <c r="B266" s="156"/>
      <c r="C266" s="141"/>
      <c r="D266" s="141"/>
      <c r="E266" s="141"/>
      <c r="F266" s="141"/>
      <c r="G266" s="145"/>
      <c r="H266" s="141"/>
      <c r="I266" s="141"/>
      <c r="J266" s="146"/>
    </row>
    <row r="267" spans="1:10" x14ac:dyDescent="0.2">
      <c r="A267" s="141"/>
      <c r="B267" s="156"/>
      <c r="C267" s="141"/>
      <c r="D267" s="141"/>
      <c r="E267" s="141"/>
      <c r="F267" s="141"/>
      <c r="G267" s="145"/>
      <c r="H267" s="141"/>
      <c r="I267" s="141"/>
      <c r="J267" s="146"/>
    </row>
    <row r="268" spans="1:10" x14ac:dyDescent="0.2">
      <c r="A268" s="141"/>
      <c r="B268" s="156"/>
      <c r="C268" s="141"/>
      <c r="D268" s="141"/>
      <c r="E268" s="141"/>
      <c r="F268" s="141"/>
      <c r="G268" s="145"/>
      <c r="H268" s="141"/>
      <c r="I268" s="141"/>
      <c r="J268" s="146"/>
    </row>
    <row r="269" spans="1:10" x14ac:dyDescent="0.2">
      <c r="A269" s="141"/>
      <c r="B269" s="156"/>
      <c r="C269" s="141"/>
      <c r="D269" s="141"/>
      <c r="E269" s="141"/>
      <c r="F269" s="141"/>
      <c r="G269" s="145"/>
      <c r="H269" s="141"/>
      <c r="I269" s="141"/>
      <c r="J269" s="146"/>
    </row>
    <row r="270" spans="1:10" x14ac:dyDescent="0.2">
      <c r="A270" s="141"/>
      <c r="B270" s="156"/>
      <c r="C270" s="141"/>
      <c r="D270" s="141"/>
      <c r="E270" s="141"/>
      <c r="F270" s="141"/>
      <c r="G270" s="145"/>
      <c r="H270" s="141"/>
      <c r="I270" s="141"/>
      <c r="J270" s="146"/>
    </row>
    <row r="271" spans="1:10" x14ac:dyDescent="0.2">
      <c r="A271" s="141"/>
      <c r="B271" s="156"/>
      <c r="C271" s="141"/>
      <c r="D271" s="141"/>
      <c r="E271" s="141"/>
      <c r="F271" s="141"/>
      <c r="G271" s="145"/>
      <c r="H271" s="141"/>
      <c r="I271" s="141"/>
      <c r="J271" s="146"/>
    </row>
    <row r="272" spans="1:10" x14ac:dyDescent="0.2">
      <c r="A272" s="141"/>
      <c r="B272" s="156"/>
      <c r="C272" s="141"/>
      <c r="D272" s="141"/>
      <c r="E272" s="141"/>
      <c r="F272" s="141"/>
      <c r="G272" s="145"/>
      <c r="H272" s="141"/>
      <c r="I272" s="141"/>
      <c r="J272" s="146"/>
    </row>
    <row r="273" spans="1:10" x14ac:dyDescent="0.2">
      <c r="A273" s="141"/>
      <c r="B273" s="156"/>
      <c r="C273" s="141"/>
      <c r="D273" s="141"/>
      <c r="E273" s="141"/>
      <c r="F273" s="141"/>
      <c r="G273" s="145"/>
      <c r="H273" s="141"/>
      <c r="I273" s="141"/>
      <c r="J273" s="146"/>
    </row>
    <row r="274" spans="1:10" x14ac:dyDescent="0.2">
      <c r="A274" s="141"/>
      <c r="B274" s="156"/>
      <c r="C274" s="141"/>
      <c r="D274" s="141"/>
      <c r="E274" s="141"/>
      <c r="F274" s="141"/>
      <c r="G274" s="145"/>
      <c r="H274" s="141"/>
      <c r="I274" s="141"/>
      <c r="J274" s="146"/>
    </row>
    <row r="275" spans="1:10" x14ac:dyDescent="0.2">
      <c r="A275" s="141"/>
      <c r="B275" s="156"/>
      <c r="C275" s="141"/>
      <c r="D275" s="141"/>
      <c r="E275" s="141"/>
      <c r="F275" s="141"/>
      <c r="G275" s="145"/>
      <c r="H275" s="141"/>
      <c r="I275" s="141"/>
      <c r="J275" s="146"/>
    </row>
    <row r="276" spans="1:10" x14ac:dyDescent="0.2">
      <c r="A276" s="141"/>
      <c r="B276" s="156"/>
      <c r="C276" s="141"/>
      <c r="D276" s="141"/>
      <c r="E276" s="141"/>
      <c r="F276" s="141"/>
      <c r="G276" s="145"/>
      <c r="H276" s="141"/>
      <c r="I276" s="141"/>
      <c r="J276" s="146"/>
    </row>
    <row r="277" spans="1:10" x14ac:dyDescent="0.2">
      <c r="A277" s="141"/>
      <c r="B277" s="156"/>
      <c r="C277" s="141"/>
      <c r="D277" s="141"/>
      <c r="E277" s="141"/>
      <c r="F277" s="141"/>
      <c r="G277" s="145"/>
      <c r="H277" s="141"/>
      <c r="I277" s="141"/>
      <c r="J277" s="146"/>
    </row>
    <row r="278" spans="1:10" x14ac:dyDescent="0.2">
      <c r="A278" s="141"/>
      <c r="B278" s="156"/>
      <c r="C278" s="141"/>
      <c r="D278" s="141"/>
      <c r="E278" s="141"/>
      <c r="F278" s="141"/>
      <c r="G278" s="145"/>
      <c r="H278" s="141"/>
      <c r="I278" s="141"/>
      <c r="J278" s="146"/>
    </row>
    <row r="279" spans="1:10" x14ac:dyDescent="0.2">
      <c r="A279" s="141"/>
      <c r="B279" s="156"/>
      <c r="C279" s="141"/>
      <c r="D279" s="141"/>
      <c r="E279" s="141"/>
      <c r="F279" s="141"/>
      <c r="G279" s="145"/>
      <c r="H279" s="141"/>
      <c r="I279" s="141"/>
      <c r="J279" s="146"/>
    </row>
    <row r="280" spans="1:10" x14ac:dyDescent="0.2">
      <c r="A280" s="141"/>
      <c r="B280" s="156"/>
      <c r="C280" s="141"/>
      <c r="D280" s="141"/>
      <c r="E280" s="141"/>
      <c r="F280" s="141"/>
      <c r="G280" s="145"/>
      <c r="H280" s="141"/>
      <c r="I280" s="141"/>
      <c r="J280" s="146"/>
    </row>
    <row r="281" spans="1:10" x14ac:dyDescent="0.2">
      <c r="A281" s="141"/>
      <c r="B281" s="156"/>
      <c r="C281" s="141"/>
      <c r="D281" s="141"/>
      <c r="E281" s="141"/>
      <c r="F281" s="141"/>
      <c r="G281" s="145"/>
      <c r="H281" s="141"/>
      <c r="I281" s="141"/>
      <c r="J281" s="146"/>
    </row>
    <row r="282" spans="1:10" x14ac:dyDescent="0.2">
      <c r="A282" s="141"/>
      <c r="B282" s="156"/>
      <c r="C282" s="141"/>
      <c r="D282" s="141"/>
      <c r="E282" s="141"/>
      <c r="F282" s="141"/>
      <c r="G282" s="145"/>
      <c r="H282" s="141"/>
      <c r="I282" s="141"/>
      <c r="J282" s="146"/>
    </row>
    <row r="283" spans="1:10" x14ac:dyDescent="0.2">
      <c r="A283" s="141"/>
      <c r="B283" s="156"/>
      <c r="C283" s="141"/>
      <c r="D283" s="141"/>
      <c r="E283" s="141"/>
      <c r="F283" s="141"/>
      <c r="G283" s="145"/>
      <c r="H283" s="141"/>
      <c r="I283" s="141"/>
      <c r="J283" s="146"/>
    </row>
    <row r="284" spans="1:10" x14ac:dyDescent="0.2">
      <c r="A284" s="141"/>
      <c r="B284" s="156"/>
      <c r="C284" s="141"/>
      <c r="D284" s="141"/>
      <c r="E284" s="141"/>
      <c r="F284" s="141"/>
      <c r="G284" s="145"/>
      <c r="H284" s="141"/>
      <c r="I284" s="141"/>
      <c r="J284" s="146"/>
    </row>
    <row r="285" spans="1:10" x14ac:dyDescent="0.2">
      <c r="A285" s="141"/>
      <c r="B285" s="156"/>
      <c r="C285" s="141"/>
      <c r="D285" s="141"/>
      <c r="E285" s="141"/>
      <c r="F285" s="141"/>
      <c r="G285" s="145"/>
      <c r="H285" s="141"/>
      <c r="I285" s="141"/>
      <c r="J285" s="146"/>
    </row>
    <row r="286" spans="1:10" x14ac:dyDescent="0.2">
      <c r="A286" s="141"/>
      <c r="B286" s="156"/>
      <c r="C286" s="141"/>
      <c r="D286" s="141"/>
      <c r="E286" s="141"/>
      <c r="F286" s="141"/>
      <c r="G286" s="145"/>
      <c r="H286" s="141"/>
      <c r="I286" s="141"/>
      <c r="J286" s="146"/>
    </row>
    <row r="287" spans="1:10" x14ac:dyDescent="0.2">
      <c r="A287" s="141"/>
      <c r="B287" s="156"/>
      <c r="C287" s="141"/>
      <c r="D287" s="141"/>
      <c r="E287" s="141"/>
      <c r="F287" s="141"/>
      <c r="G287" s="145"/>
      <c r="H287" s="141"/>
      <c r="I287" s="141"/>
      <c r="J287" s="146"/>
    </row>
    <row r="288" spans="1:10" x14ac:dyDescent="0.2">
      <c r="A288" s="141"/>
      <c r="B288" s="156"/>
      <c r="C288" s="141"/>
      <c r="D288" s="141"/>
      <c r="E288" s="141"/>
      <c r="F288" s="141"/>
      <c r="G288" s="145"/>
      <c r="H288" s="141"/>
      <c r="I288" s="141"/>
      <c r="J288" s="146"/>
    </row>
    <row r="289" spans="1:10" x14ac:dyDescent="0.2">
      <c r="A289" s="141"/>
      <c r="B289" s="156"/>
      <c r="C289" s="141"/>
      <c r="D289" s="141"/>
      <c r="E289" s="141"/>
      <c r="F289" s="141"/>
      <c r="G289" s="145"/>
      <c r="H289" s="141"/>
      <c r="I289" s="141"/>
      <c r="J289" s="146"/>
    </row>
    <row r="290" spans="1:10" x14ac:dyDescent="0.2">
      <c r="A290" s="141"/>
      <c r="B290" s="156"/>
      <c r="C290" s="141"/>
      <c r="D290" s="141"/>
      <c r="E290" s="141"/>
      <c r="F290" s="141"/>
      <c r="G290" s="145"/>
      <c r="H290" s="141"/>
      <c r="I290" s="141"/>
      <c r="J290" s="146"/>
    </row>
    <row r="291" spans="1:10" x14ac:dyDescent="0.2">
      <c r="A291" s="141"/>
      <c r="B291" s="156"/>
      <c r="C291" s="141"/>
      <c r="D291" s="141"/>
      <c r="E291" s="141"/>
      <c r="F291" s="141"/>
      <c r="G291" s="145"/>
      <c r="H291" s="141"/>
      <c r="I291" s="141"/>
      <c r="J291" s="146"/>
    </row>
    <row r="292" spans="1:10" x14ac:dyDescent="0.2">
      <c r="A292" s="141"/>
      <c r="B292" s="156"/>
      <c r="C292" s="141"/>
      <c r="D292" s="141"/>
      <c r="E292" s="141"/>
      <c r="F292" s="141"/>
      <c r="G292" s="145"/>
      <c r="H292" s="141"/>
      <c r="I292" s="141"/>
      <c r="J292" s="146"/>
    </row>
    <row r="293" spans="1:10" x14ac:dyDescent="0.2">
      <c r="A293" s="141"/>
      <c r="B293" s="156"/>
      <c r="C293" s="141"/>
      <c r="D293" s="141"/>
      <c r="E293" s="141"/>
      <c r="F293" s="141"/>
      <c r="G293" s="145"/>
      <c r="H293" s="141"/>
      <c r="I293" s="141"/>
      <c r="J293" s="146"/>
    </row>
    <row r="294" spans="1:10" x14ac:dyDescent="0.2">
      <c r="A294" s="141"/>
      <c r="B294" s="156"/>
      <c r="C294" s="141"/>
      <c r="D294" s="141"/>
      <c r="E294" s="141"/>
      <c r="F294" s="141"/>
      <c r="G294" s="145"/>
      <c r="H294" s="141"/>
      <c r="I294" s="141"/>
      <c r="J294" s="146"/>
    </row>
    <row r="295" spans="1:10" x14ac:dyDescent="0.2">
      <c r="A295" s="141"/>
      <c r="B295" s="156"/>
      <c r="C295" s="141"/>
      <c r="D295" s="141"/>
      <c r="E295" s="141"/>
      <c r="F295" s="141"/>
      <c r="G295" s="145"/>
      <c r="H295" s="141"/>
      <c r="I295" s="141"/>
      <c r="J295" s="146"/>
    </row>
    <row r="296" spans="1:10" x14ac:dyDescent="0.2">
      <c r="A296" s="141"/>
      <c r="B296" s="156"/>
      <c r="C296" s="141"/>
      <c r="D296" s="141"/>
      <c r="E296" s="141"/>
      <c r="F296" s="141"/>
      <c r="G296" s="145"/>
      <c r="H296" s="141"/>
      <c r="I296" s="141"/>
      <c r="J296" s="146"/>
    </row>
    <row r="297" spans="1:10" x14ac:dyDescent="0.2">
      <c r="A297" s="141"/>
      <c r="B297" s="156"/>
      <c r="C297" s="141"/>
      <c r="D297" s="141"/>
      <c r="E297" s="141"/>
      <c r="F297" s="141"/>
      <c r="G297" s="145"/>
      <c r="H297" s="141"/>
      <c r="I297" s="141"/>
      <c r="J297" s="146"/>
    </row>
    <row r="298" spans="1:10" x14ac:dyDescent="0.2">
      <c r="A298" s="141"/>
      <c r="B298" s="156"/>
      <c r="C298" s="141"/>
      <c r="D298" s="141"/>
      <c r="E298" s="141"/>
      <c r="F298" s="141"/>
      <c r="G298" s="145"/>
      <c r="H298" s="141"/>
      <c r="I298" s="141"/>
      <c r="J298" s="146"/>
    </row>
    <row r="299" spans="1:10" x14ac:dyDescent="0.2">
      <c r="A299" s="141"/>
      <c r="B299" s="156"/>
      <c r="C299" s="141"/>
      <c r="D299" s="141"/>
      <c r="E299" s="141"/>
      <c r="F299" s="141"/>
      <c r="G299" s="145"/>
      <c r="H299" s="141"/>
      <c r="I299" s="141"/>
      <c r="J299" s="146"/>
    </row>
    <row r="300" spans="1:10" x14ac:dyDescent="0.2">
      <c r="A300" s="141"/>
      <c r="B300" s="156"/>
      <c r="C300" s="141"/>
      <c r="D300" s="141"/>
      <c r="E300" s="141"/>
      <c r="F300" s="141"/>
      <c r="G300" s="145"/>
      <c r="H300" s="141"/>
      <c r="I300" s="141"/>
      <c r="J300" s="146"/>
    </row>
    <row r="301" spans="1:10" x14ac:dyDescent="0.2">
      <c r="A301" s="141"/>
      <c r="B301" s="156"/>
      <c r="C301" s="141"/>
      <c r="D301" s="141"/>
      <c r="E301" s="141"/>
      <c r="F301" s="141"/>
      <c r="G301" s="145"/>
      <c r="H301" s="141"/>
      <c r="I301" s="141"/>
      <c r="J301" s="146"/>
    </row>
    <row r="302" spans="1:10" x14ac:dyDescent="0.2">
      <c r="A302" s="141"/>
      <c r="B302" s="156"/>
      <c r="C302" s="141"/>
      <c r="D302" s="141"/>
      <c r="E302" s="141"/>
      <c r="F302" s="141"/>
      <c r="G302" s="145"/>
      <c r="H302" s="141"/>
      <c r="I302" s="141"/>
      <c r="J302" s="146"/>
    </row>
    <row r="303" spans="1:10" x14ac:dyDescent="0.2">
      <c r="A303" s="141"/>
      <c r="B303" s="156"/>
      <c r="C303" s="141"/>
      <c r="D303" s="141"/>
      <c r="E303" s="141"/>
      <c r="F303" s="141"/>
      <c r="G303" s="145"/>
      <c r="H303" s="141"/>
      <c r="I303" s="141"/>
      <c r="J303" s="146"/>
    </row>
    <row r="304" spans="1:10" x14ac:dyDescent="0.2">
      <c r="A304" s="141"/>
      <c r="B304" s="156"/>
      <c r="C304" s="141"/>
      <c r="D304" s="141"/>
      <c r="E304" s="141"/>
      <c r="F304" s="141"/>
      <c r="G304" s="145"/>
      <c r="H304" s="141"/>
      <c r="I304" s="141"/>
      <c r="J304" s="146"/>
    </row>
    <row r="305" spans="1:10" x14ac:dyDescent="0.2">
      <c r="A305" s="141"/>
      <c r="B305" s="156"/>
      <c r="C305" s="141"/>
      <c r="D305" s="141"/>
      <c r="E305" s="141"/>
      <c r="F305" s="141"/>
      <c r="G305" s="145"/>
      <c r="H305" s="141"/>
      <c r="I305" s="141"/>
      <c r="J305" s="146"/>
    </row>
    <row r="306" spans="1:10" x14ac:dyDescent="0.2">
      <c r="A306" s="141"/>
      <c r="B306" s="156"/>
      <c r="C306" s="141"/>
      <c r="D306" s="141"/>
      <c r="E306" s="141"/>
      <c r="F306" s="141"/>
      <c r="G306" s="145"/>
      <c r="H306" s="141"/>
      <c r="I306" s="141"/>
      <c r="J306" s="146"/>
    </row>
    <row r="307" spans="1:10" x14ac:dyDescent="0.2">
      <c r="A307" s="141"/>
      <c r="B307" s="156"/>
      <c r="C307" s="141"/>
      <c r="D307" s="141"/>
      <c r="E307" s="141"/>
      <c r="F307" s="141"/>
      <c r="G307" s="145"/>
      <c r="H307" s="141"/>
      <c r="I307" s="141"/>
      <c r="J307" s="146"/>
    </row>
    <row r="308" spans="1:10" x14ac:dyDescent="0.2">
      <c r="A308" s="141"/>
      <c r="B308" s="156"/>
      <c r="C308" s="141"/>
      <c r="D308" s="141"/>
      <c r="E308" s="141"/>
      <c r="F308" s="141"/>
      <c r="G308" s="145"/>
      <c r="H308" s="141"/>
      <c r="I308" s="141"/>
      <c r="J308" s="146"/>
    </row>
    <row r="309" spans="1:10" x14ac:dyDescent="0.2">
      <c r="A309" s="141"/>
      <c r="B309" s="156"/>
      <c r="C309" s="141"/>
      <c r="D309" s="141"/>
      <c r="E309" s="141"/>
      <c r="F309" s="141"/>
      <c r="G309" s="145"/>
      <c r="H309" s="141"/>
      <c r="I309" s="141"/>
      <c r="J309" s="146"/>
    </row>
    <row r="310" spans="1:10" x14ac:dyDescent="0.2">
      <c r="A310" s="141"/>
      <c r="B310" s="156"/>
      <c r="C310" s="141"/>
      <c r="D310" s="141"/>
      <c r="E310" s="141"/>
      <c r="F310" s="141"/>
      <c r="G310" s="145"/>
      <c r="H310" s="141"/>
      <c r="I310" s="141"/>
      <c r="J310" s="146"/>
    </row>
    <row r="311" spans="1:10" x14ac:dyDescent="0.2">
      <c r="A311" s="141"/>
      <c r="B311" s="156"/>
      <c r="C311" s="141"/>
      <c r="D311" s="141"/>
      <c r="E311" s="141"/>
      <c r="F311" s="141"/>
      <c r="G311" s="145"/>
      <c r="H311" s="141"/>
      <c r="I311" s="141"/>
      <c r="J311" s="146"/>
    </row>
    <row r="312" spans="1:10" x14ac:dyDescent="0.2">
      <c r="A312" s="141"/>
      <c r="B312" s="156"/>
      <c r="C312" s="141"/>
      <c r="D312" s="141"/>
      <c r="E312" s="141"/>
      <c r="F312" s="141"/>
      <c r="G312" s="145"/>
      <c r="H312" s="141"/>
      <c r="I312" s="141"/>
      <c r="J312" s="146"/>
    </row>
    <row r="313" spans="1:10" x14ac:dyDescent="0.2">
      <c r="A313" s="141"/>
      <c r="B313" s="156"/>
      <c r="C313" s="141"/>
      <c r="D313" s="141"/>
      <c r="E313" s="141"/>
      <c r="F313" s="141"/>
      <c r="G313" s="145"/>
      <c r="H313" s="141"/>
      <c r="I313" s="141"/>
      <c r="J313" s="146"/>
    </row>
    <row r="314" spans="1:10" x14ac:dyDescent="0.2">
      <c r="A314" s="141"/>
      <c r="B314" s="156"/>
      <c r="C314" s="141"/>
      <c r="D314" s="141"/>
      <c r="E314" s="141"/>
      <c r="F314" s="141"/>
      <c r="G314" s="145"/>
      <c r="H314" s="141"/>
      <c r="I314" s="141"/>
      <c r="J314" s="146"/>
    </row>
    <row r="315" spans="1:10" x14ac:dyDescent="0.2">
      <c r="A315" s="141"/>
      <c r="B315" s="156"/>
      <c r="C315" s="141"/>
      <c r="D315" s="141"/>
      <c r="E315" s="141"/>
      <c r="F315" s="141"/>
      <c r="G315" s="145"/>
      <c r="H315" s="141"/>
      <c r="I315" s="141"/>
      <c r="J315" s="146"/>
    </row>
    <row r="316" spans="1:10" x14ac:dyDescent="0.2">
      <c r="A316" s="141"/>
      <c r="B316" s="156"/>
      <c r="C316" s="141"/>
      <c r="D316" s="141"/>
      <c r="E316" s="141"/>
      <c r="F316" s="141"/>
      <c r="G316" s="145"/>
      <c r="H316" s="141"/>
      <c r="I316" s="141"/>
      <c r="J316" s="146"/>
    </row>
    <row r="317" spans="1:10" x14ac:dyDescent="0.2">
      <c r="A317" s="141"/>
      <c r="B317" s="156"/>
      <c r="C317" s="141"/>
      <c r="D317" s="141"/>
      <c r="E317" s="141"/>
      <c r="F317" s="141"/>
      <c r="G317" s="145"/>
      <c r="H317" s="141"/>
      <c r="I317" s="141"/>
      <c r="J317" s="146"/>
    </row>
    <row r="318" spans="1:10" x14ac:dyDescent="0.2">
      <c r="A318" s="141"/>
      <c r="B318" s="156"/>
      <c r="C318" s="141"/>
      <c r="D318" s="141"/>
      <c r="E318" s="141"/>
      <c r="F318" s="141"/>
      <c r="G318" s="145"/>
      <c r="H318" s="141"/>
      <c r="I318" s="141"/>
      <c r="J318" s="146"/>
    </row>
    <row r="319" spans="1:10" x14ac:dyDescent="0.2">
      <c r="A319" s="141"/>
      <c r="B319" s="156"/>
      <c r="C319" s="141"/>
      <c r="D319" s="141"/>
      <c r="E319" s="141"/>
      <c r="F319" s="141"/>
      <c r="G319" s="145"/>
      <c r="H319" s="141"/>
      <c r="I319" s="141"/>
      <c r="J319" s="146"/>
    </row>
    <row r="320" spans="1:10" x14ac:dyDescent="0.2">
      <c r="A320" s="141"/>
      <c r="B320" s="156"/>
      <c r="C320" s="141"/>
      <c r="D320" s="141"/>
      <c r="E320" s="141"/>
      <c r="F320" s="141"/>
      <c r="G320" s="145"/>
      <c r="H320" s="141"/>
      <c r="I320" s="141"/>
      <c r="J320" s="146"/>
    </row>
    <row r="321" spans="1:10" x14ac:dyDescent="0.2">
      <c r="A321" s="141"/>
      <c r="B321" s="156"/>
      <c r="C321" s="141"/>
      <c r="D321" s="141"/>
      <c r="E321" s="141"/>
      <c r="F321" s="141"/>
      <c r="G321" s="145"/>
      <c r="H321" s="141"/>
      <c r="I321" s="141"/>
      <c r="J321" s="146"/>
    </row>
    <row r="322" spans="1:10" x14ac:dyDescent="0.2">
      <c r="A322" s="141"/>
      <c r="B322" s="156"/>
      <c r="C322" s="141"/>
      <c r="D322" s="141"/>
      <c r="E322" s="141"/>
      <c r="F322" s="141"/>
      <c r="G322" s="145"/>
      <c r="H322" s="141"/>
      <c r="I322" s="141"/>
      <c r="J322" s="146"/>
    </row>
    <row r="323" spans="1:10" x14ac:dyDescent="0.2">
      <c r="A323" s="141"/>
      <c r="B323" s="156"/>
      <c r="C323" s="141"/>
      <c r="D323" s="141"/>
      <c r="E323" s="141"/>
      <c r="F323" s="141"/>
      <c r="G323" s="145"/>
      <c r="H323" s="141"/>
      <c r="I323" s="141"/>
      <c r="J323" s="146"/>
    </row>
    <row r="324" spans="1:10" x14ac:dyDescent="0.2">
      <c r="A324" s="141"/>
      <c r="B324" s="156"/>
      <c r="C324" s="141"/>
      <c r="D324" s="141"/>
      <c r="E324" s="141"/>
      <c r="F324" s="141"/>
      <c r="G324" s="145"/>
      <c r="H324" s="141"/>
      <c r="I324" s="141"/>
      <c r="J324" s="146"/>
    </row>
    <row r="325" spans="1:10" x14ac:dyDescent="0.2">
      <c r="A325" s="141"/>
      <c r="B325" s="156"/>
      <c r="C325" s="141"/>
      <c r="D325" s="141"/>
      <c r="E325" s="141"/>
      <c r="F325" s="141"/>
      <c r="G325" s="145"/>
      <c r="H325" s="141"/>
      <c r="I325" s="141"/>
      <c r="J325" s="146"/>
    </row>
    <row r="326" spans="1:10" x14ac:dyDescent="0.2">
      <c r="A326" s="141"/>
      <c r="I326" s="141"/>
      <c r="J326" s="146"/>
    </row>
    <row r="327" spans="1:10" x14ac:dyDescent="0.2">
      <c r="A327" s="141"/>
      <c r="I327" s="141"/>
      <c r="J327" s="146"/>
    </row>
  </sheetData>
  <sheetProtection sheet="1"/>
  <mergeCells count="34">
    <mergeCell ref="F6:H6"/>
    <mergeCell ref="B152:C152"/>
    <mergeCell ref="F13:H13"/>
    <mergeCell ref="F14:H14"/>
    <mergeCell ref="F15:H15"/>
    <mergeCell ref="F16:H16"/>
    <mergeCell ref="F17:H17"/>
    <mergeCell ref="F18:H18"/>
    <mergeCell ref="F7:H7"/>
    <mergeCell ref="B127:C127"/>
    <mergeCell ref="B144:C144"/>
    <mergeCell ref="F8:H8"/>
    <mergeCell ref="F9:H9"/>
    <mergeCell ref="F10:H10"/>
    <mergeCell ref="F11:H11"/>
    <mergeCell ref="F12:H12"/>
    <mergeCell ref="B19:H19"/>
    <mergeCell ref="D20:H20"/>
    <mergeCell ref="D155:F155"/>
    <mergeCell ref="D182:F182"/>
    <mergeCell ref="D40:F40"/>
    <mergeCell ref="D132:F132"/>
    <mergeCell ref="B182:C182"/>
    <mergeCell ref="B115:C115"/>
    <mergeCell ref="B67:C67"/>
    <mergeCell ref="B79:C79"/>
    <mergeCell ref="B102:C102"/>
    <mergeCell ref="B139:C139"/>
    <mergeCell ref="B164:C164"/>
    <mergeCell ref="B42:C42"/>
    <mergeCell ref="B51:C51"/>
    <mergeCell ref="B157:C157"/>
    <mergeCell ref="B87:C87"/>
    <mergeCell ref="B134:C134"/>
  </mergeCells>
  <phoneticPr fontId="2" type="noConversion"/>
  <conditionalFormatting sqref="D116">
    <cfRule type="cellIs" dxfId="2" priority="1" stopIfTrue="1" operator="greaterThan">
      <formula>0.05</formula>
    </cfRule>
  </conditionalFormatting>
  <dataValidations count="1">
    <dataValidation type="list" errorStyle="warning" allowBlank="1" showInputMessage="1" showErrorMessage="1" errorTitle="Select" error="Select a device from list" promptTitle="Select" prompt="Please select a device." sqref="D4" xr:uid="{E43FB657-6FC7-4B49-B1A6-06BA72EBEDE2}">
      <formula1>$B$4:$B$5</formula1>
    </dataValidation>
  </dataValidations>
  <pageMargins left="0.75" right="0.75" top="1" bottom="1" header="0.5" footer="0.5"/>
  <pageSetup scale="6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185" r:id="rId4">
          <objectPr defaultSize="0" autoPict="0" r:id="rId5">
            <anchor moveWithCells="1">
              <from>
                <xdr:col>6</xdr:col>
                <xdr:colOff>142875</xdr:colOff>
                <xdr:row>19</xdr:row>
                <xdr:rowOff>9525</xdr:rowOff>
              </from>
              <to>
                <xdr:col>7</xdr:col>
                <xdr:colOff>6477000</xdr:colOff>
                <xdr:row>38</xdr:row>
                <xdr:rowOff>209550</xdr:rowOff>
              </to>
            </anchor>
          </objectPr>
        </oleObject>
      </mc:Choice>
      <mc:Fallback>
        <oleObject progId="Visio.Drawing.11" shapeId="21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8555-6B51-466A-AEA5-64AA010CBD9F}">
  <dimension ref="A2:AJ612"/>
  <sheetViews>
    <sheetView zoomScale="85" zoomScaleNormal="85" workbookViewId="0">
      <selection activeCell="M66" sqref="M66"/>
    </sheetView>
  </sheetViews>
  <sheetFormatPr defaultRowHeight="12.75" x14ac:dyDescent="0.2"/>
  <cols>
    <col min="1" max="1" width="2.7109375" style="220" customWidth="1"/>
    <col min="2" max="2" width="9.85546875" style="221" bestFit="1" customWidth="1"/>
    <col min="3" max="3" width="13.5703125" style="220" bestFit="1" customWidth="1"/>
    <col min="4" max="4" width="9.5703125" style="220" bestFit="1" customWidth="1"/>
    <col min="5" max="5" width="7.140625" style="220" customWidth="1"/>
    <col min="6" max="6" width="16.7109375" style="221" customWidth="1"/>
    <col min="7" max="7" width="7.42578125" style="220" bestFit="1" customWidth="1"/>
    <col min="8" max="8" width="3.28515625" style="220" bestFit="1" customWidth="1"/>
    <col min="9" max="9" width="9.28515625" style="227" bestFit="1" customWidth="1"/>
    <col min="10" max="11" width="9.140625" style="227" customWidth="1"/>
    <col min="12" max="12" width="12" style="227" bestFit="1" customWidth="1"/>
    <col min="13" max="13" width="9.140625" style="227" customWidth="1"/>
    <col min="14" max="16" width="14.5703125" style="227" customWidth="1"/>
    <col min="17" max="17" width="9.140625" style="227" customWidth="1"/>
    <col min="18" max="21" width="19.5703125" style="227" customWidth="1"/>
    <col min="22" max="22" width="13.42578125" style="227" bestFit="1" customWidth="1"/>
    <col min="23" max="23" width="15" style="227" bestFit="1" customWidth="1"/>
    <col min="24" max="27" width="19.5703125" style="227" customWidth="1"/>
    <col min="28" max="28" width="13.42578125" style="227" bestFit="1" customWidth="1"/>
    <col min="29" max="29" width="15" style="227" bestFit="1" customWidth="1"/>
    <col min="30" max="30" width="12.85546875" style="227" bestFit="1" customWidth="1"/>
    <col min="31" max="31" width="12.28515625" style="227" bestFit="1" customWidth="1"/>
    <col min="32" max="33" width="12.85546875" style="227" bestFit="1" customWidth="1"/>
    <col min="34" max="34" width="12" style="227" bestFit="1" customWidth="1"/>
    <col min="35" max="36" width="9.140625" style="227"/>
    <col min="37" max="16384" width="9.140625" style="220"/>
  </cols>
  <sheetData>
    <row r="2" spans="2:35" ht="18" x14ac:dyDescent="0.25">
      <c r="B2" s="268" t="s">
        <v>130</v>
      </c>
      <c r="C2" s="268"/>
      <c r="D2" s="268"/>
      <c r="E2" s="268" t="s">
        <v>139</v>
      </c>
      <c r="F2" s="268"/>
      <c r="G2" s="268"/>
      <c r="J2" s="228"/>
    </row>
    <row r="3" spans="2:35" x14ac:dyDescent="0.2">
      <c r="B3" s="221" t="s">
        <v>191</v>
      </c>
      <c r="C3" s="102">
        <f>Vin_Min</f>
        <v>5</v>
      </c>
      <c r="D3" s="220" t="s">
        <v>3</v>
      </c>
      <c r="E3" s="221" t="s">
        <v>53</v>
      </c>
      <c r="F3" s="247">
        <f>C3</f>
        <v>5</v>
      </c>
      <c r="G3" s="220" t="s">
        <v>3</v>
      </c>
      <c r="K3" s="227" t="s">
        <v>15</v>
      </c>
      <c r="L3" s="227" t="s">
        <v>140</v>
      </c>
      <c r="N3" s="227" t="s">
        <v>167</v>
      </c>
      <c r="O3" s="227" t="s">
        <v>166</v>
      </c>
      <c r="P3" s="227" t="s">
        <v>25</v>
      </c>
      <c r="Q3" s="227" t="s">
        <v>15</v>
      </c>
      <c r="R3" s="227" t="s">
        <v>151</v>
      </c>
      <c r="S3" s="227" t="s">
        <v>152</v>
      </c>
      <c r="T3" s="227" t="s">
        <v>153</v>
      </c>
      <c r="U3" s="227" t="s">
        <v>154</v>
      </c>
      <c r="V3" s="227" t="s">
        <v>144</v>
      </c>
      <c r="W3" s="227" t="s">
        <v>145</v>
      </c>
      <c r="X3" s="227" t="s">
        <v>155</v>
      </c>
      <c r="Y3" s="227" t="s">
        <v>157</v>
      </c>
      <c r="Z3" s="227" t="s">
        <v>156</v>
      </c>
      <c r="AA3" s="227" t="s">
        <v>158</v>
      </c>
      <c r="AB3" s="227" t="s">
        <v>159</v>
      </c>
      <c r="AC3" s="227" t="s">
        <v>160</v>
      </c>
      <c r="AD3" s="227" t="s">
        <v>162</v>
      </c>
      <c r="AE3" s="227" t="s">
        <v>163</v>
      </c>
      <c r="AF3" s="227" t="s">
        <v>164</v>
      </c>
      <c r="AG3" s="227" t="s">
        <v>165</v>
      </c>
      <c r="AH3" s="227" t="s">
        <v>161</v>
      </c>
    </row>
    <row r="4" spans="2:35" x14ac:dyDescent="0.2">
      <c r="B4" s="221" t="s">
        <v>190</v>
      </c>
      <c r="C4" s="102">
        <f>Vin_Nom</f>
        <v>6</v>
      </c>
      <c r="D4" s="220" t="s">
        <v>3</v>
      </c>
      <c r="E4" s="221"/>
      <c r="F4" s="220"/>
      <c r="I4" s="227">
        <v>0</v>
      </c>
      <c r="J4" s="227">
        <f t="shared" ref="J4:J67" si="0">1+I4*(LOG(fsw)-1)/500</f>
        <v>1</v>
      </c>
      <c r="K4" s="227">
        <f>10^(J4)</f>
        <v>10</v>
      </c>
      <c r="L4" s="227">
        <f>2*PI()*K4</f>
        <v>62.831853071795862</v>
      </c>
      <c r="M4" s="227">
        <f t="shared" ref="M4:M67" si="1">SQRT((Fco_target-K5)^2)</f>
        <v>8808.1984376435285</v>
      </c>
      <c r="N4" s="227">
        <f>SQRT((ABS(AC4)-171.5+'Small Signal'!C$59)^2)</f>
        <v>101.08959970956494</v>
      </c>
      <c r="O4" s="227">
        <f>ABS(AG4)</f>
        <v>91.661109807680972</v>
      </c>
      <c r="P4" s="227">
        <f>ABS(AF4)</f>
        <v>52.646785885625391</v>
      </c>
      <c r="Q4" s="227">
        <f>K4</f>
        <v>10</v>
      </c>
      <c r="R4" s="227" t="str">
        <f t="shared" ref="R4:R67" si="2">IMSUM(COMPLEX(DCRss,Lss*L4),COMPLEX(Rdsonss,0),COMPLEX(40/3*Risense,0))</f>
        <v>0.0945666666666667+0.000295309709437441i</v>
      </c>
      <c r="S4" s="227" t="str">
        <f t="shared" ref="S4:S67" si="3">IMSUM(COMPLEX(ESRss,0),IMDIV(COMPLEX(1,0),COMPLEX(0,L4*Cbulkss)))</f>
        <v>0.0085-1693.13769246697i</v>
      </c>
      <c r="T4" s="227" t="str">
        <f>IMDIV(IMPRODUCT(S4,COMPLEX(Ross,0)),IMSUM(S4,COMPLEX(Ross,0)))</f>
        <v>23.9951770180121-0.340128395935629i</v>
      </c>
      <c r="U4" s="227" t="str">
        <f t="shared" ref="U4:U67" si="4">IMPRODUCT(COMPLEX(Vinss,0),COMPLEX(M^2,0),IMDIV(IMSUB(COMPLEX(1,0),IMDIV(IMPRODUCT(R4,COMPLEX(M^2,0)),COMPLEX(Ross,0))),IMSUM(COMPLEX(1,0),IMDIV(IMPRODUCT(R4,COMPLEX(M^2,0)),T4))))</f>
        <v>96.0243314452608-0.168182902908612i</v>
      </c>
      <c r="V4" s="227">
        <f>20*LOG(IMABS(U4))</f>
        <v>39.647639165244982</v>
      </c>
      <c r="W4" s="227">
        <f>IF(DEGREES(IMARGUMENT(U4))&gt;0,DEGREES(IMARGUMENT(U4))-360, DEGREES(IMARGUMENT(U4)))</f>
        <v>-0.10035123936347103</v>
      </c>
      <c r="X4" s="227" t="str">
        <f t="shared" ref="X4:X67" si="5">IMSUM(COMPLEX(1,L4/(wn*q0)),IMPOWER(COMPLEX(0,L4/wn),2))</f>
        <v>0.999999999288889-8.47914303696591E-06i</v>
      </c>
      <c r="Y4" s="227" t="str">
        <f t="shared" ref="Y4:Y67" si="6">IMPRODUCT(COMPLEX(2*Ioutss*M^2,0),IMDIV(IMSUM(COMPLEX(1,0),IMDIV(COMPLEX(Ross,0),IMPRODUCT(COMPLEX(2,0),S4))),IMSUM(COMPLEX(1,0),IMDIV(IMPRODUCT(R4,COMPLEX(M^2,0)),T4))))</f>
        <v>42.245344449725+0.23858982423082i</v>
      </c>
      <c r="Z4" s="227" t="str">
        <f t="shared" ref="Z4:Z67" si="7">IMPRODUCT(COMPLEX(Fm*40/3*Risense,0),Y4,X4)</f>
        <v>23.7541627389683+0.13395540909137i</v>
      </c>
      <c r="AA4" s="227" t="str">
        <f t="shared" ref="AA4:AA67" si="8">IMDIV(IMPRODUCT(COMPLEX(Fm,0),U4),IMSUM(COMPLEX(1,0),Z4))</f>
        <v>32.7166122748428-0.234347746490887i</v>
      </c>
      <c r="AB4" s="227">
        <f>20*LOG(IMABS(AA4))</f>
        <v>30.295589365932347</v>
      </c>
      <c r="AC4" s="227">
        <f>IF(DEGREES(IMARGUMENT(AA4))&gt;0,DEGREES(IMARGUMENT(AA4))-360, DEGREES(IMARGUMENT(AA4)))</f>
        <v>-0.4104002904350742</v>
      </c>
      <c r="AD4" s="229">
        <f>20*LOG(IMABS(AH4))</f>
        <v>22.351196519693048</v>
      </c>
      <c r="AE4" s="229">
        <f>180+DEGREES(IMARGUMENT(AH4))</f>
        <v>92.07151009811605</v>
      </c>
      <c r="AF4" s="227">
        <f t="shared" ref="AF4:AF67" si="9">AD4+AB4</f>
        <v>52.646785885625391</v>
      </c>
      <c r="AG4" s="227">
        <f t="shared" ref="AG4:AG67" si="10">AE4+AC4</f>
        <v>91.661109807680972</v>
      </c>
      <c r="AH4" s="229" t="str">
        <f>IMDIV(IMPRODUCT(COMPLEX(gea*Rea*Rslss/(Rslss+Rshss),0),COMPLEX(1,L4*Ccompss*Rcompss),COMPLEX(1,k_3*L4*Cffss*Rshss)),IMPRODUCT(COMPLEX(1,L4*Rea*Ccompss),COMPLEX(1,L4*Rcompss*Chfss),COMPLEX(1,k_3*L4*Rffss*Cffss)))</f>
        <v>0.473837718741099-13.1001394247315i</v>
      </c>
      <c r="AI4" s="227" t="str">
        <f>IMDIV(IMPRODUCT(IMSUM(COMPLEX(ESRss,0),IMDIV(COMPLEX(1,0),COMPLEX(0,L4*Cbulkss))),IMSUM(COMPLEX(Rcerss,0),IMDIV(COMPLEX(1,0),COMPLEX(0,L4*Ccerss)))),IMSUM(IMSUM(COMPLEX(ESRss,0),IMDIV(COMPLEX(1,0),COMPLEX(0,L4*Cbulkss))),IMSUM(COMPLEX(Rcerss,0),IMDIV(COMPLEX(1,0),COMPLEX(0,L4*Ccerss)))))</f>
        <v>0.00850000950882536-1693.13751234596i</v>
      </c>
    </row>
    <row r="5" spans="2:35" x14ac:dyDescent="0.2">
      <c r="B5" s="221" t="s">
        <v>192</v>
      </c>
      <c r="C5" s="102">
        <f>Vin_Max</f>
        <v>6.3</v>
      </c>
      <c r="D5" s="220" t="s">
        <v>3</v>
      </c>
      <c r="E5" s="221"/>
      <c r="F5" s="220"/>
      <c r="I5" s="227">
        <v>1</v>
      </c>
      <c r="J5" s="227">
        <f t="shared" si="0"/>
        <v>1.0097501225267833</v>
      </c>
      <c r="K5" s="227">
        <f>10^(J5)</f>
        <v>10.22704395528236</v>
      </c>
      <c r="L5" s="227">
        <f t="shared" ref="L5:L68" si="11">2*PI()*K5</f>
        <v>64.258412315709919</v>
      </c>
      <c r="M5" s="227">
        <f t="shared" si="1"/>
        <v>8807.9662387924836</v>
      </c>
      <c r="N5" s="227">
        <f>SQRT((ABS(AC5)-171.5+'Small Signal'!C$59)^2)</f>
        <v>101.08028210646728</v>
      </c>
      <c r="O5" s="227">
        <f t="shared" ref="O5:O68" si="12">ABS(AG5)</f>
        <v>91.638626212888354</v>
      </c>
      <c r="P5" s="227">
        <f t="shared" ref="P5:P68" si="13">ABS(AF5)</f>
        <v>52.451911498745176</v>
      </c>
      <c r="Q5" s="227">
        <f t="shared" ref="Q5:Q68" si="14">K5</f>
        <v>10.22704395528236</v>
      </c>
      <c r="R5" s="227" t="str">
        <f t="shared" si="2"/>
        <v>0.0945666666666667+0.000302014537883837i</v>
      </c>
      <c r="S5" s="227" t="str">
        <f t="shared" si="3"/>
        <v>0.0085-1655.54944309441i</v>
      </c>
      <c r="T5" s="227" t="str">
        <f t="shared" ref="T5:T35" si="15">IMDIV(IMPRODUCT(S5,COMPLEX(Ross,0)),IMSUM(S5,COMPLEX(Ross,0)))</f>
        <v>23.9949555726044-0.347847594203221i</v>
      </c>
      <c r="U5" s="227" t="str">
        <f t="shared" si="4"/>
        <v>96.0243365459436-0.172001430704601i</v>
      </c>
      <c r="V5" s="227">
        <f t="shared" ref="V5:V68" si="16">20*LOG(IMABS(U5))</f>
        <v>39.647640238456027</v>
      </c>
      <c r="W5" s="227">
        <f t="shared" ref="W5:W68" si="17">IF(DEGREES(IMARGUMENT(U5))&gt;0,DEGREES(IMARGUMENT(U5))-360, DEGREES(IMARGUMENT(U5)))</f>
        <v>-0.10262966518939313</v>
      </c>
      <c r="X5" s="227" t="str">
        <f t="shared" si="5"/>
        <v>0.999999999256232-8.67165685421767E-06i</v>
      </c>
      <c r="Y5" s="227" t="str">
        <f t="shared" si="6"/>
        <v>42.2453674291527+0.244006869315581i</v>
      </c>
      <c r="Z5" s="227" t="str">
        <f t="shared" si="7"/>
        <v>23.75417571155+0.136996789696817i</v>
      </c>
      <c r="AA5" s="227" t="str">
        <f t="shared" si="8"/>
        <v>32.7165386311013-0.239667955044922i</v>
      </c>
      <c r="AB5" s="227">
        <f t="shared" ref="AB5:AB68" si="18">20*LOG(IMABS(AA5))</f>
        <v>30.295580047044549</v>
      </c>
      <c r="AC5" s="227">
        <f t="shared" ref="AC5:AC68" si="19">IF(DEGREES(IMARGUMENT(AA5))&gt;0,DEGREES(IMARGUMENT(AA5))-360, DEGREES(IMARGUMENT(AA5)))</f>
        <v>-0.41971789353272115</v>
      </c>
      <c r="AD5" s="229">
        <f t="shared" ref="AD5:AD68" si="20">20*LOG(IMABS(AH5))</f>
        <v>22.156331451700623</v>
      </c>
      <c r="AE5" s="229">
        <f t="shared" ref="AE5:AE68" si="21">180+DEGREES(IMARGUMENT(AH5))</f>
        <v>92.058344106421075</v>
      </c>
      <c r="AF5" s="227">
        <f t="shared" si="9"/>
        <v>52.451911498745176</v>
      </c>
      <c r="AG5" s="227">
        <f t="shared" si="10"/>
        <v>91.638626212888354</v>
      </c>
      <c r="AH5" s="229" t="str">
        <f t="shared" ref="AH5:AH67" si="22">IMDIV(IMPRODUCT(COMPLEX(gea*Rea*Rslss/(Rslss+Rshss),0),COMPLEX(1,L5*Ccompss*Rcompss),COMPLEX(1,k_3*L5*Cffss*Rshss)),IMPRODUCT(COMPLEX(1,L5*Rea*Ccompss),COMPLEX(1,L5*Rcompss*Chfss),COMPLEX(1,k_3*L5*Rffss*Cffss)))</f>
        <v>0.460382174506219-12.8096204770932i</v>
      </c>
      <c r="AI5" s="229"/>
    </row>
    <row r="6" spans="2:35" x14ac:dyDescent="0.2">
      <c r="B6" s="221" t="s">
        <v>23</v>
      </c>
      <c r="C6" s="102">
        <f>Vout</f>
        <v>24</v>
      </c>
      <c r="D6" s="220" t="s">
        <v>3</v>
      </c>
      <c r="E6" s="221"/>
      <c r="F6" s="247">
        <f>Vout</f>
        <v>24</v>
      </c>
      <c r="G6" s="220" t="s">
        <v>3</v>
      </c>
      <c r="I6" s="227">
        <v>2</v>
      </c>
      <c r="J6" s="227">
        <f t="shared" si="0"/>
        <v>1.0195002450535668</v>
      </c>
      <c r="K6" s="227">
        <f>10^(J6)</f>
        <v>10.459242806327749</v>
      </c>
      <c r="L6" s="227">
        <f t="shared" si="11"/>
        <v>65.717360724942296</v>
      </c>
      <c r="M6" s="227">
        <f t="shared" si="1"/>
        <v>8807.7287680068839</v>
      </c>
      <c r="N6" s="227">
        <f>SQRT((ABS(AC6)-171.5+'Small Signal'!C$59)^2)</f>
        <v>101.07075297284774</v>
      </c>
      <c r="O6" s="227">
        <f t="shared" si="12"/>
        <v>91.616967488916032</v>
      </c>
      <c r="P6" s="227">
        <f t="shared" si="13"/>
        <v>52.257033616382756</v>
      </c>
      <c r="Q6" s="227">
        <f t="shared" si="14"/>
        <v>10.459242806327749</v>
      </c>
      <c r="R6" s="227" t="str">
        <f t="shared" si="2"/>
        <v>0.0945666666666667+0.000308871595407229i</v>
      </c>
      <c r="S6" s="227" t="str">
        <f t="shared" si="3"/>
        <v>0.0085-1618.79566601383i</v>
      </c>
      <c r="T6" s="227" t="str">
        <f t="shared" si="15"/>
        <v>23.9947239618505-0.355741828526224i</v>
      </c>
      <c r="U6" s="227" t="str">
        <f t="shared" si="4"/>
        <v>96.0243418808685-0.175906658419281i</v>
      </c>
      <c r="V6" s="227">
        <f t="shared" si="16"/>
        <v>39.647641360953529</v>
      </c>
      <c r="W6" s="227">
        <f t="shared" si="17"/>
        <v>-0.10495982210433803</v>
      </c>
      <c r="X6" s="227" t="str">
        <f t="shared" si="5"/>
        <v>0.999999999222075-8.86854158132097E-06i</v>
      </c>
      <c r="Y6" s="227" t="str">
        <f t="shared" si="6"/>
        <v>42.2453914639038+0.249546905646368i</v>
      </c>
      <c r="Z6" s="227" t="str">
        <f t="shared" si="7"/>
        <v>23.7541892798938+0.14010722329016i</v>
      </c>
      <c r="AA6" s="227" t="str">
        <f t="shared" si="8"/>
        <v>32.7164616056624-0.245108919813917i</v>
      </c>
      <c r="AB6" s="227">
        <f t="shared" si="18"/>
        <v>30.295570300214912</v>
      </c>
      <c r="AC6" s="227">
        <f t="shared" si="19"/>
        <v>-0.42924702715225616</v>
      </c>
      <c r="AD6" s="229">
        <f t="shared" si="20"/>
        <v>21.961463316167841</v>
      </c>
      <c r="AE6" s="229">
        <f t="shared" si="21"/>
        <v>92.046214516068289</v>
      </c>
      <c r="AF6" s="227">
        <f t="shared" si="9"/>
        <v>52.257033616382756</v>
      </c>
      <c r="AG6" s="227">
        <f t="shared" si="10"/>
        <v>91.616967488916032</v>
      </c>
      <c r="AH6" s="229" t="str">
        <f t="shared" si="22"/>
        <v>0.447516829231959-12.5255311263552i</v>
      </c>
    </row>
    <row r="7" spans="2:35" x14ac:dyDescent="0.2">
      <c r="B7" s="221" t="s">
        <v>34</v>
      </c>
      <c r="C7" s="102">
        <f>Iout</f>
        <v>1</v>
      </c>
      <c r="D7" s="220" t="s">
        <v>2</v>
      </c>
      <c r="E7" s="221"/>
      <c r="F7" s="247">
        <f>C7</f>
        <v>1</v>
      </c>
      <c r="G7" s="220" t="s">
        <v>2</v>
      </c>
      <c r="I7" s="227">
        <v>3</v>
      </c>
      <c r="J7" s="227">
        <f t="shared" si="0"/>
        <v>1.0292503675803502</v>
      </c>
      <c r="K7" s="227">
        <f>10^(J7)</f>
        <v>10.696713591928464</v>
      </c>
      <c r="L7" s="227">
        <f t="shared" si="11"/>
        <v>67.209433675913104</v>
      </c>
      <c r="M7" s="227">
        <f t="shared" si="1"/>
        <v>8807.48590559064</v>
      </c>
      <c r="N7" s="227">
        <f>SQRT((ABS(AC7)-171.5+'Small Signal'!C$59)^2)</f>
        <v>101.06100750742871</v>
      </c>
      <c r="O7" s="227">
        <f t="shared" si="12"/>
        <v>91.596122768469272</v>
      </c>
      <c r="P7" s="227">
        <f t="shared" si="13"/>
        <v>52.062152489378867</v>
      </c>
      <c r="Q7" s="227">
        <f t="shared" si="14"/>
        <v>10.696713591928464</v>
      </c>
      <c r="R7" s="227" t="str">
        <f t="shared" si="2"/>
        <v>0.0945666666666667+0.000315884338276792i</v>
      </c>
      <c r="S7" s="227" t="str">
        <f t="shared" si="3"/>
        <v>0.0085-1582.85783564831i</v>
      </c>
      <c r="T7" s="227" t="str">
        <f t="shared" si="15"/>
        <v>23.9944817193248-0.363815057416414i</v>
      </c>
      <c r="U7" s="227" t="str">
        <f t="shared" si="4"/>
        <v>96.0243474607933-0.17990055469979i</v>
      </c>
      <c r="V7" s="227">
        <f t="shared" si="16"/>
        <v>39.647642535001012</v>
      </c>
      <c r="W7" s="227">
        <f t="shared" si="17"/>
        <v>-0.10734288468769869</v>
      </c>
      <c r="X7" s="227" t="str">
        <f t="shared" si="5"/>
        <v>0.999999999186349-9.06989645714188E-06i</v>
      </c>
      <c r="Y7" s="227" t="str">
        <f t="shared" si="6"/>
        <v>42.2454166024438+0.255212725700729i</v>
      </c>
      <c r="Z7" s="227" t="str">
        <f t="shared" si="7"/>
        <v>23.7542034713597+0.143288277697228i</v>
      </c>
      <c r="AA7" s="227" t="str">
        <f t="shared" si="8"/>
        <v>32.7163810432568-0.250673379993524i</v>
      </c>
      <c r="AB7" s="227">
        <f t="shared" si="18"/>
        <v>30.295560105792759</v>
      </c>
      <c r="AC7" s="227">
        <f t="shared" si="19"/>
        <v>-0.43899249257128714</v>
      </c>
      <c r="AD7" s="229">
        <f t="shared" si="20"/>
        <v>21.766592383586108</v>
      </c>
      <c r="AE7" s="229">
        <f t="shared" si="21"/>
        <v>92.035115261040559</v>
      </c>
      <c r="AF7" s="227">
        <f t="shared" si="9"/>
        <v>52.062152489378867</v>
      </c>
      <c r="AG7" s="227">
        <f t="shared" si="10"/>
        <v>91.596122768469272</v>
      </c>
      <c r="AH7" s="229" t="str">
        <f t="shared" si="22"/>
        <v>0.435215820475611-12.2477299376895i</v>
      </c>
    </row>
    <row r="8" spans="2:35" ht="19.5" x14ac:dyDescent="0.35">
      <c r="B8" s="221" t="s">
        <v>134</v>
      </c>
      <c r="C8" s="102">
        <f>Rsh</f>
        <v>205000</v>
      </c>
      <c r="D8" s="220" t="s">
        <v>29</v>
      </c>
      <c r="E8" s="221"/>
      <c r="F8" s="248">
        <f>Rsh</f>
        <v>205000</v>
      </c>
      <c r="G8" s="220" t="s">
        <v>29</v>
      </c>
      <c r="I8" s="227">
        <v>4</v>
      </c>
      <c r="J8" s="227">
        <f t="shared" si="0"/>
        <v>1.0390004901071337</v>
      </c>
      <c r="K8" s="227">
        <f t="shared" ref="K8:K71" si="23">10^(J8)</f>
        <v>10.939576008171871</v>
      </c>
      <c r="L8" s="227">
        <f t="shared" si="11"/>
        <v>68.735383241319809</v>
      </c>
      <c r="M8" s="227">
        <f t="shared" si="1"/>
        <v>8807.2375291300395</v>
      </c>
      <c r="N8" s="227">
        <f>SQRT((ABS(AC8)-171.5+'Small Signal'!C$59)^2)</f>
        <v>101.05104080001962</v>
      </c>
      <c r="O8" s="227">
        <f t="shared" si="12"/>
        <v>91.576081589918459</v>
      </c>
      <c r="P8" s="227">
        <f t="shared" si="13"/>
        <v>51.867268362054602</v>
      </c>
      <c r="Q8" s="227">
        <f t="shared" si="14"/>
        <v>10.939576008171871</v>
      </c>
      <c r="R8" s="227" t="str">
        <f t="shared" si="2"/>
        <v>0.0945666666666667+0.000323056301234203i</v>
      </c>
      <c r="S8" s="227" t="str">
        <f t="shared" si="3"/>
        <v>0.0085-1547.71783769517i</v>
      </c>
      <c r="T8" s="227" t="str">
        <f t="shared" si="15"/>
        <v>23.9942283572206-0.372071328176906i</v>
      </c>
      <c r="U8" s="227" t="str">
        <f t="shared" si="4"/>
        <v>96.0243532969671-0.183985132902595i</v>
      </c>
      <c r="V8" s="227">
        <f t="shared" si="16"/>
        <v>39.647643762965686</v>
      </c>
      <c r="W8" s="227">
        <f t="shared" si="17"/>
        <v>-0.10978005419090274</v>
      </c>
      <c r="X8" s="227" t="str">
        <f t="shared" si="5"/>
        <v>0.999999999148983-9.27582297370498E-06i</v>
      </c>
      <c r="Y8" s="227" t="str">
        <f t="shared" si="6"/>
        <v>42.2454428954638+0.26100718536022i</v>
      </c>
      <c r="Z8" s="227" t="str">
        <f t="shared" si="7"/>
        <v>23.7542183145645+0.146541556341753i</v>
      </c>
      <c r="AA8" s="227" t="str">
        <f t="shared" si="8"/>
        <v>32.716296781486-0.256364136796947i</v>
      </c>
      <c r="AB8" s="227">
        <f t="shared" si="18"/>
        <v>30.295549443224768</v>
      </c>
      <c r="AC8" s="227">
        <f t="shared" si="19"/>
        <v>-0.4489591999803656</v>
      </c>
      <c r="AD8" s="229">
        <f t="shared" si="20"/>
        <v>21.571718918829834</v>
      </c>
      <c r="AE8" s="229">
        <f t="shared" si="21"/>
        <v>92.025040789898824</v>
      </c>
      <c r="AF8" s="227">
        <f t="shared" si="9"/>
        <v>51.867268362054602</v>
      </c>
      <c r="AG8" s="227">
        <f t="shared" si="10"/>
        <v>91.576081589918459</v>
      </c>
      <c r="AH8" s="229" t="str">
        <f t="shared" si="22"/>
        <v>0.423454416903913-11.9760785313944i</v>
      </c>
    </row>
    <row r="9" spans="2:35" ht="19.5" x14ac:dyDescent="0.35">
      <c r="B9" s="221" t="s">
        <v>135</v>
      </c>
      <c r="C9" s="102">
        <f>Rsl</f>
        <v>11000</v>
      </c>
      <c r="D9" s="220" t="s">
        <v>29</v>
      </c>
      <c r="E9" s="221"/>
      <c r="F9" s="248">
        <f>Rsl</f>
        <v>11000</v>
      </c>
      <c r="G9" s="220" t="s">
        <v>29</v>
      </c>
      <c r="I9" s="227">
        <v>5</v>
      </c>
      <c r="J9" s="227">
        <f t="shared" si="0"/>
        <v>1.048750612633917</v>
      </c>
      <c r="K9" s="227">
        <f t="shared" si="23"/>
        <v>11.187952468772604</v>
      </c>
      <c r="L9" s="227">
        <f t="shared" si="11"/>
        <v>70.295978569215606</v>
      </c>
      <c r="M9" s="227">
        <f t="shared" si="1"/>
        <v>8806.9835134320365</v>
      </c>
      <c r="N9" s="227">
        <f>SQRT((ABS(AC9)-171.5+'Small Signal'!C$59)^2)</f>
        <v>101.04084782905102</v>
      </c>
      <c r="O9" s="227">
        <f t="shared" si="12"/>
        <v>91.556833892229918</v>
      </c>
      <c r="P9" s="227">
        <f t="shared" si="13"/>
        <v>51.672381472702099</v>
      </c>
      <c r="Q9" s="227">
        <f t="shared" si="14"/>
        <v>11.187952468772604</v>
      </c>
      <c r="R9" s="227" t="str">
        <f t="shared" si="2"/>
        <v>0.0945666666666667+0.000330391099275313i</v>
      </c>
      <c r="S9" s="227" t="str">
        <f t="shared" si="3"/>
        <v>0.0085-1513.35795999562i</v>
      </c>
      <c r="T9" s="227" t="str">
        <f t="shared" si="15"/>
        <v>23.9939633653707-0.380514778842654i</v>
      </c>
      <c r="U9" s="227" t="str">
        <f t="shared" si="4"/>
        <v>96.024359401159-0.188162452109479i</v>
      </c>
      <c r="V9" s="227">
        <f t="shared" si="16"/>
        <v>39.647645047323785</v>
      </c>
      <c r="W9" s="227">
        <f t="shared" si="17"/>
        <v>-0.11227255914326664</v>
      </c>
      <c r="X9" s="227" t="str">
        <f t="shared" si="5"/>
        <v>0.9999999991099-9.48642492734988E-06i</v>
      </c>
      <c r="Y9" s="227" t="str">
        <f t="shared" si="6"/>
        <v>42.2454703959845+0.266933205350117i</v>
      </c>
      <c r="Z9" s="227" t="str">
        <f t="shared" si="7"/>
        <v>23.7542338394398+0.149868699053682i</v>
      </c>
      <c r="AA9" s="227" t="str">
        <f t="shared" si="8"/>
        <v>32.7162086504976-0.262184054850877i</v>
      </c>
      <c r="AB9" s="227">
        <f t="shared" si="18"/>
        <v>30.295538291014136</v>
      </c>
      <c r="AC9" s="227">
        <f t="shared" si="19"/>
        <v>-0.4591521709489863</v>
      </c>
      <c r="AD9" s="229">
        <f t="shared" si="20"/>
        <v>21.376843181687963</v>
      </c>
      <c r="AE9" s="229">
        <f t="shared" si="21"/>
        <v>92.0159860631789</v>
      </c>
      <c r="AF9" s="227">
        <f t="shared" si="9"/>
        <v>51.672381472702099</v>
      </c>
      <c r="AG9" s="227">
        <f t="shared" si="10"/>
        <v>91.556833892229918</v>
      </c>
      <c r="AH9" s="229" t="str">
        <f t="shared" si="22"/>
        <v>0.412208969010482-11.7104415205761i</v>
      </c>
    </row>
    <row r="10" spans="2:35" ht="19.5" x14ac:dyDescent="0.35">
      <c r="B10" s="221" t="s">
        <v>136</v>
      </c>
      <c r="C10" s="102">
        <f>Rcomp</f>
        <v>3010</v>
      </c>
      <c r="D10" s="220" t="s">
        <v>29</v>
      </c>
      <c r="E10" s="221"/>
      <c r="F10" s="247">
        <f>Rcomp</f>
        <v>3010</v>
      </c>
      <c r="G10" s="220" t="s">
        <v>29</v>
      </c>
      <c r="I10" s="227">
        <v>6</v>
      </c>
      <c r="J10" s="227">
        <f t="shared" si="0"/>
        <v>1.0585007351607003</v>
      </c>
      <c r="K10" s="227">
        <f t="shared" si="23"/>
        <v>11.44196816677472</v>
      </c>
      <c r="L10" s="227">
        <f t="shared" si="11"/>
        <v>71.892006270695461</v>
      </c>
      <c r="M10" s="227">
        <f t="shared" si="1"/>
        <v>8806.7237304611572</v>
      </c>
      <c r="N10" s="227">
        <f>SQRT((ABS(AC10)-171.5+'Small Signal'!C$59)^2)</f>
        <v>101.03042345905286</v>
      </c>
      <c r="O10" s="227">
        <f t="shared" si="12"/>
        <v>91.538370010078424</v>
      </c>
      <c r="P10" s="227">
        <f t="shared" si="13"/>
        <v>51.477492054062338</v>
      </c>
      <c r="Q10" s="227">
        <f t="shared" si="14"/>
        <v>11.44196816677472</v>
      </c>
      <c r="R10" s="227" t="str">
        <f t="shared" si="2"/>
        <v>0.0945666666666667+0.000337892429472269i</v>
      </c>
      <c r="S10" s="227" t="str">
        <f t="shared" si="3"/>
        <v>0.0085-1479.760883607i</v>
      </c>
      <c r="T10" s="227" t="str">
        <f t="shared" si="15"/>
        <v>23.9936862102254-0.38914964015979i</v>
      </c>
      <c r="U10" s="227" t="str">
        <f t="shared" si="4"/>
        <v>96.0243657856773-0.192434618166599i</v>
      </c>
      <c r="V10" s="227">
        <f t="shared" si="16"/>
        <v>39.647646390665152</v>
      </c>
      <c r="W10" s="227">
        <f t="shared" si="17"/>
        <v>-0.11482165597160214</v>
      </c>
      <c r="X10" s="227" t="str">
        <f t="shared" si="5"/>
        <v>0.999999999069023-9.70180847104934E-06i</v>
      </c>
      <c r="Y10" s="227" t="str">
        <f t="shared" si="6"/>
        <v>42.2454991594602+0.272993772711836i</v>
      </c>
      <c r="Z10" s="227" t="str">
        <f t="shared" si="7"/>
        <v>23.7542500772915+0.153271382895864i</v>
      </c>
      <c r="AA10" s="227" t="str">
        <f t="shared" si="8"/>
        <v>32.7161164726422-0.268136063622277i</v>
      </c>
      <c r="AB10" s="227">
        <f t="shared" si="18"/>
        <v>30.29552662667701</v>
      </c>
      <c r="AC10" s="227">
        <f t="shared" si="19"/>
        <v>-0.46957654094715129</v>
      </c>
      <c r="AD10" s="229">
        <f t="shared" si="20"/>
        <v>21.181965427385325</v>
      </c>
      <c r="AE10" s="229">
        <f t="shared" si="21"/>
        <v>92.007946551025569</v>
      </c>
      <c r="AF10" s="227">
        <f t="shared" si="9"/>
        <v>51.477492054062338</v>
      </c>
      <c r="AG10" s="227">
        <f t="shared" si="10"/>
        <v>91.538370010078424</v>
      </c>
      <c r="AH10" s="229" t="str">
        <f t="shared" si="22"/>
        <v>0.401456861964369-11.4506864498567i</v>
      </c>
    </row>
    <row r="11" spans="2:35" ht="19.5" x14ac:dyDescent="0.35">
      <c r="B11" s="221" t="s">
        <v>132</v>
      </c>
      <c r="C11" s="103">
        <f>Ccomp</f>
        <v>6.8E-8</v>
      </c>
      <c r="D11" s="220" t="s">
        <v>7</v>
      </c>
      <c r="E11" s="221"/>
      <c r="F11" s="249">
        <f>Ccomp</f>
        <v>6.8E-8</v>
      </c>
      <c r="G11" s="220" t="s">
        <v>7</v>
      </c>
      <c r="I11" s="227">
        <v>7</v>
      </c>
      <c r="J11" s="227">
        <f t="shared" si="0"/>
        <v>1.0682508576874838</v>
      </c>
      <c r="K11" s="227">
        <f t="shared" si="23"/>
        <v>11.701751137654661</v>
      </c>
      <c r="L11" s="227">
        <f t="shared" si="11"/>
        <v>73.524270816383776</v>
      </c>
      <c r="M11" s="227">
        <f t="shared" si="1"/>
        <v>8806.4580492749537</v>
      </c>
      <c r="N11" s="227">
        <f>SQRT((ABS(AC11)-171.5+'Small Signal'!C$59)^2)</f>
        <v>101.01976243807633</v>
      </c>
      <c r="O11" s="227">
        <f t="shared" si="12"/>
        <v>91.520680669140205</v>
      </c>
      <c r="P11" s="227">
        <f t="shared" si="13"/>
        <v>51.282600333792345</v>
      </c>
      <c r="Q11" s="227">
        <f t="shared" si="14"/>
        <v>11.701751137654661</v>
      </c>
      <c r="R11" s="227" t="str">
        <f t="shared" si="2"/>
        <v>0.0945666666666667+0.000345564072837004i</v>
      </c>
      <c r="S11" s="227" t="str">
        <f t="shared" si="3"/>
        <v>0.0085-1446.90967407321i</v>
      </c>
      <c r="T11" s="227" t="str">
        <f t="shared" si="15"/>
        <v>23.9933963337824-0.397980237604299i</v>
      </c>
      <c r="U11" s="227" t="str">
        <f t="shared" si="4"/>
        <v>96.0243724633947-0.196803784747251i</v>
      </c>
      <c r="V11" s="227">
        <f t="shared" si="16"/>
        <v>39.647647795698497</v>
      </c>
      <c r="W11" s="227">
        <f t="shared" si="17"/>
        <v>-0.11742862963393635</v>
      </c>
      <c r="X11" s="227" t="str">
        <f t="shared" si="5"/>
        <v>0.999999999026269-9.92208216791524E-06i</v>
      </c>
      <c r="Y11" s="227" t="str">
        <f t="shared" si="6"/>
        <v>42.2455292438923+0.279191942308809i</v>
      </c>
      <c r="Z11" s="227" t="str">
        <f t="shared" si="7"/>
        <v>23.7542670608629+0.156751323009506i</v>
      </c>
      <c r="AA11" s="227" t="str">
        <f t="shared" si="8"/>
        <v>32.7160200621162-0.274223158876668i</v>
      </c>
      <c r="AB11" s="227">
        <f t="shared" si="18"/>
        <v>30.295514426697302</v>
      </c>
      <c r="AC11" s="227">
        <f t="shared" si="19"/>
        <v>-0.48023756192367795</v>
      </c>
      <c r="AD11" s="229">
        <f t="shared" si="20"/>
        <v>20.987085907095047</v>
      </c>
      <c r="AE11" s="229">
        <f t="shared" si="21"/>
        <v>92.000918231063878</v>
      </c>
      <c r="AF11" s="227">
        <f t="shared" si="9"/>
        <v>51.282600333792345</v>
      </c>
      <c r="AG11" s="227">
        <f t="shared" si="10"/>
        <v>91.520680669140205</v>
      </c>
      <c r="AH11" s="229" t="str">
        <f t="shared" si="22"/>
        <v>0.391176470499031-11.1966837351093i</v>
      </c>
      <c r="AI11" s="230"/>
    </row>
    <row r="12" spans="2:35" ht="19.5" x14ac:dyDescent="0.35">
      <c r="B12" s="221" t="s">
        <v>133</v>
      </c>
      <c r="C12" s="103">
        <f>Chf</f>
        <v>5.6000000000000003E-10</v>
      </c>
      <c r="D12" s="220" t="s">
        <v>7</v>
      </c>
      <c r="E12" s="221"/>
      <c r="F12" s="249">
        <f>Chf</f>
        <v>5.6000000000000003E-10</v>
      </c>
      <c r="G12" s="220" t="s">
        <v>7</v>
      </c>
      <c r="I12" s="227">
        <v>8</v>
      </c>
      <c r="J12" s="227">
        <f t="shared" si="0"/>
        <v>1.0780009802142672</v>
      </c>
      <c r="K12" s="227">
        <f t="shared" si="23"/>
        <v>11.967432323856951</v>
      </c>
      <c r="L12" s="227">
        <f t="shared" si="11"/>
        <v>75.193594941924047</v>
      </c>
      <c r="M12" s="227">
        <f t="shared" si="1"/>
        <v>8806.1863359580166</v>
      </c>
      <c r="N12" s="227">
        <f>SQRT((ABS(AC12)-171.5+'Small Signal'!C$59)^2)</f>
        <v>101.00885939505753</v>
      </c>
      <c r="O12" s="227">
        <f t="shared" si="12"/>
        <v>91.503756981564479</v>
      </c>
      <c r="P12" s="227">
        <f t="shared" si="13"/>
        <v>51.087706534921892</v>
      </c>
      <c r="Q12" s="227">
        <f t="shared" si="14"/>
        <v>11.967432323856951</v>
      </c>
      <c r="R12" s="227" t="str">
        <f t="shared" si="2"/>
        <v>0.0945666666666667+0.000353409896227043i</v>
      </c>
      <c r="S12" s="227" t="str">
        <f t="shared" si="3"/>
        <v>0.0085-1414.78777288903i</v>
      </c>
      <c r="T12" s="227" t="str">
        <f t="shared" si="15"/>
        <v>23.993093152469-0.407010993440511i</v>
      </c>
      <c r="U12" s="227" t="str">
        <f t="shared" si="4"/>
        <v>96.0243794477762-0.201272154438808i</v>
      </c>
      <c r="V12" s="227">
        <f t="shared" si="16"/>
        <v>39.647649265257023</v>
      </c>
      <c r="W12" s="227">
        <f t="shared" si="17"/>
        <v>-0.12009479426762475</v>
      </c>
      <c r="X12" s="227" t="str">
        <f t="shared" si="5"/>
        <v>0.999999998981551-0.0000101473570459192i</v>
      </c>
      <c r="Y12" s="227" t="str">
        <f t="shared" si="6"/>
        <v>42.2455607099464+0.285530838366544i</v>
      </c>
      <c r="Z12" s="227" t="str">
        <f t="shared" si="7"/>
        <v>23.7542848244017+0.16031027347884i</v>
      </c>
      <c r="AA12" s="227" t="str">
        <f t="shared" si="8"/>
        <v>32.7159192245868-0.280448404168533i</v>
      </c>
      <c r="AB12" s="227">
        <f t="shared" si="18"/>
        <v>30.295501666479101</v>
      </c>
      <c r="AC12" s="227">
        <f t="shared" si="19"/>
        <v>-0.49114060494248268</v>
      </c>
      <c r="AD12" s="229">
        <f t="shared" si="20"/>
        <v>20.792204868442788</v>
      </c>
      <c r="AE12" s="229">
        <f t="shared" si="21"/>
        <v>91.994897586506966</v>
      </c>
      <c r="AF12" s="227">
        <f t="shared" si="9"/>
        <v>51.087706534921892</v>
      </c>
      <c r="AG12" s="227">
        <f t="shared" si="10"/>
        <v>91.503756981564479</v>
      </c>
      <c r="AH12" s="229" t="str">
        <f t="shared" si="22"/>
        <v>0.381347115754656-10.9483066042185i</v>
      </c>
      <c r="AI12" s="230"/>
    </row>
    <row r="13" spans="2:35" x14ac:dyDescent="0.2">
      <c r="B13" s="221" t="s">
        <v>35</v>
      </c>
      <c r="C13" s="102">
        <f>fsw</f>
        <v>750000</v>
      </c>
      <c r="D13" s="220" t="s">
        <v>5</v>
      </c>
      <c r="E13" s="221"/>
      <c r="F13" s="249">
        <f>C13</f>
        <v>750000</v>
      </c>
      <c r="G13" s="220" t="s">
        <v>5</v>
      </c>
      <c r="I13" s="227">
        <v>9</v>
      </c>
      <c r="J13" s="227">
        <f t="shared" si="0"/>
        <v>1.0877511027410507</v>
      </c>
      <c r="K13" s="227">
        <f t="shared" si="23"/>
        <v>12.239145640795199</v>
      </c>
      <c r="L13" s="227">
        <f t="shared" si="11"/>
        <v>76.900820062675479</v>
      </c>
      <c r="M13" s="227">
        <f t="shared" si="1"/>
        <v>8805.9084535544607</v>
      </c>
      <c r="N13" s="227">
        <f>SQRT((ABS(AC13)-171.5+'Small Signal'!C$59)^2)</f>
        <v>100.99770883712185</v>
      </c>
      <c r="O13" s="227">
        <f t="shared" si="12"/>
        <v>91.487590441622061</v>
      </c>
      <c r="P13" s="227">
        <f t="shared" si="13"/>
        <v>50.89281087630134</v>
      </c>
      <c r="Q13" s="227">
        <f t="shared" si="14"/>
        <v>12.239145640795199</v>
      </c>
      <c r="R13" s="227" t="str">
        <f t="shared" si="2"/>
        <v>0.0945666666666667+0.000361433854294575i</v>
      </c>
      <c r="S13" s="227" t="str">
        <f t="shared" si="3"/>
        <v>0.0085-1383.37898915383i</v>
      </c>
      <c r="T13" s="227" t="str">
        <f t="shared" si="15"/>
        <v>23.9927760559726-0.416246428819938i</v>
      </c>
      <c r="U13" s="227" t="str">
        <f t="shared" si="4"/>
        <v>96.0243867529042-0.205841979854414i</v>
      </c>
      <c r="V13" s="227">
        <f t="shared" si="16"/>
        <v>39.647650802303971</v>
      </c>
      <c r="W13" s="227">
        <f t="shared" si="17"/>
        <v>-0.12282149385220968</v>
      </c>
      <c r="X13" s="227" t="str">
        <f t="shared" si="5"/>
        <v>0.999999998934779-0.000010377746653856i</v>
      </c>
      <c r="Y13" s="227" t="str">
        <f t="shared" si="6"/>
        <v>42.2455936210742+0.292013656047682i</v>
      </c>
      <c r="Z13" s="227" t="str">
        <f t="shared" si="7"/>
        <v>23.7543034037283+0.163950028215418i</v>
      </c>
      <c r="AA13" s="227" t="str">
        <f t="shared" si="8"/>
        <v>32.7158137568016-0.286814932364544i</v>
      </c>
      <c r="AB13" s="227">
        <f t="shared" si="18"/>
        <v>30.295488320297306</v>
      </c>
      <c r="AC13" s="227">
        <f t="shared" si="19"/>
        <v>-0.50229116287814879</v>
      </c>
      <c r="AD13" s="229">
        <f t="shared" si="20"/>
        <v>20.597322556004038</v>
      </c>
      <c r="AE13" s="229">
        <f t="shared" si="21"/>
        <v>91.989881604500212</v>
      </c>
      <c r="AF13" s="227">
        <f t="shared" si="9"/>
        <v>50.89281087630134</v>
      </c>
      <c r="AG13" s="227">
        <f t="shared" si="10"/>
        <v>91.487590441622061</v>
      </c>
      <c r="AH13" s="229" t="str">
        <f t="shared" si="22"/>
        <v>0.37194902399041-10.7054310388641i</v>
      </c>
      <c r="AI13" s="230"/>
    </row>
    <row r="14" spans="2:35" x14ac:dyDescent="0.2">
      <c r="B14" s="221" t="s">
        <v>59</v>
      </c>
      <c r="C14" s="103">
        <f>L</f>
        <v>4.6999999999999999E-6</v>
      </c>
      <c r="D14" s="220" t="s">
        <v>6</v>
      </c>
      <c r="E14" s="221"/>
      <c r="F14" s="249">
        <f>L</f>
        <v>4.6999999999999999E-6</v>
      </c>
      <c r="G14" s="220" t="s">
        <v>6</v>
      </c>
      <c r="I14" s="227">
        <v>10</v>
      </c>
      <c r="J14" s="227">
        <f t="shared" si="0"/>
        <v>1.097501225267834</v>
      </c>
      <c r="K14" s="227">
        <f t="shared" si="23"/>
        <v>12.517028044351497</v>
      </c>
      <c r="L14" s="227">
        <f t="shared" si="11"/>
        <v>78.646806697824147</v>
      </c>
      <c r="M14" s="227">
        <f t="shared" si="1"/>
        <v>8805.6242619989025</v>
      </c>
      <c r="N14" s="227">
        <f>SQRT((ABS(AC14)-171.5+'Small Signal'!C$59)^2)</f>
        <v>100.98630514682787</v>
      </c>
      <c r="O14" s="227">
        <f t="shared" si="12"/>
        <v>91.472172921529236</v>
      </c>
      <c r="P14" s="227">
        <f t="shared" si="13"/>
        <v>50.697913573041198</v>
      </c>
      <c r="Q14" s="227">
        <f t="shared" si="14"/>
        <v>12.517028044351497</v>
      </c>
      <c r="R14" s="227" t="str">
        <f t="shared" si="2"/>
        <v>0.0945666666666667+0.000369639991479774i</v>
      </c>
      <c r="S14" s="227" t="str">
        <f t="shared" si="3"/>
        <v>0.0085-1352.66749141065i</v>
      </c>
      <c r="T14" s="227" t="str">
        <f t="shared" si="15"/>
        <v>23.9924444060185-0.425691165920898i</v>
      </c>
      <c r="U14" s="227" t="str">
        <f t="shared" si="4"/>
        <v>96.024394393508-0.210515564769999i</v>
      </c>
      <c r="V14" s="227">
        <f t="shared" si="16"/>
        <v>39.647652409938686</v>
      </c>
      <c r="W14" s="227">
        <f t="shared" si="17"/>
        <v>-0.12561010288735119</v>
      </c>
      <c r="X14" s="227" t="str">
        <f t="shared" si="5"/>
        <v>0.99999999888586-0.000010613367118577i</v>
      </c>
      <c r="Y14" s="227" t="str">
        <f t="shared" si="6"/>
        <v>42.2456280436406+0.298643663062818i</v>
      </c>
      <c r="Z14" s="227" t="str">
        <f t="shared" si="7"/>
        <v>23.7543228363076+0.167672421862503i</v>
      </c>
      <c r="AA14" s="227" t="str">
        <f t="shared" si="8"/>
        <v>32.7157034461794-0.293325947200281i</v>
      </c>
      <c r="AB14" s="227">
        <f t="shared" si="18"/>
        <v>30.295474361245816</v>
      </c>
      <c r="AC14" s="227">
        <f t="shared" si="19"/>
        <v>-0.51369485317211727</v>
      </c>
      <c r="AD14" s="229">
        <f t="shared" si="20"/>
        <v>20.402439211795382</v>
      </c>
      <c r="AE14" s="229">
        <f t="shared" si="21"/>
        <v>91.985867774701347</v>
      </c>
      <c r="AF14" s="227">
        <f t="shared" si="9"/>
        <v>50.697913573041198</v>
      </c>
      <c r="AG14" s="227">
        <f t="shared" si="10"/>
        <v>91.472172921529236</v>
      </c>
      <c r="AH14" s="229" t="str">
        <f t="shared" si="22"/>
        <v>0.362963287086678-10.4679357173241i</v>
      </c>
    </row>
    <row r="15" spans="2:35" x14ac:dyDescent="0.2">
      <c r="B15" s="221" t="s">
        <v>27</v>
      </c>
      <c r="C15" s="102">
        <f>DCR</f>
        <v>1.95E-2</v>
      </c>
      <c r="D15" s="220" t="s">
        <v>29</v>
      </c>
      <c r="E15" s="221"/>
      <c r="F15" s="247">
        <f>DCR</f>
        <v>1.95E-2</v>
      </c>
      <c r="G15" s="220" t="s">
        <v>29</v>
      </c>
      <c r="I15" s="227">
        <v>11</v>
      </c>
      <c r="J15" s="227">
        <f t="shared" si="0"/>
        <v>1.1072513477946173</v>
      </c>
      <c r="K15" s="227">
        <f t="shared" si="23"/>
        <v>12.801219599908473</v>
      </c>
      <c r="L15" s="227">
        <f t="shared" si="11"/>
        <v>80.432434904124264</v>
      </c>
      <c r="M15" s="227">
        <f t="shared" si="1"/>
        <v>8805.3336180458627</v>
      </c>
      <c r="N15" s="227">
        <f>SQRT((ABS(AC15)-171.5+'Small Signal'!C$59)^2)</f>
        <v>100.97464257934928</v>
      </c>
      <c r="O15" s="227">
        <f t="shared" si="12"/>
        <v>91.457496667445724</v>
      </c>
      <c r="P15" s="227">
        <f t="shared" si="13"/>
        <v>50.50301483694362</v>
      </c>
      <c r="Q15" s="227">
        <f t="shared" si="14"/>
        <v>12.801219599908473</v>
      </c>
      <c r="R15" s="227" t="str">
        <f t="shared" si="2"/>
        <v>0.0945666666666667+0.000378032444049384i</v>
      </c>
      <c r="S15" s="227" t="str">
        <f t="shared" si="3"/>
        <v>0.0085-1322.63779966643i</v>
      </c>
      <c r="T15" s="227" t="str">
        <f t="shared" si="15"/>
        <v>23.9920975350922-0.435349930129384i</v>
      </c>
      <c r="U15" s="227" t="str">
        <f t="shared" si="4"/>
        <v>96.024402384994-0.215295265287189i</v>
      </c>
      <c r="V15" s="227">
        <f t="shared" si="16"/>
        <v>39.647654091402906</v>
      </c>
      <c r="W15" s="227">
        <f t="shared" si="17"/>
        <v>-0.12846202708617382</v>
      </c>
      <c r="X15" s="227" t="str">
        <f t="shared" si="5"/>
        <v>0.999999998834693-0.0000108543372035235i</v>
      </c>
      <c r="Y15" s="227" t="str">
        <f t="shared" si="6"/>
        <v>42.2456640470596+0.305424201317924i</v>
      </c>
      <c r="Z15" s="227" t="str">
        <f t="shared" si="7"/>
        <v>23.7543431613259+0.17147933072i</v>
      </c>
      <c r="AA15" s="227" t="str">
        <f t="shared" si="8"/>
        <v>32.7155880703816-0.299984724871063i</v>
      </c>
      <c r="AB15" s="227">
        <f t="shared" si="18"/>
        <v>30.295459761183157</v>
      </c>
      <c r="AC15" s="227">
        <f t="shared" si="19"/>
        <v>-0.52535742065071511</v>
      </c>
      <c r="AD15" s="229">
        <f t="shared" si="20"/>
        <v>20.207555075760467</v>
      </c>
      <c r="AE15" s="229">
        <f t="shared" si="21"/>
        <v>91.982854088096445</v>
      </c>
      <c r="AF15" s="227">
        <f t="shared" si="9"/>
        <v>50.50301483694362</v>
      </c>
      <c r="AG15" s="227">
        <f t="shared" si="10"/>
        <v>91.457496667445724</v>
      </c>
      <c r="AH15" s="229" t="str">
        <f t="shared" si="22"/>
        <v>0.35437182476063-10.2357019582917i</v>
      </c>
    </row>
    <row r="16" spans="2:35" x14ac:dyDescent="0.2">
      <c r="B16" s="221" t="s">
        <v>56</v>
      </c>
      <c r="C16" s="102">
        <f>Rdson_ls</f>
        <v>8.3999999999999995E-3</v>
      </c>
      <c r="D16" s="220" t="s">
        <v>29</v>
      </c>
      <c r="E16" s="221"/>
      <c r="F16" s="247">
        <f>Rdsonss</f>
        <v>8.3999999999999995E-3</v>
      </c>
      <c r="G16" s="220" t="s">
        <v>29</v>
      </c>
      <c r="I16" s="227">
        <v>12</v>
      </c>
      <c r="J16" s="227">
        <f t="shared" si="0"/>
        <v>1.1170014703214008</v>
      </c>
      <c r="K16" s="227">
        <f t="shared" si="23"/>
        <v>13.091863552948606</v>
      </c>
      <c r="L16" s="227">
        <f t="shared" si="11"/>
        <v>82.258604719486613</v>
      </c>
      <c r="M16" s="227">
        <f t="shared" si="1"/>
        <v>8805.0363751975547</v>
      </c>
      <c r="N16" s="227">
        <f>SQRT((ABS(AC16)-171.5+'Small Signal'!C$59)^2)</f>
        <v>100.96271525959347</v>
      </c>
      <c r="O16" s="227">
        <f t="shared" si="12"/>
        <v>91.443554295644489</v>
      </c>
      <c r="P16" s="227">
        <f t="shared" si="13"/>
        <v>50.308114876928158</v>
      </c>
      <c r="Q16" s="227">
        <f t="shared" si="14"/>
        <v>13.091863552948606</v>
      </c>
      <c r="R16" s="227" t="str">
        <f t="shared" si="2"/>
        <v>0.0945666666666667+0.000386615442181587i</v>
      </c>
      <c r="S16" s="227" t="str">
        <f t="shared" si="3"/>
        <v>0.0085-1293.27477758935i</v>
      </c>
      <c r="T16" s="227" t="str">
        <f t="shared" si="15"/>
        <v>23.9917347451031-0.445227552261629i</v>
      </c>
      <c r="U16" s="227" t="str">
        <f t="shared" si="4"/>
        <v>96.0244107434754-0.220183491022722i</v>
      </c>
      <c r="V16" s="227">
        <f t="shared" si="16"/>
        <v>39.64765585008719</v>
      </c>
      <c r="W16" s="227">
        <f t="shared" si="17"/>
        <v>-0.13137870408439487</v>
      </c>
      <c r="X16" s="227" t="str">
        <f t="shared" si="5"/>
        <v>0.999999998781178-0.0000111007783685892i</v>
      </c>
      <c r="Y16" s="227" t="str">
        <f t="shared" si="6"/>
        <v>42.2457017039327+0.312358688599184i</v>
      </c>
      <c r="Z16" s="227" t="str">
        <f t="shared" si="7"/>
        <v>23.7543644197691+0.175372673690395i</v>
      </c>
      <c r="AA16" s="227" t="str">
        <f t="shared" si="8"/>
        <v>32.7154673968649-0.306794615657688i</v>
      </c>
      <c r="AB16" s="227">
        <f t="shared" si="18"/>
        <v>30.295444490675827</v>
      </c>
      <c r="AC16" s="227">
        <f t="shared" si="19"/>
        <v>-0.53728474040654717</v>
      </c>
      <c r="AD16" s="229">
        <f t="shared" si="20"/>
        <v>20.012670386252335</v>
      </c>
      <c r="AE16" s="229">
        <f t="shared" si="21"/>
        <v>91.980839036051037</v>
      </c>
      <c r="AF16" s="227">
        <f t="shared" si="9"/>
        <v>50.308114876928158</v>
      </c>
      <c r="AG16" s="227">
        <f t="shared" si="10"/>
        <v>91.443554295644489</v>
      </c>
      <c r="AH16" s="229" t="str">
        <f t="shared" si="22"/>
        <v>0.34615734842169-10.0086136657012i</v>
      </c>
    </row>
    <row r="17" spans="2:34" x14ac:dyDescent="0.2">
      <c r="B17" s="221" t="s">
        <v>137</v>
      </c>
      <c r="C17" s="103">
        <f>Co</f>
        <v>9.3999999999999998E-6</v>
      </c>
      <c r="D17" s="220" t="s">
        <v>7</v>
      </c>
      <c r="E17" s="221"/>
      <c r="F17" s="249">
        <f>Co</f>
        <v>9.3999999999999998E-6</v>
      </c>
      <c r="G17" s="220" t="s">
        <v>7</v>
      </c>
      <c r="I17" s="227">
        <v>13</v>
      </c>
      <c r="J17" s="227">
        <f t="shared" si="0"/>
        <v>1.1267515928481842</v>
      </c>
      <c r="K17" s="227">
        <f t="shared" si="23"/>
        <v>13.38910640125644</v>
      </c>
      <c r="L17" s="227">
        <f t="shared" si="11"/>
        <v>84.126236616638607</v>
      </c>
      <c r="M17" s="227">
        <f t="shared" si="1"/>
        <v>8804.7323836300511</v>
      </c>
      <c r="N17" s="227">
        <f>SQRT((ABS(AC17)-171.5+'Small Signal'!C$59)^2)</f>
        <v>100.95051717925551</v>
      </c>
      <c r="O17" s="227">
        <f t="shared" si="12"/>
        <v>91.430338788852566</v>
      </c>
      <c r="P17" s="227">
        <f t="shared" si="13"/>
        <v>50.113213899450798</v>
      </c>
      <c r="Q17" s="227">
        <f t="shared" si="14"/>
        <v>13.38910640125644</v>
      </c>
      <c r="R17" s="227" t="str">
        <f t="shared" si="2"/>
        <v>0.0945666666666667+0.000395393312098201i</v>
      </c>
      <c r="S17" s="227" t="str">
        <f t="shared" si="3"/>
        <v>0.0085-1264.56362487947i</v>
      </c>
      <c r="T17" s="227" t="str">
        <f t="shared" si="15"/>
        <v>23.9913553059877-0.455328970828722i</v>
      </c>
      <c r="U17" s="227" t="str">
        <f t="shared" si="4"/>
        <v>96.024419485805-0.225182706324948i</v>
      </c>
      <c r="V17" s="227">
        <f t="shared" si="16"/>
        <v>39.647657689537766</v>
      </c>
      <c r="W17" s="227">
        <f t="shared" si="17"/>
        <v>-0.13436160416557019</v>
      </c>
      <c r="X17" s="227" t="str">
        <f t="shared" si="5"/>
        <v>0.999999998725204-0.0000113528148313409i</v>
      </c>
      <c r="Y17" s="227" t="str">
        <f t="shared" si="6"/>
        <v>42.245741090196+0.319450620296102i</v>
      </c>
      <c r="Z17" s="227" t="str">
        <f t="shared" si="7"/>
        <v>23.7543866545051+0.179354413246183i</v>
      </c>
      <c r="AA17" s="227" t="str">
        <f t="shared" si="8"/>
        <v>32.7153411824136-0.313759045587702i</v>
      </c>
      <c r="AB17" s="227">
        <f t="shared" si="18"/>
        <v>30.295428518939111</v>
      </c>
      <c r="AC17" s="227">
        <f t="shared" si="19"/>
        <v>-0.54948282074449495</v>
      </c>
      <c r="AD17" s="229">
        <f t="shared" si="20"/>
        <v>19.817785380511687</v>
      </c>
      <c r="AE17" s="229">
        <f t="shared" si="21"/>
        <v>91.979821609597067</v>
      </c>
      <c r="AF17" s="227">
        <f t="shared" si="9"/>
        <v>50.113213899450798</v>
      </c>
      <c r="AG17" s="227">
        <f t="shared" si="10"/>
        <v>91.430338788852566</v>
      </c>
      <c r="AH17" s="229" t="str">
        <f t="shared" si="22"/>
        <v>0.338303326596554-9.78655727455424i</v>
      </c>
    </row>
    <row r="18" spans="2:34" x14ac:dyDescent="0.2">
      <c r="B18" s="221" t="s">
        <v>271</v>
      </c>
      <c r="C18" s="104">
        <f>Co_esr</f>
        <v>8.5000000000000006E-3</v>
      </c>
      <c r="D18" s="220" t="s">
        <v>29</v>
      </c>
      <c r="E18" s="221"/>
      <c r="F18" s="250">
        <f>Co_esr</f>
        <v>8.5000000000000006E-3</v>
      </c>
      <c r="G18" s="220" t="s">
        <v>29</v>
      </c>
      <c r="I18" s="227">
        <v>14</v>
      </c>
      <c r="J18" s="227">
        <f t="shared" si="0"/>
        <v>1.1365017153749677</v>
      </c>
      <c r="K18" s="227">
        <f t="shared" si="23"/>
        <v>13.693097968760206</v>
      </c>
      <c r="L18" s="227">
        <f t="shared" si="11"/>
        <v>86.036271967084758</v>
      </c>
      <c r="M18" s="227">
        <f t="shared" si="1"/>
        <v>8804.421490117762</v>
      </c>
      <c r="N18" s="227">
        <f>SQRT((ABS(AC18)-171.5+'Small Signal'!C$59)^2)</f>
        <v>100.93804219380618</v>
      </c>
      <c r="O18" s="227">
        <f t="shared" si="12"/>
        <v>91.417843492760582</v>
      </c>
      <c r="P18" s="227">
        <f t="shared" si="13"/>
        <v>49.918312108919174</v>
      </c>
      <c r="Q18" s="227">
        <f t="shared" si="14"/>
        <v>13.693097968760206</v>
      </c>
      <c r="R18" s="227" t="str">
        <f t="shared" si="2"/>
        <v>0.0945666666666667+0.000404370478245298i</v>
      </c>
      <c r="S18" s="227" t="str">
        <f t="shared" si="3"/>
        <v>0.0085-1236.48986980867i</v>
      </c>
      <c r="T18" s="227" t="str">
        <f t="shared" si="15"/>
        <v>23.9909584542497-0.465659234343705i</v>
      </c>
      <c r="U18" s="227" t="str">
        <f t="shared" si="4"/>
        <v>96.0244286296099-0.230295431518058i</v>
      </c>
      <c r="V18" s="227">
        <f t="shared" si="16"/>
        <v>39.64765961346378</v>
      </c>
      <c r="W18" s="227">
        <f t="shared" si="17"/>
        <v>-0.13741223100284233</v>
      </c>
      <c r="X18" s="227" t="str">
        <f t="shared" si="5"/>
        <v>0.99999999866666-0.0000116105736296305i</v>
      </c>
      <c r="Y18" s="227" t="str">
        <f t="shared" si="6"/>
        <v>42.245782285272+0.326703571163767i</v>
      </c>
      <c r="Z18" s="227" t="str">
        <f t="shared" si="7"/>
        <v>23.7544099103706+0.183426556419277i</v>
      </c>
      <c r="AA18" s="227" t="str">
        <f t="shared" si="8"/>
        <v>32.7152091726498-0.32088151813295i</v>
      </c>
      <c r="AB18" s="227">
        <f t="shared" si="18"/>
        <v>30.295411813774997</v>
      </c>
      <c r="AC18" s="227">
        <f t="shared" si="19"/>
        <v>-0.56195780619382829</v>
      </c>
      <c r="AD18" s="229">
        <f t="shared" si="20"/>
        <v>19.622900295144177</v>
      </c>
      <c r="AE18" s="229">
        <f t="shared" si="21"/>
        <v>91.979801298954413</v>
      </c>
      <c r="AF18" s="227">
        <f t="shared" si="9"/>
        <v>49.918312108919174</v>
      </c>
      <c r="AG18" s="227">
        <f t="shared" si="10"/>
        <v>91.417843492760582</v>
      </c>
      <c r="AH18" s="229" t="str">
        <f t="shared" si="22"/>
        <v>0.33079395185631-9.56942169774113i</v>
      </c>
    </row>
    <row r="19" spans="2:34" x14ac:dyDescent="0.2">
      <c r="B19" s="221" t="s">
        <v>183</v>
      </c>
      <c r="C19" s="104">
        <f>Rsense</f>
        <v>5.0000000000000001E-3</v>
      </c>
      <c r="D19" s="220" t="s">
        <v>29</v>
      </c>
      <c r="E19" s="221"/>
      <c r="F19" s="250">
        <f>C19</f>
        <v>5.0000000000000001E-3</v>
      </c>
      <c r="G19" s="220" t="s">
        <v>29</v>
      </c>
      <c r="I19" s="227">
        <v>15</v>
      </c>
      <c r="J19" s="227">
        <f t="shared" si="0"/>
        <v>1.146251837901751</v>
      </c>
      <c r="K19" s="227">
        <f t="shared" si="23"/>
        <v>14.003991481049821</v>
      </c>
      <c r="L19" s="227">
        <f t="shared" si="11"/>
        <v>87.98967351560033</v>
      </c>
      <c r="M19" s="227">
        <f>SQRT((Fco_target-K20)^2)</f>
        <v>8804.1035379562018</v>
      </c>
      <c r="N19" s="227">
        <f>SQRT((ABS(AC19)-171.5+'Small Signal'!C$59)^2)</f>
        <v>100.9252840194122</v>
      </c>
      <c r="O19" s="227">
        <f t="shared" si="12"/>
        <v>91.406062112700127</v>
      </c>
      <c r="P19" s="227">
        <f t="shared" si="13"/>
        <v>49.723409708102672</v>
      </c>
      <c r="Q19" s="227">
        <f t="shared" si="14"/>
        <v>14.003991481049821</v>
      </c>
      <c r="R19" s="227" t="str">
        <f t="shared" si="2"/>
        <v>0.0945666666666667+0.000413551465523322i</v>
      </c>
      <c r="S19" s="227" t="str">
        <f t="shared" si="3"/>
        <v>0.0085-1209.03936192629i</v>
      </c>
      <c r="T19" s="227" t="str">
        <f t="shared" si="15"/>
        <v>23.990543391433-0.476223503671439i</v>
      </c>
      <c r="U19" s="227" t="str">
        <f t="shared" si="4"/>
        <v>96.0244381933274-0.235524244174694i</v>
      </c>
      <c r="V19" s="227">
        <f t="shared" si="16"/>
        <v>39.64766162574476</v>
      </c>
      <c r="W19" s="227">
        <f t="shared" si="17"/>
        <v>-0.14053212241757754</v>
      </c>
      <c r="X19" s="227" t="str">
        <f t="shared" si="5"/>
        <v>0.999999998605427-0.0000118741846856274i</v>
      </c>
      <c r="Y19" s="227" t="str">
        <f t="shared" si="6"/>
        <v>42.2458253722321+0.334121197125124i</v>
      </c>
      <c r="Z19" s="227" t="str">
        <f t="shared" si="7"/>
        <v>23.7544342342618+0.187591155812875i</v>
      </c>
      <c r="AA19" s="227" t="str">
        <f t="shared" si="8"/>
        <v>32.7150711015218-0.328165615944101i</v>
      </c>
      <c r="AB19" s="227">
        <f t="shared" si="18"/>
        <v>30.295394341507375</v>
      </c>
      <c r="AC19" s="227">
        <f t="shared" si="19"/>
        <v>-0.57471598058779461</v>
      </c>
      <c r="AD19" s="229">
        <f t="shared" si="20"/>
        <v>19.428015366595297</v>
      </c>
      <c r="AE19" s="229">
        <f t="shared" si="21"/>
        <v>91.980778093287924</v>
      </c>
      <c r="AF19" s="227">
        <f t="shared" si="9"/>
        <v>49.723409708102672</v>
      </c>
      <c r="AG19" s="227">
        <f t="shared" si="10"/>
        <v>91.406062112700127</v>
      </c>
      <c r="AH19" s="229" t="str">
        <f t="shared" si="22"/>
        <v>0.323614109181111-9.35709827384594i</v>
      </c>
    </row>
    <row r="20" spans="2:34" ht="15" x14ac:dyDescent="0.25">
      <c r="B20" s="220"/>
      <c r="C20" s="267"/>
      <c r="D20" s="267"/>
      <c r="I20" s="227">
        <v>16</v>
      </c>
      <c r="J20" s="227">
        <f t="shared" si="0"/>
        <v>1.1560019604285343</v>
      </c>
      <c r="K20" s="227">
        <f t="shared" si="23"/>
        <v>14.321943642609622</v>
      </c>
      <c r="L20" s="227">
        <f t="shared" si="11"/>
        <v>89.987425865498864</v>
      </c>
      <c r="M20" s="227">
        <f>SQRT((Fco_target-K21)^2)</f>
        <v>8803.778366883007</v>
      </c>
      <c r="N20" s="227">
        <f>SQRT((ABS(AC20)-171.5+'Small Signal'!C$59)^2)</f>
        <v>100.91223622978774</v>
      </c>
      <c r="O20" s="227">
        <f t="shared" si="12"/>
        <v>91.394988710486828</v>
      </c>
      <c r="P20" s="227">
        <f t="shared" si="13"/>
        <v>49.528506898539533</v>
      </c>
      <c r="Q20" s="227">
        <f t="shared" si="14"/>
        <v>14.321943642609622</v>
      </c>
      <c r="R20" s="227" t="str">
        <f t="shared" si="2"/>
        <v>0.0945666666666667+0.000422940901567845i</v>
      </c>
      <c r="S20" s="227" t="str">
        <f t="shared" si="3"/>
        <v>0.0085-1182.19826492661i</v>
      </c>
      <c r="T20" s="227" t="str">
        <f t="shared" si="15"/>
        <v>23.9901092825264-0.487027054421603i</v>
      </c>
      <c r="U20" s="227" t="str">
        <f t="shared" si="4"/>
        <v>96.0244481962404-0.240871780417526i</v>
      </c>
      <c r="V20" s="227">
        <f t="shared" si="16"/>
        <v>39.647663730438339</v>
      </c>
      <c r="W20" s="227">
        <f t="shared" si="17"/>
        <v>-0.14372285115524042</v>
      </c>
      <c r="X20" s="227" t="str">
        <f t="shared" si="5"/>
        <v>0.999999998541383-0.0000121437808713052i</v>
      </c>
      <c r="Y20" s="227" t="str">
        <f t="shared" si="6"/>
        <v>42.2458704379631+0.341707237114214i</v>
      </c>
      <c r="Z20" s="227" t="str">
        <f t="shared" si="7"/>
        <v>23.754459675229+0.191850310636343i</v>
      </c>
      <c r="AA20" s="227" t="str">
        <f t="shared" si="8"/>
        <v>32.7149266907672-0.335615002622915i</v>
      </c>
      <c r="AB20" s="227">
        <f t="shared" si="18"/>
        <v>30.295376066913818</v>
      </c>
      <c r="AC20" s="227">
        <f t="shared" si="19"/>
        <v>-0.58776377021226667</v>
      </c>
      <c r="AD20" s="229">
        <f t="shared" si="20"/>
        <v>19.233130831625715</v>
      </c>
      <c r="AE20" s="229">
        <f t="shared" si="21"/>
        <v>91.982752480699091</v>
      </c>
      <c r="AF20" s="227">
        <f t="shared" si="9"/>
        <v>49.528506898539533</v>
      </c>
      <c r="AG20" s="227">
        <f t="shared" si="10"/>
        <v>91.394988710486828</v>
      </c>
      <c r="AH20" s="229" t="str">
        <f t="shared" si="22"/>
        <v>0.316749345700501-9.14948071592845i</v>
      </c>
    </row>
    <row r="21" spans="2:34" ht="15" x14ac:dyDescent="0.25">
      <c r="E21" s="269" t="s">
        <v>272</v>
      </c>
      <c r="F21" s="269"/>
      <c r="G21" s="269"/>
      <c r="I21" s="227">
        <v>17</v>
      </c>
      <c r="J21" s="227">
        <f t="shared" si="0"/>
        <v>1.1657520829553178</v>
      </c>
      <c r="K21" s="227">
        <f t="shared" si="23"/>
        <v>14.647114715804539</v>
      </c>
      <c r="L21" s="227">
        <f t="shared" si="11"/>
        <v>92.030535974916987</v>
      </c>
      <c r="M21" s="227">
        <f t="shared" si="1"/>
        <v>8803.4458129971517</v>
      </c>
      <c r="N21" s="227">
        <f>SQRT((ABS(AC21)-171.5+'Small Signal'!C$59)^2)</f>
        <v>100.89889225297514</v>
      </c>
      <c r="O21" s="227">
        <f t="shared" si="12"/>
        <v>91.384617701428226</v>
      </c>
      <c r="P21" s="227">
        <f t="shared" si="13"/>
        <v>49.333603880942135</v>
      </c>
      <c r="Q21" s="227">
        <f t="shared" si="14"/>
        <v>14.647114715804539</v>
      </c>
      <c r="R21" s="227" t="str">
        <f t="shared" si="2"/>
        <v>0.0945666666666667+0.00043254351908211i</v>
      </c>
      <c r="S21" s="227" t="str">
        <f t="shared" si="3"/>
        <v>0.0085-1155.95304967472i</v>
      </c>
      <c r="T21" s="227" t="str">
        <f t="shared" si="15"/>
        <v>23.9896552542956-0.498075279385067i</v>
      </c>
      <c r="U21" s="227" t="str">
        <f t="shared" si="4"/>
        <v>96.0244586585177-0.246340736250549i</v>
      </c>
      <c r="V21" s="227">
        <f t="shared" si="16"/>
        <v>39.647665931788488</v>
      </c>
      <c r="W21" s="227">
        <f t="shared" si="17"/>
        <v>-0.14698602567894556</v>
      </c>
      <c r="X21" s="227" t="str">
        <f t="shared" si="5"/>
        <v>0.999999998474397-0.0000124194980754155i</v>
      </c>
      <c r="Y21" s="227" t="str">
        <f t="shared" si="6"/>
        <v>42.2459175733416+0.349465514961284i</v>
      </c>
      <c r="Z21" s="227" t="str">
        <f t="shared" si="7"/>
        <v>23.7544862845745+0.196206167763583i</v>
      </c>
      <c r="AA21" s="227" t="str">
        <f t="shared" si="8"/>
        <v>32.7147756493558-0.343233424533i</v>
      </c>
      <c r="AB21" s="227">
        <f t="shared" si="18"/>
        <v>30.295356953155363</v>
      </c>
      <c r="AC21" s="227">
        <f t="shared" si="19"/>
        <v>-0.6011077470248517</v>
      </c>
      <c r="AD21" s="229">
        <f t="shared" si="20"/>
        <v>19.038246927786769</v>
      </c>
      <c r="AE21" s="229">
        <f t="shared" si="21"/>
        <v>91.985725448453081</v>
      </c>
      <c r="AF21" s="227">
        <f t="shared" si="9"/>
        <v>49.333603880942135</v>
      </c>
      <c r="AG21" s="227">
        <f t="shared" si="10"/>
        <v>91.384617701428226</v>
      </c>
      <c r="AH21" s="229" t="str">
        <f t="shared" si="22"/>
        <v>0.310185841750176-8.94646506127164i</v>
      </c>
    </row>
    <row r="22" spans="2:34" x14ac:dyDescent="0.2">
      <c r="E22" s="223" t="s">
        <v>28</v>
      </c>
      <c r="F22" s="251">
        <f>VLOOKUP(MIN('Small Signal'!P4:P504),'Small Signal'!P4:Q504,2,FALSE)</f>
        <v>8227.8551139894571</v>
      </c>
      <c r="I22" s="227">
        <v>18</v>
      </c>
      <c r="J22" s="227">
        <f t="shared" si="0"/>
        <v>1.1755022054821012</v>
      </c>
      <c r="K22" s="227">
        <f t="shared" si="23"/>
        <v>14.979668601659609</v>
      </c>
      <c r="L22" s="227">
        <f t="shared" si="11"/>
        <v>94.120033664367043</v>
      </c>
      <c r="M22" s="227">
        <f t="shared" si="1"/>
        <v>8803.1057086763376</v>
      </c>
      <c r="N22" s="227">
        <f>SQRT((ABS(AC22)-171.5+'Small Signal'!C$59)^2)</f>
        <v>100.88524536805397</v>
      </c>
      <c r="O22" s="227">
        <f t="shared" si="12"/>
        <v>91.374943851494265</v>
      </c>
      <c r="P22" s="227">
        <f t="shared" si="13"/>
        <v>49.138700855599467</v>
      </c>
      <c r="Q22" s="227">
        <f t="shared" si="14"/>
        <v>14.979668601659609</v>
      </c>
      <c r="R22" s="227" t="str">
        <f t="shared" si="2"/>
        <v>0.0945666666666667+0.000442364158222525i</v>
      </c>
      <c r="S22" s="227" t="str">
        <f t="shared" si="3"/>
        <v>0.0085-1130.29048738728i</v>
      </c>
      <c r="T22" s="227" t="str">
        <f t="shared" si="15"/>
        <v>23.9891803935385-0.50937369101382i</v>
      </c>
      <c r="U22" s="227" t="str">
        <f t="shared" si="4"/>
        <v>96.0244696012542-0.251933868920723i</v>
      </c>
      <c r="V22" s="227">
        <f t="shared" si="16"/>
        <v>39.647668234234118</v>
      </c>
      <c r="W22" s="227">
        <f t="shared" si="17"/>
        <v>-0.15032329098106048</v>
      </c>
      <c r="X22" s="227" t="str">
        <f t="shared" si="5"/>
        <v>0.999999998404334-0.0000127014752719819i</v>
      </c>
      <c r="Y22" s="227" t="str">
        <f t="shared" si="6"/>
        <v>42.2459668734177+0.357399941320707i</v>
      </c>
      <c r="Z22" s="227" t="str">
        <f t="shared" si="7"/>
        <v>23.7545141159573+0.200660922815454i</v>
      </c>
      <c r="AA22" s="227" t="str">
        <f t="shared" si="8"/>
        <v>32.7146176729015-0.35102471264973i</v>
      </c>
      <c r="AB22" s="227">
        <f t="shared" si="18"/>
        <v>30.295336961701636</v>
      </c>
      <c r="AC22" s="227">
        <f t="shared" si="19"/>
        <v>-0.61475463194602908</v>
      </c>
      <c r="AD22" s="229">
        <f t="shared" si="20"/>
        <v>18.843363893897834</v>
      </c>
      <c r="AE22" s="229">
        <f t="shared" si="21"/>
        <v>91.989698483440293</v>
      </c>
      <c r="AF22" s="227">
        <f t="shared" si="9"/>
        <v>49.138700855599467</v>
      </c>
      <c r="AG22" s="227">
        <f t="shared" si="10"/>
        <v>91.374943851494265</v>
      </c>
      <c r="AH22" s="229" t="str">
        <f t="shared" si="22"/>
        <v>0.30391038318838-8.74794962208525i</v>
      </c>
    </row>
    <row r="23" spans="2:34" x14ac:dyDescent="0.2">
      <c r="E23" s="223" t="s">
        <v>22</v>
      </c>
      <c r="F23" s="252">
        <f>VLOOKUP(MIN('Small Signal'!P4:P504),'Small Signal'!P4:AG504,18,FALSE)</f>
        <v>74.913821469522162</v>
      </c>
      <c r="I23" s="227">
        <v>19</v>
      </c>
      <c r="J23" s="227">
        <f t="shared" si="0"/>
        <v>1.1852523280088847</v>
      </c>
      <c r="K23" s="227">
        <f t="shared" si="23"/>
        <v>15.319772922473584</v>
      </c>
      <c r="L23" s="227">
        <f t="shared" si="11"/>
        <v>96.256972135813697</v>
      </c>
      <c r="M23" s="227">
        <f t="shared" si="1"/>
        <v>8802.757882492504</v>
      </c>
      <c r="N23" s="227">
        <f>SQRT((ABS(AC23)-171.5+'Small Signal'!C$59)^2)</f>
        <v>100.87128870177611</v>
      </c>
      <c r="O23" s="227">
        <f t="shared" si="12"/>
        <v>91.365962274649462</v>
      </c>
      <c r="P23" s="227">
        <f t="shared" si="13"/>
        <v>48.943798022779816</v>
      </c>
      <c r="Q23" s="227">
        <f t="shared" si="14"/>
        <v>15.319772922473584</v>
      </c>
      <c r="R23" s="227" t="str">
        <f t="shared" si="2"/>
        <v>0.0945666666666667+0.000452407769038324i</v>
      </c>
      <c r="S23" s="227" t="str">
        <f t="shared" si="3"/>
        <v>0.0085-1105.19764296454i</v>
      </c>
      <c r="T23" s="227" t="str">
        <f t="shared" si="15"/>
        <v>23.9886837452635-0.520927923944759i</v>
      </c>
      <c r="U23" s="227" t="str">
        <f t="shared" si="4"/>
        <v>96.0244810465128-0.257653998310667i</v>
      </c>
      <c r="V23" s="227">
        <f t="shared" si="16"/>
        <v>39.647670642417914</v>
      </c>
      <c r="W23" s="227">
        <f t="shared" si="17"/>
        <v>-0.15373632941327786</v>
      </c>
      <c r="X23" s="227" t="str">
        <f t="shared" si="5"/>
        <v>0.999999998331055-0.0000129898545903491i</v>
      </c>
      <c r="Y23" s="227" t="str">
        <f t="shared" si="6"/>
        <v>42.2460184376072+0.365514515642714i</v>
      </c>
      <c r="Z23" s="227" t="str">
        <f t="shared" si="7"/>
        <v>23.7545432255003+0.205216821266786i</v>
      </c>
      <c r="AA23" s="227" t="str">
        <f t="shared" si="8"/>
        <v>32.7144524430519-0.358992784450191i</v>
      </c>
      <c r="AB23" s="227">
        <f t="shared" si="18"/>
        <v>30.295316052253732</v>
      </c>
      <c r="AC23" s="227">
        <f t="shared" si="19"/>
        <v>-0.62871129822388838</v>
      </c>
      <c r="AD23" s="229">
        <f t="shared" si="20"/>
        <v>18.648481970526085</v>
      </c>
      <c r="AE23" s="229">
        <f t="shared" si="21"/>
        <v>91.994673572873353</v>
      </c>
      <c r="AF23" s="227">
        <f t="shared" si="9"/>
        <v>48.943798022779816</v>
      </c>
      <c r="AG23" s="227">
        <f t="shared" si="10"/>
        <v>91.365962274649462</v>
      </c>
      <c r="AH23" s="229" t="str">
        <f t="shared" si="22"/>
        <v>0.29791033491762-8.5538349371541i</v>
      </c>
    </row>
    <row r="24" spans="2:34" x14ac:dyDescent="0.2">
      <c r="E24" s="223" t="s">
        <v>26</v>
      </c>
      <c r="F24" s="252">
        <f>VLOOKUP(MIN('Small Signal'!O4:O505),'Small Signal'!O4:AF505,18,FALSE)</f>
        <v>-11.677818447618998</v>
      </c>
      <c r="I24" s="227">
        <v>20</v>
      </c>
      <c r="J24" s="227">
        <f t="shared" si="0"/>
        <v>1.195002450535668</v>
      </c>
      <c r="K24" s="227">
        <f t="shared" si="23"/>
        <v>15.667599106308181</v>
      </c>
      <c r="L24" s="227">
        <f t="shared" si="11"/>
        <v>98.442428503535581</v>
      </c>
      <c r="M24" s="227">
        <f t="shared" si="1"/>
        <v>8802.4021591254168</v>
      </c>
      <c r="N24" s="227">
        <f>SQRT((ABS(AC24)-171.5+'Small Signal'!C$59)^2)</f>
        <v>100.85701522512593</v>
      </c>
      <c r="O24" s="227">
        <f t="shared" si="12"/>
        <v>91.3576684303451</v>
      </c>
      <c r="P24" s="227">
        <f t="shared" si="13"/>
        <v>48.748895583132317</v>
      </c>
      <c r="Q24" s="227">
        <f t="shared" si="14"/>
        <v>15.667599106308181</v>
      </c>
      <c r="R24" s="227" t="str">
        <f t="shared" si="2"/>
        <v>0.0945666666666667+0.000462679413966617i</v>
      </c>
      <c r="S24" s="227" t="str">
        <f t="shared" si="3"/>
        <v>0.0085-1080.6618684705i</v>
      </c>
      <c r="T24" s="227" t="str">
        <f t="shared" si="15"/>
        <v>23.9881643107835-0.532743737567308i</v>
      </c>
      <c r="U24" s="227" t="str">
        <f t="shared" si="4"/>
        <v>96.0244930173707-0.263504008363148i</v>
      </c>
      <c r="V24" s="227">
        <f t="shared" si="16"/>
        <v>39.647673161195897</v>
      </c>
      <c r="W24" s="227">
        <f t="shared" si="17"/>
        <v>-0.15722686153559204</v>
      </c>
      <c r="X24" s="227" t="str">
        <f t="shared" si="5"/>
        <v>0.99999999825441-0.0000132847813868226i</v>
      </c>
      <c r="Y24" s="227" t="str">
        <f t="shared" si="6"/>
        <v>42.2460723698919+0.37381332818995i</v>
      </c>
      <c r="Z24" s="227" t="str">
        <f t="shared" si="7"/>
        <v>23.7545736719046+0.209876159578549i</v>
      </c>
      <c r="AA24" s="227" t="str">
        <f t="shared" si="8"/>
        <v>32.7142796268463-0.367141645843844i</v>
      </c>
      <c r="AB24" s="227">
        <f t="shared" si="18"/>
        <v>30.295294182662676</v>
      </c>
      <c r="AC24" s="227">
        <f t="shared" si="19"/>
        <v>-0.64298477487407568</v>
      </c>
      <c r="AD24" s="229">
        <f t="shared" si="20"/>
        <v>18.45360140046964</v>
      </c>
      <c r="AE24" s="229">
        <f t="shared" si="21"/>
        <v>92.00065320521918</v>
      </c>
      <c r="AF24" s="227">
        <f t="shared" si="9"/>
        <v>48.748895583132317</v>
      </c>
      <c r="AG24" s="227">
        <f t="shared" si="10"/>
        <v>91.3576684303451</v>
      </c>
      <c r="AH24" s="229" t="str">
        <f t="shared" si="22"/>
        <v>0.292173615559653-8.36402372441994i</v>
      </c>
    </row>
    <row r="25" spans="2:34" x14ac:dyDescent="0.2">
      <c r="I25" s="227">
        <v>21</v>
      </c>
      <c r="J25" s="227">
        <f t="shared" si="0"/>
        <v>1.2047525730624513</v>
      </c>
      <c r="K25" s="227">
        <f t="shared" si="23"/>
        <v>16.023322473395638</v>
      </c>
      <c r="L25" s="227">
        <f t="shared" si="11"/>
        <v>100.67750433703993</v>
      </c>
      <c r="M25" s="227">
        <f t="shared" si="1"/>
        <v>8802.0383592743037</v>
      </c>
      <c r="N25" s="227">
        <f>SQRT((ABS(AC25)-171.5+'Small Signal'!C$59)^2)</f>
        <v>100.8424177498035</v>
      </c>
      <c r="O25" s="227">
        <f t="shared" si="12"/>
        <v>91.350058121169823</v>
      </c>
      <c r="P25" s="227">
        <f t="shared" si="13"/>
        <v>48.553993738089972</v>
      </c>
      <c r="Q25" s="227">
        <f t="shared" si="14"/>
        <v>16.023322473395638</v>
      </c>
      <c r="R25" s="227" t="str">
        <f t="shared" si="2"/>
        <v>0.0945666666666667+0.000473184270384088i</v>
      </c>
      <c r="S25" s="227" t="str">
        <f t="shared" si="3"/>
        <v>0.0085-1056.67079675777i</v>
      </c>
      <c r="T25" s="227" t="str">
        <f t="shared" si="15"/>
        <v>23.9876210457249-0.544827018635077i</v>
      </c>
      <c r="U25" s="227" t="str">
        <f t="shared" si="4"/>
        <v>96.0245055379635-0.269486848538052i</v>
      </c>
      <c r="V25" s="227">
        <f t="shared" si="16"/>
        <v>39.647675795646947</v>
      </c>
      <c r="W25" s="227">
        <f t="shared" si="17"/>
        <v>-0.16079664698459373</v>
      </c>
      <c r="X25" s="227" t="str">
        <f t="shared" si="5"/>
        <v>0.999999998174245-0.0000135864043179352i</v>
      </c>
      <c r="Y25" s="227" t="str">
        <f t="shared" si="6"/>
        <v>42.2461287790297+0.38230056209979i</v>
      </c>
      <c r="Z25" s="227" t="str">
        <f t="shared" si="7"/>
        <v>23.7546055165672+0.214641286355732i</v>
      </c>
      <c r="AA25" s="227" t="str">
        <f t="shared" si="8"/>
        <v>32.7140988760465-0.375475393144697i</v>
      </c>
      <c r="AB25" s="227">
        <f t="shared" si="18"/>
        <v>30.295271308844598</v>
      </c>
      <c r="AC25" s="227">
        <f t="shared" si="19"/>
        <v>-0.65758225019649097</v>
      </c>
      <c r="AD25" s="229">
        <f t="shared" si="20"/>
        <v>18.25872242924537</v>
      </c>
      <c r="AE25" s="229">
        <f t="shared" si="21"/>
        <v>92.007640371366321</v>
      </c>
      <c r="AF25" s="227">
        <f t="shared" si="9"/>
        <v>48.553993738089972</v>
      </c>
      <c r="AG25" s="227">
        <f t="shared" si="10"/>
        <v>91.350058121169823</v>
      </c>
      <c r="AH25" s="229" t="str">
        <f t="shared" si="22"/>
        <v>0.286688673233886-8.17842083448544i</v>
      </c>
    </row>
    <row r="26" spans="2:34" ht="15" x14ac:dyDescent="0.25">
      <c r="E26" s="268" t="s">
        <v>131</v>
      </c>
      <c r="F26" s="268"/>
      <c r="G26" s="268"/>
      <c r="I26" s="227">
        <v>22</v>
      </c>
      <c r="J26" s="227">
        <f t="shared" si="0"/>
        <v>1.2145026955892348</v>
      </c>
      <c r="K26" s="227">
        <f t="shared" si="23"/>
        <v>16.387122324508088</v>
      </c>
      <c r="L26" s="227">
        <f t="shared" si="11"/>
        <v>102.9633262163038</v>
      </c>
      <c r="M26" s="227">
        <f t="shared" si="1"/>
        <v>8801.6662995674778</v>
      </c>
      <c r="N26" s="227">
        <f>SQRT((ABS(AC26)-171.5+'Small Signal'!C$59)^2)</f>
        <v>100.82748892462951</v>
      </c>
      <c r="O26" s="227">
        <f t="shared" si="12"/>
        <v>91.343127490657423</v>
      </c>
      <c r="P26" s="227">
        <f t="shared" si="13"/>
        <v>48.359092690274252</v>
      </c>
      <c r="Q26" s="227">
        <f t="shared" si="14"/>
        <v>16.387122324508088</v>
      </c>
      <c r="R26" s="227" t="str">
        <f t="shared" si="2"/>
        <v>0.0945666666666667+0.000483927633216628i</v>
      </c>
      <c r="S26" s="227" t="str">
        <f t="shared" si="3"/>
        <v>0.0085-1033.21233523397i</v>
      </c>
      <c r="T26" s="227" t="str">
        <f t="shared" si="15"/>
        <v>23.987052857946-0.557183783921464i</v>
      </c>
      <c r="U26" s="227" t="str">
        <f t="shared" si="4"/>
        <v>96.0245186335352-0.275605535302628i</v>
      </c>
      <c r="V26" s="227">
        <f t="shared" si="16"/>
        <v>39.647678551083246</v>
      </c>
      <c r="W26" s="227">
        <f t="shared" si="17"/>
        <v>-0.16444748536153964</v>
      </c>
      <c r="X26" s="227" t="str">
        <f t="shared" si="5"/>
        <v>0.999999998090398-0.0000138948754153761i</v>
      </c>
      <c r="Y26" s="227" t="str">
        <f t="shared" si="6"/>
        <v>42.2461877787725+0.390980495493563i</v>
      </c>
      <c r="Z26" s="227" t="str">
        <f t="shared" si="7"/>
        <v>23.7546388237045+0.21951460353154i</v>
      </c>
      <c r="AA26" s="227" t="str">
        <f t="shared" si="8"/>
        <v>32.7139098264378-0.383998215085814i</v>
      </c>
      <c r="AB26" s="227">
        <f t="shared" si="18"/>
        <v>30.295247384692352</v>
      </c>
      <c r="AC26" s="227">
        <f t="shared" si="19"/>
        <v>-0.67251107537049926</v>
      </c>
      <c r="AD26" s="229">
        <f t="shared" si="20"/>
        <v>18.0638453055819</v>
      </c>
      <c r="AE26" s="229">
        <f t="shared" si="21"/>
        <v>92.015638566027917</v>
      </c>
      <c r="AF26" s="227">
        <f t="shared" si="9"/>
        <v>48.359092690274252</v>
      </c>
      <c r="AG26" s="227">
        <f t="shared" si="10"/>
        <v>91.343127490657423</v>
      </c>
      <c r="AH26" s="229" t="str">
        <f t="shared" si="22"/>
        <v>0.281444462391484-7.99693320502799i</v>
      </c>
    </row>
    <row r="27" spans="2:34" ht="15" x14ac:dyDescent="0.25">
      <c r="E27" s="221" t="s">
        <v>122</v>
      </c>
      <c r="F27" s="104">
        <f>(Voutss-Vinss)/(Voutss)</f>
        <v>0.79166666666666663</v>
      </c>
      <c r="G27" s="224"/>
      <c r="I27" s="227">
        <v>23</v>
      </c>
      <c r="J27" s="227">
        <f t="shared" si="0"/>
        <v>1.2242528181160182</v>
      </c>
      <c r="K27" s="227">
        <f t="shared" si="23"/>
        <v>16.759182031333303</v>
      </c>
      <c r="L27" s="227">
        <f t="shared" si="11"/>
        <v>105.30104629962155</v>
      </c>
      <c r="M27" s="227">
        <f t="shared" si="1"/>
        <v>8801.2857924699092</v>
      </c>
      <c r="N27" s="227">
        <f>SQRT((ABS(AC27)-171.5+'Small Signal'!C$59)^2)</f>
        <v>100.8122212318697</v>
      </c>
      <c r="O27" s="227">
        <f t="shared" si="12"/>
        <v>91.336873021250099</v>
      </c>
      <c r="P27" s="227">
        <f t="shared" si="13"/>
        <v>48.164192643901288</v>
      </c>
      <c r="Q27" s="227">
        <f t="shared" si="14"/>
        <v>16.759182031333303</v>
      </c>
      <c r="R27" s="227" t="str">
        <f t="shared" si="2"/>
        <v>0.0945666666666667+0.000494914917608221i</v>
      </c>
      <c r="S27" s="227" t="str">
        <f t="shared" si="3"/>
        <v>0.0085-1010.27465976648i</v>
      </c>
      <c r="T27" s="227" t="str">
        <f t="shared" si="15"/>
        <v>23.986458605361-0.569820182919242i</v>
      </c>
      <c r="U27" s="227" t="str">
        <f t="shared" si="4"/>
        <v>96.024532330491-0.28186315365577i</v>
      </c>
      <c r="V27" s="227">
        <f t="shared" si="16"/>
        <v>39.647681433061081</v>
      </c>
      <c r="W27" s="227">
        <f t="shared" si="17"/>
        <v>-0.16818121714065162</v>
      </c>
      <c r="X27" s="227" t="str">
        <f t="shared" si="5"/>
        <v>0.999999998002701-0.0000142103501626224i</v>
      </c>
      <c r="Y27" s="227" t="str">
        <f t="shared" si="6"/>
        <v>42.2462494880979+0.399857503633703i</v>
      </c>
      <c r="Z27" s="227" t="str">
        <f t="shared" si="7"/>
        <v>23.7546736604829+0.224498567578508i</v>
      </c>
      <c r="AA27" s="227" t="str">
        <f t="shared" si="8"/>
        <v>32.713712097095-0.39271439487688i</v>
      </c>
      <c r="AB27" s="227">
        <f t="shared" si="18"/>
        <v>30.295222361982226</v>
      </c>
      <c r="AC27" s="227">
        <f t="shared" si="19"/>
        <v>-0.68777876813029115</v>
      </c>
      <c r="AD27" s="229">
        <f t="shared" si="20"/>
        <v>17.868970281919065</v>
      </c>
      <c r="AE27" s="229">
        <f t="shared" si="21"/>
        <v>92.024651789380385</v>
      </c>
      <c r="AF27" s="227">
        <f t="shared" si="9"/>
        <v>48.164192643901288</v>
      </c>
      <c r="AG27" s="227">
        <f t="shared" si="10"/>
        <v>91.336873021250099</v>
      </c>
      <c r="AH27" s="229" t="str">
        <f t="shared" si="22"/>
        <v>0.276430421659512-7.81946981611124i</v>
      </c>
    </row>
    <row r="28" spans="2:34" x14ac:dyDescent="0.2">
      <c r="E28" s="221" t="s">
        <v>143</v>
      </c>
      <c r="F28" s="104">
        <f>Voutss/Vinss</f>
        <v>4.8</v>
      </c>
      <c r="I28" s="227">
        <v>24</v>
      </c>
      <c r="J28" s="227">
        <f t="shared" si="0"/>
        <v>1.2340029406428017</v>
      </c>
      <c r="K28" s="227">
        <f t="shared" si="23"/>
        <v>17.139689128902397</v>
      </c>
      <c r="L28" s="227">
        <f t="shared" si="11"/>
        <v>107.69184290434522</v>
      </c>
      <c r="M28" s="227">
        <f t="shared" si="1"/>
        <v>8800.8966461886957</v>
      </c>
      <c r="N28" s="227">
        <f>SQRT((ABS(AC28)-171.5+'Small Signal'!C$59)^2)</f>
        <v>100.79660698347794</v>
      </c>
      <c r="O28" s="227">
        <f t="shared" si="12"/>
        <v>91.331291532416159</v>
      </c>
      <c r="P28" s="227">
        <f t="shared" si="13"/>
        <v>47.969293805191796</v>
      </c>
      <c r="Q28" s="227">
        <f t="shared" si="14"/>
        <v>17.139689128902397</v>
      </c>
      <c r="R28" s="227" t="str">
        <f t="shared" si="2"/>
        <v>0.0945666666666667+0.000506151661650423i</v>
      </c>
      <c r="S28" s="227" t="str">
        <f t="shared" si="3"/>
        <v>0.0085-987.846208722567i</v>
      </c>
      <c r="T28" s="227" t="str">
        <f t="shared" si="15"/>
        <v>23.9858370936673-0.582742500583897i</v>
      </c>
      <c r="U28" s="227" t="str">
        <f t="shared" si="4"/>
        <v>96.0245466564467-0.288262858687059i</v>
      </c>
      <c r="V28" s="227">
        <f t="shared" si="16"/>
        <v>39.647684447391775</v>
      </c>
      <c r="W28" s="227">
        <f t="shared" si="17"/>
        <v>-0.17199972459808208</v>
      </c>
      <c r="X28" s="227" t="str">
        <f t="shared" si="5"/>
        <v>0.999999997910976-0.0000145329875733093i</v>
      </c>
      <c r="Y28" s="227" t="str">
        <f t="shared" si="6"/>
        <v>42.2463140314471+0.408936061129872i</v>
      </c>
      <c r="Z28" s="227" t="str">
        <f t="shared" si="7"/>
        <v>23.7547100971532+0.229595690747108i</v>
      </c>
      <c r="AA28" s="227" t="str">
        <f t="shared" si="8"/>
        <v>32.7135052896176-0.401628312305641i</v>
      </c>
      <c r="AB28" s="227">
        <f t="shared" si="18"/>
        <v>30.29519619027711</v>
      </c>
      <c r="AC28" s="227">
        <f t="shared" si="19"/>
        <v>-0.70339301652204378</v>
      </c>
      <c r="AD28" s="229">
        <f t="shared" si="20"/>
        <v>17.674097614914686</v>
      </c>
      <c r="AE28" s="229">
        <f t="shared" si="21"/>
        <v>92.034684548938202</v>
      </c>
      <c r="AF28" s="227">
        <f t="shared" si="9"/>
        <v>47.969293805191796</v>
      </c>
      <c r="AG28" s="227">
        <f t="shared" si="10"/>
        <v>91.331291532416159</v>
      </c>
      <c r="AH28" s="229" t="str">
        <f t="shared" si="22"/>
        <v>0.271636452651361-7.6459416463818i</v>
      </c>
    </row>
    <row r="29" spans="2:34" x14ac:dyDescent="0.2">
      <c r="E29" s="221" t="s">
        <v>10</v>
      </c>
      <c r="F29" s="105">
        <f>Voutss/(Ioutss)</f>
        <v>24</v>
      </c>
      <c r="G29" s="220" t="s">
        <v>29</v>
      </c>
      <c r="I29" s="227">
        <v>25</v>
      </c>
      <c r="J29" s="227">
        <f t="shared" si="0"/>
        <v>1.243753063169585</v>
      </c>
      <c r="K29" s="227">
        <f t="shared" si="23"/>
        <v>17.528835410116002</v>
      </c>
      <c r="L29" s="227">
        <f t="shared" si="11"/>
        <v>110.13692110081013</v>
      </c>
      <c r="M29" s="227">
        <f t="shared" si="1"/>
        <v>8800.4986645763947</v>
      </c>
      <c r="N29" s="227">
        <f>SQRT((ABS(AC29)-171.5+'Small Signal'!C$59)^2)</f>
        <v>100.78063831725524</v>
      </c>
      <c r="O29" s="227">
        <f t="shared" si="12"/>
        <v>91.326380178920203</v>
      </c>
      <c r="P29" s="227">
        <f t="shared" si="13"/>
        <v>47.774396382784623</v>
      </c>
      <c r="Q29" s="227">
        <f t="shared" si="14"/>
        <v>17.528835410116002</v>
      </c>
      <c r="R29" s="227" t="str">
        <f t="shared" si="2"/>
        <v>0.0945666666666667+0.000517643529173808i</v>
      </c>
      <c r="S29" s="227" t="str">
        <f t="shared" si="3"/>
        <v>0.0085-965.915677141816i</v>
      </c>
      <c r="T29" s="227" t="str">
        <f t="shared" si="15"/>
        <v>23.9851870739679-0.595957160120554i</v>
      </c>
      <c r="U29" s="227" t="str">
        <f t="shared" si="4"/>
        <v>96.0245616402852-0.294807877171471i</v>
      </c>
      <c r="V29" s="227">
        <f t="shared" si="16"/>
        <v>39.647687600153418</v>
      </c>
      <c r="W29" s="227">
        <f t="shared" si="17"/>
        <v>-0.17590493276206332</v>
      </c>
      <c r="X29" s="227" t="str">
        <f t="shared" si="5"/>
        <v>0.999999997815039-0.0000148629502713807i</v>
      </c>
      <c r="Y29" s="227" t="str">
        <f t="shared" si="6"/>
        <v>42.2463815389765+0.418220744195254i</v>
      </c>
      <c r="Z29" s="227" t="str">
        <f t="shared" si="7"/>
        <v>23.7547482071926+0.234808542332522i</v>
      </c>
      <c r="AA29" s="227" t="str">
        <f t="shared" si="8"/>
        <v>32.7132889873279-0.410744445884042i</v>
      </c>
      <c r="AB29" s="227">
        <f t="shared" si="18"/>
        <v>30.295168816824681</v>
      </c>
      <c r="AC29" s="227">
        <f t="shared" si="19"/>
        <v>-0.71936168274476819</v>
      </c>
      <c r="AD29" s="229">
        <f t="shared" si="20"/>
        <v>17.479227565959942</v>
      </c>
      <c r="AE29" s="229">
        <f t="shared" si="21"/>
        <v>92.045741861664965</v>
      </c>
      <c r="AF29" s="227">
        <f t="shared" si="9"/>
        <v>47.774396382784623</v>
      </c>
      <c r="AG29" s="227">
        <f t="shared" si="10"/>
        <v>91.326380178920203</v>
      </c>
      <c r="AH29" s="229" t="str">
        <f t="shared" si="22"/>
        <v>0.267052899701597-7.47626163013861i</v>
      </c>
    </row>
    <row r="30" spans="2:34" x14ac:dyDescent="0.2">
      <c r="E30" s="221" t="s">
        <v>33</v>
      </c>
      <c r="F30" s="104">
        <f>1/((sess+snss)/fswss)</f>
        <v>8.4343595469771877</v>
      </c>
      <c r="G30" s="225"/>
      <c r="I30" s="227">
        <v>26</v>
      </c>
      <c r="J30" s="227">
        <f t="shared" si="0"/>
        <v>1.2535031856963683</v>
      </c>
      <c r="K30" s="227">
        <f t="shared" si="23"/>
        <v>17.926817022416621</v>
      </c>
      <c r="L30" s="227">
        <f t="shared" si="11"/>
        <v>112.63751331974501</v>
      </c>
      <c r="M30" s="227">
        <f t="shared" si="1"/>
        <v>8800.0916470321554</v>
      </c>
      <c r="N30" s="227">
        <f>SQRT((ABS(AC30)-171.5+'Small Signal'!C$59)^2)</f>
        <v>100.76430719292352</v>
      </c>
      <c r="O30" s="227">
        <f t="shared" si="12"/>
        <v>91.322136449244724</v>
      </c>
      <c r="P30" s="227">
        <f t="shared" si="13"/>
        <v>47.579500588155213</v>
      </c>
      <c r="Q30" s="227">
        <f t="shared" si="14"/>
        <v>17.926817022416621</v>
      </c>
      <c r="R30" s="227" t="str">
        <f t="shared" si="2"/>
        <v>0.0945666666666667+0.000529396312602802i</v>
      </c>
      <c r="S30" s="227" t="str">
        <f t="shared" si="3"/>
        <v>0.0085-944.472011037871i</v>
      </c>
      <c r="T30" s="227" t="str">
        <f t="shared" si="15"/>
        <v>23.9845072402891-0.609470725814234i</v>
      </c>
      <c r="U30" s="227" t="str">
        <f t="shared" si="4"/>
        <v>96.0245773122183-0.301501509200509i</v>
      </c>
      <c r="V30" s="227">
        <f t="shared" si="16"/>
        <v>39.647690897703484</v>
      </c>
      <c r="W30" s="227">
        <f t="shared" si="17"/>
        <v>-0.1798988103846883</v>
      </c>
      <c r="X30" s="227" t="str">
        <f t="shared" si="5"/>
        <v>0.999999997714697-0.0000152004045730586i</v>
      </c>
      <c r="Y30" s="227" t="str">
        <f t="shared" si="6"/>
        <v>42.2464521468217+0.427716232954118i</v>
      </c>
      <c r="Z30" s="227" t="str">
        <f t="shared" si="7"/>
        <v>23.7547880674538+0.240139749970199i</v>
      </c>
      <c r="AA30" s="227" t="str">
        <f t="shared" si="8"/>
        <v>32.7130627544346-0.420067375039833i</v>
      </c>
      <c r="AB30" s="227">
        <f t="shared" si="18"/>
        <v>30.295140186451501</v>
      </c>
      <c r="AC30" s="227">
        <f t="shared" si="19"/>
        <v>-0.735692807076477</v>
      </c>
      <c r="AD30" s="229">
        <f t="shared" si="20"/>
        <v>17.284360401703715</v>
      </c>
      <c r="AE30" s="229">
        <f t="shared" si="21"/>
        <v>92.057829256321199</v>
      </c>
      <c r="AF30" s="227">
        <f t="shared" si="9"/>
        <v>47.579500588155213</v>
      </c>
      <c r="AG30" s="227">
        <f t="shared" si="10"/>
        <v>91.322136449244724</v>
      </c>
      <c r="AH30" s="229" t="str">
        <f t="shared" si="22"/>
        <v>0.262670530485146-7.31034461526153i</v>
      </c>
    </row>
    <row r="31" spans="2:34" x14ac:dyDescent="0.2">
      <c r="E31" s="221" t="s">
        <v>13</v>
      </c>
      <c r="F31" s="103">
        <f>(Vinss*40/3*Risense)/Lss</f>
        <v>70921.985815602849</v>
      </c>
      <c r="G31" s="222"/>
      <c r="I31" s="227">
        <v>27</v>
      </c>
      <c r="J31" s="227">
        <f t="shared" si="0"/>
        <v>1.2632533082231518</v>
      </c>
      <c r="K31" s="227">
        <f t="shared" si="23"/>
        <v>18.333834566655888</v>
      </c>
      <c r="L31" s="227">
        <f t="shared" si="11"/>
        <v>115.19487997347349</v>
      </c>
      <c r="M31" s="227">
        <f t="shared" si="1"/>
        <v>8799.6753884006048</v>
      </c>
      <c r="N31" s="227">
        <f>SQRT((ABS(AC31)-171.5+'Small Signal'!C$59)^2)</f>
        <v>100.74760538811233</v>
      </c>
      <c r="O31" s="227">
        <f t="shared" si="12"/>
        <v>91.318558164161573</v>
      </c>
      <c r="P31" s="227">
        <f t="shared" si="13"/>
        <v>47.384606636039678</v>
      </c>
      <c r="Q31" s="227">
        <f t="shared" si="14"/>
        <v>18.333834566655888</v>
      </c>
      <c r="R31" s="227" t="str">
        <f t="shared" si="2"/>
        <v>0.0945666666666667+0.000541415935875325i</v>
      </c>
      <c r="S31" s="227" t="str">
        <f t="shared" si="3"/>
        <v>0.0085-923.504401826728i</v>
      </c>
      <c r="T31" s="227" t="str">
        <f t="shared" si="15"/>
        <v>23.9837962269847-0.623289905902972i</v>
      </c>
      <c r="U31" s="227" t="str">
        <f t="shared" si="4"/>
        <v>96.024593703843-0.308347129850592i</v>
      </c>
      <c r="V31" s="227">
        <f t="shared" si="16"/>
        <v>39.647694346691225</v>
      </c>
      <c r="W31" s="227">
        <f t="shared" si="17"/>
        <v>-0.18398337093583456</v>
      </c>
      <c r="X31" s="227" t="str">
        <f t="shared" si="5"/>
        <v>0.999999997609746-0.0000155455205706745i</v>
      </c>
      <c r="Y31" s="227" t="str">
        <f t="shared" si="6"/>
        <v>42.2465259973694+0.437427313801831i</v>
      </c>
      <c r="Z31" s="227" t="str">
        <f t="shared" si="7"/>
        <v>23.7548297583183+0.245592000960857i</v>
      </c>
      <c r="AA31" s="227" t="str">
        <f t="shared" si="8"/>
        <v>32.7128261351567-0.429601782354514i</v>
      </c>
      <c r="AB31" s="227">
        <f t="shared" si="18"/>
        <v>30.295110241451862</v>
      </c>
      <c r="AC31" s="227">
        <f t="shared" si="19"/>
        <v>-0.75239461188767176</v>
      </c>
      <c r="AD31" s="229">
        <f t="shared" si="20"/>
        <v>17.089496394587812</v>
      </c>
      <c r="AE31" s="229">
        <f t="shared" si="21"/>
        <v>92.070952776049239</v>
      </c>
      <c r="AF31" s="227">
        <f t="shared" si="9"/>
        <v>47.384606636039678</v>
      </c>
      <c r="AG31" s="227">
        <f t="shared" si="10"/>
        <v>91.318558164161573</v>
      </c>
      <c r="AH31" s="229" t="str">
        <f t="shared" si="22"/>
        <v>0.258480517482473-7.14810732198693i</v>
      </c>
    </row>
    <row r="32" spans="2:34" x14ac:dyDescent="0.2">
      <c r="E32" s="221" t="s">
        <v>14</v>
      </c>
      <c r="F32" s="103">
        <f>0.024*fswss</f>
        <v>18000</v>
      </c>
      <c r="G32" s="222"/>
      <c r="I32" s="227">
        <v>28</v>
      </c>
      <c r="J32" s="227">
        <f t="shared" si="0"/>
        <v>1.2730034307499352</v>
      </c>
      <c r="K32" s="227">
        <f t="shared" si="23"/>
        <v>18.750093198206486</v>
      </c>
      <c r="L32" s="227">
        <f t="shared" si="11"/>
        <v>117.81031009121888</v>
      </c>
      <c r="M32" s="227">
        <f t="shared" si="1"/>
        <v>8799.2496788684421</v>
      </c>
      <c r="N32" s="227">
        <f>SQRT((ABS(AC32)-171.5+'Small Signal'!C$59)^2)</f>
        <v>100.73052449425629</v>
      </c>
      <c r="O32" s="227">
        <f t="shared" si="12"/>
        <v>91.315643475451822</v>
      </c>
      <c r="P32" s="227">
        <f t="shared" si="13"/>
        <v>47.189714744864823</v>
      </c>
      <c r="Q32" s="227">
        <f t="shared" si="14"/>
        <v>18.750093198206486</v>
      </c>
      <c r="R32" s="227" t="str">
        <f t="shared" si="2"/>
        <v>0.0945666666666667+0.000553708457428729i</v>
      </c>
      <c r="S32" s="227" t="str">
        <f t="shared" si="3"/>
        <v>0.0085-903.002280878755i</v>
      </c>
      <c r="T32" s="227" t="str">
        <f t="shared" si="15"/>
        <v>23.9830526060242-0.637421555493299i</v>
      </c>
      <c r="U32" s="227" t="str">
        <f t="shared" si="4"/>
        <v>96.0246108482079-0.315348190889628i</v>
      </c>
      <c r="V32" s="227">
        <f t="shared" si="16"/>
        <v>39.647697954071333</v>
      </c>
      <c r="W32" s="227">
        <f t="shared" si="17"/>
        <v>-0.18816067361974789</v>
      </c>
      <c r="X32" s="227" t="str">
        <f t="shared" si="5"/>
        <v>0.999999997499975-0.0000158984722184034i</v>
      </c>
      <c r="Y32" s="227" t="str">
        <f t="shared" si="6"/>
        <v>42.246603239547+0.447358881818458i</v>
      </c>
      <c r="Z32" s="227" t="str">
        <f t="shared" si="7"/>
        <v>23.7548733638601+0.251168043625576i</v>
      </c>
      <c r="AA32" s="227" t="str">
        <f t="shared" si="8"/>
        <v>32.7125786528072-0.439352455848287i</v>
      </c>
      <c r="AB32" s="227">
        <f t="shared" si="18"/>
        <v>30.295078921471482</v>
      </c>
      <c r="AC32" s="227">
        <f t="shared" si="19"/>
        <v>-0.7694755057437197</v>
      </c>
      <c r="AD32" s="229">
        <f t="shared" si="20"/>
        <v>16.89463582339334</v>
      </c>
      <c r="AE32" s="229">
        <f t="shared" si="21"/>
        <v>92.085118981195535</v>
      </c>
      <c r="AF32" s="227">
        <f t="shared" si="9"/>
        <v>47.189714744864823</v>
      </c>
      <c r="AG32" s="227">
        <f t="shared" si="10"/>
        <v>91.315643475451822</v>
      </c>
      <c r="AH32" s="229" t="str">
        <f t="shared" si="22"/>
        <v>0.254474420254015-6.98946830251642i</v>
      </c>
    </row>
    <row r="33" spans="1:34" x14ac:dyDescent="0.2">
      <c r="E33" s="221" t="s">
        <v>149</v>
      </c>
      <c r="F33" s="102">
        <f>-(snss/sess+1)*2/PI()</f>
        <v>-3.1449719093556885</v>
      </c>
      <c r="I33" s="227">
        <v>29</v>
      </c>
      <c r="J33" s="227">
        <f t="shared" si="0"/>
        <v>1.2827535532767187</v>
      </c>
      <c r="K33" s="227">
        <f t="shared" si="23"/>
        <v>19.175802730369849</v>
      </c>
      <c r="L33" s="227">
        <f t="shared" si="11"/>
        <v>120.48512196883402</v>
      </c>
      <c r="M33" s="227">
        <f>SQRT((Fco_target-K34)^2)</f>
        <v>8798.8143038586804</v>
      </c>
      <c r="N33" s="227">
        <f>SQRT((ABS(AC33)-171.5+'Small Signal'!C$59)^2)</f>
        <v>100.7130559124017</v>
      </c>
      <c r="O33" s="227">
        <f t="shared" si="12"/>
        <v>91.313390864772558</v>
      </c>
      <c r="P33" s="227">
        <f t="shared" si="13"/>
        <v>46.994825137186119</v>
      </c>
      <c r="Q33" s="227">
        <f t="shared" si="14"/>
        <v>19.175802730369849</v>
      </c>
      <c r="R33" s="227" t="str">
        <f t="shared" si="2"/>
        <v>0.0945666666666667+0.00056628007325352i</v>
      </c>
      <c r="S33" s="227" t="str">
        <f t="shared" si="3"/>
        <v>0.0085-882.955314191593i</v>
      </c>
      <c r="T33" s="227" t="str">
        <f t="shared" si="15"/>
        <v>23.9822748841593-0.651872679517555i</v>
      </c>
      <c r="U33" s="227" t="str">
        <f t="shared" si="4"/>
        <v>96.0246287798784-0.322508222522566i</v>
      </c>
      <c r="V33" s="227">
        <f t="shared" si="16"/>
        <v>39.64770172711782</v>
      </c>
      <c r="W33" s="227">
        <f t="shared" si="17"/>
        <v>-0.19243282441477394</v>
      </c>
      <c r="X33" s="227" t="str">
        <f t="shared" si="5"/>
        <v>0.999999997385163-0.0000162594374199447i</v>
      </c>
      <c r="Y33" s="227" t="str">
        <f t="shared" si="6"/>
        <v>42.246684029121+0.45751594323728i</v>
      </c>
      <c r="Z33" s="227" t="str">
        <f t="shared" si="7"/>
        <v>23.7549189720141+0.256870688691716i</v>
      </c>
      <c r="AA33" s="227" t="str">
        <f t="shared" si="8"/>
        <v>32.7123198088362-0.449324291313012i</v>
      </c>
      <c r="AB33" s="227">
        <f t="shared" si="18"/>
        <v>30.295046163386267</v>
      </c>
      <c r="AC33" s="227">
        <f t="shared" si="19"/>
        <v>-0.78694408759829271</v>
      </c>
      <c r="AD33" s="229">
        <f t="shared" si="20"/>
        <v>16.699778973799852</v>
      </c>
      <c r="AE33" s="229">
        <f t="shared" si="21"/>
        <v>92.100334952370844</v>
      </c>
      <c r="AF33" s="227">
        <f t="shared" si="9"/>
        <v>46.994825137186119</v>
      </c>
      <c r="AG33" s="227">
        <f t="shared" si="10"/>
        <v>91.313390864772558</v>
      </c>
      <c r="AH33" s="229" t="str">
        <f t="shared" si="22"/>
        <v>0.25064416848874-6.83434790144606i</v>
      </c>
    </row>
    <row r="34" spans="1:34" x14ac:dyDescent="0.2">
      <c r="E34" s="221" t="s">
        <v>150</v>
      </c>
      <c r="F34" s="102">
        <f>PI()*fswss</f>
        <v>2356194.4901923449</v>
      </c>
      <c r="I34" s="227">
        <v>30</v>
      </c>
      <c r="J34" s="227">
        <f t="shared" si="0"/>
        <v>1.292503675803502</v>
      </c>
      <c r="K34" s="227">
        <f t="shared" si="23"/>
        <v>19.611177740131591</v>
      </c>
      <c r="L34" s="227">
        <f t="shared" si="11"/>
        <v>123.22066383328217</v>
      </c>
      <c r="M34" s="227">
        <f t="shared" si="1"/>
        <v>8798.3690439224938</v>
      </c>
      <c r="N34" s="227">
        <f>SQRT((ABS(AC34)-171.5+'Small Signal'!C$59)^2)</f>
        <v>100.69519084892042</v>
      </c>
      <c r="O34" s="227">
        <f t="shared" si="12"/>
        <v>91.311799142669173</v>
      </c>
      <c r="P34" s="227">
        <f t="shared" si="13"/>
        <v>46.799938040132986</v>
      </c>
      <c r="Q34" s="227">
        <f t="shared" si="14"/>
        <v>19.611177740131591</v>
      </c>
      <c r="R34" s="227" t="str">
        <f t="shared" si="2"/>
        <v>0.0945666666666667+0.000579137120016426i</v>
      </c>
      <c r="S34" s="227" t="str">
        <f t="shared" si="3"/>
        <v>0.0085-863.353397181343i</v>
      </c>
      <c r="T34" s="227" t="str">
        <f t="shared" si="15"/>
        <v>23.9814614999622-0.666650435732228i</v>
      </c>
      <c r="U34" s="227" t="str">
        <f t="shared" si="4"/>
        <v>96.0246475350084-0.329830835176959i</v>
      </c>
      <c r="V34" s="227">
        <f t="shared" si="16"/>
        <v>39.647705673438892</v>
      </c>
      <c r="W34" s="227">
        <f t="shared" si="17"/>
        <v>-0.19680197713683131</v>
      </c>
      <c r="X34" s="227" t="str">
        <f t="shared" si="5"/>
        <v>0.999999997265079-0.0000166285981181938i</v>
      </c>
      <c r="Y34" s="227" t="str">
        <f t="shared" si="6"/>
        <v>42.2467685290143+0.467903617969389i</v>
      </c>
      <c r="Z34" s="227" t="str">
        <f t="shared" si="7"/>
        <v>23.7549666747552+0.262702810710324i</v>
      </c>
      <c r="AA34" s="227" t="str">
        <f t="shared" si="8"/>
        <v>32.7120490818284-0.459522294693823i</v>
      </c>
      <c r="AB34" s="227">
        <f t="shared" si="18"/>
        <v>30.295011901174949</v>
      </c>
      <c r="AC34" s="227">
        <f t="shared" si="19"/>
        <v>-0.80480915107957329</v>
      </c>
      <c r="AD34" s="229">
        <f t="shared" si="20"/>
        <v>16.504926138958037</v>
      </c>
      <c r="AE34" s="229">
        <f t="shared" si="21"/>
        <v>92.11660829374874</v>
      </c>
      <c r="AF34" s="227">
        <f t="shared" si="9"/>
        <v>46.799938040132986</v>
      </c>
      <c r="AG34" s="227">
        <f t="shared" si="10"/>
        <v>91.311799142669173</v>
      </c>
      <c r="AH34" s="229" t="str">
        <f t="shared" si="22"/>
        <v>0.246982045793202-6.68266821700248i</v>
      </c>
    </row>
    <row r="35" spans="1:34" x14ac:dyDescent="0.2">
      <c r="E35" s="221" t="s">
        <v>148</v>
      </c>
      <c r="F35" s="253">
        <f>(1+sess/snss)</f>
        <v>1.2538</v>
      </c>
      <c r="I35" s="227">
        <v>31</v>
      </c>
      <c r="J35" s="227">
        <f t="shared" si="0"/>
        <v>1.3022537983302853</v>
      </c>
      <c r="K35" s="227">
        <f t="shared" si="23"/>
        <v>20.056437676318073</v>
      </c>
      <c r="L35" s="227">
        <f t="shared" si="11"/>
        <v>126.01831452220479</v>
      </c>
      <c r="M35" s="227">
        <f t="shared" si="1"/>
        <v>8797.9136746286022</v>
      </c>
      <c r="N35" s="227">
        <f>SQRT((ABS(AC35)-171.5+'Small Signal'!C$59)^2)</f>
        <v>100.6769203111287</v>
      </c>
      <c r="O35" s="227">
        <f t="shared" si="12"/>
        <v>91.310867447731539</v>
      </c>
      <c r="P35" s="227">
        <f t="shared" si="13"/>
        <v>46.605053685864029</v>
      </c>
      <c r="Q35" s="227">
        <f t="shared" si="14"/>
        <v>20.056437676318073</v>
      </c>
      <c r="R35" s="227" t="str">
        <f t="shared" si="2"/>
        <v>0.0945666666666667+0.000592286078254363i</v>
      </c>
      <c r="S35" s="227" t="str">
        <f t="shared" si="3"/>
        <v>0.0085-844.186649589404i</v>
      </c>
      <c r="T35" s="227" t="str">
        <f t="shared" si="15"/>
        <v>23.9806108207323-0.681762137756477i</v>
      </c>
      <c r="U35" s="227" t="str">
        <f t="shared" si="4"/>
        <v>96.0246671514095-0.337319721329291i</v>
      </c>
      <c r="V35" s="227">
        <f t="shared" si="16"/>
        <v>39.647709800991926</v>
      </c>
      <c r="W35" s="227">
        <f t="shared" si="17"/>
        <v>-0.20127033452708393</v>
      </c>
      <c r="X35" s="227" t="str">
        <f t="shared" si="5"/>
        <v>0.99999999713948-0.0000170061403869493i</v>
      </c>
      <c r="Y35" s="227" t="str">
        <f t="shared" si="6"/>
        <v>42.2468569096301+0.478527142185668i</v>
      </c>
      <c r="Z35" s="227" t="str">
        <f t="shared" si="7"/>
        <v>23.755016568281+0.26866734950575i</v>
      </c>
      <c r="AA35" s="227" t="str">
        <f t="shared" si="8"/>
        <v>32.7117659264576-0.469951584520354i</v>
      </c>
      <c r="AB35" s="227">
        <f t="shared" si="18"/>
        <v>30.294976065786678</v>
      </c>
      <c r="AC35" s="227">
        <f t="shared" si="19"/>
        <v>-0.823079688871307</v>
      </c>
      <c r="AD35" s="229">
        <f t="shared" si="20"/>
        <v>16.310077620077351</v>
      </c>
      <c r="AE35" s="229">
        <f t="shared" si="21"/>
        <v>92.133947136602842</v>
      </c>
      <c r="AF35" s="227">
        <f t="shared" si="9"/>
        <v>46.605053685864029</v>
      </c>
      <c r="AG35" s="227">
        <f t="shared" si="10"/>
        <v>91.310867447731539</v>
      </c>
      <c r="AH35" s="229" t="str">
        <f t="shared" si="22"/>
        <v>0.243480674188884-6.53435306307286i</v>
      </c>
    </row>
    <row r="36" spans="1:34" x14ac:dyDescent="0.2">
      <c r="E36" s="221" t="s">
        <v>182</v>
      </c>
      <c r="F36" s="226">
        <v>2000000</v>
      </c>
      <c r="I36" s="227">
        <v>32</v>
      </c>
      <c r="J36" s="227">
        <f t="shared" si="0"/>
        <v>1.3120039208570689</v>
      </c>
      <c r="K36" s="227">
        <f t="shared" si="23"/>
        <v>20.511806970208617</v>
      </c>
      <c r="L36" s="227">
        <f t="shared" si="11"/>
        <v>128.8794841789186</v>
      </c>
      <c r="M36" s="227">
        <f>SQRT((Fco_target-K37)^2)</f>
        <v>8797.4479664501523</v>
      </c>
      <c r="N36" s="227">
        <f>SQRT((ABS(AC36)-171.5+'Small Signal'!C$59)^2)</f>
        <v>100.65823510280953</v>
      </c>
      <c r="O36" s="227">
        <f t="shared" si="12"/>
        <v>91.310595245892827</v>
      </c>
      <c r="P36" s="227">
        <f t="shared" si="13"/>
        <v>46.410172312031058</v>
      </c>
      <c r="Q36" s="227">
        <f t="shared" si="14"/>
        <v>20.511806970208617</v>
      </c>
      <c r="R36" s="227" t="str">
        <f t="shared" si="2"/>
        <v>0.0945666666666667+0.000605733575640917i</v>
      </c>
      <c r="S36" s="227" t="str">
        <f t="shared" si="3"/>
        <v>0.0085-825.445410502397i</v>
      </c>
      <c r="T36" s="227" t="str">
        <f t="shared" ref="T36:T67" si="24">IMDIV(IMPRODUCT(S36,COMPLEX(Ross,0)),IMSUM(S36,COMPLEX(Ross,0)))</f>
        <v>23.9797211392633-0.697215258149809i</v>
      </c>
      <c r="U36" s="227" t="str">
        <f t="shared" si="4"/>
        <v>96.0246876686324-0.344978657373221i</v>
      </c>
      <c r="V36" s="227">
        <f t="shared" si="16"/>
        <v>39.647714118100033</v>
      </c>
      <c r="W36" s="227">
        <f t="shared" si="17"/>
        <v>-0.20584014936446277</v>
      </c>
      <c r="X36" s="227" t="str">
        <f t="shared" si="5"/>
        <v>0.999999997008112-0.0000173922545247033i</v>
      </c>
      <c r="Y36" s="227" t="str">
        <f t="shared" si="6"/>
        <v>42.2469493492007+0.489391870957448i</v>
      </c>
      <c r="Z36" s="227" t="str">
        <f t="shared" si="7"/>
        <v>23.7550687532091+0.274767311658219i</v>
      </c>
      <c r="AA36" s="227" t="str">
        <f t="shared" si="8"/>
        <v>32.7114697723902-0.480617394388193i</v>
      </c>
      <c r="AB36" s="227">
        <f t="shared" si="18"/>
        <v>30.294938585001674</v>
      </c>
      <c r="AC36" s="227">
        <f t="shared" si="19"/>
        <v>-0.84176489719048264</v>
      </c>
      <c r="AD36" s="229">
        <f t="shared" si="20"/>
        <v>16.115233727029384</v>
      </c>
      <c r="AE36" s="229">
        <f t="shared" si="21"/>
        <v>92.152360143083314</v>
      </c>
      <c r="AF36" s="227">
        <f t="shared" si="9"/>
        <v>46.410172312031058</v>
      </c>
      <c r="AG36" s="227">
        <f t="shared" si="10"/>
        <v>91.310595245892827</v>
      </c>
      <c r="AH36" s="229" t="str">
        <f t="shared" si="22"/>
        <v>0.240132999287063-6.38932793201523i</v>
      </c>
    </row>
    <row r="37" spans="1:34" x14ac:dyDescent="0.2">
      <c r="F37" s="220"/>
      <c r="I37" s="227">
        <v>33</v>
      </c>
      <c r="J37" s="227">
        <f t="shared" si="0"/>
        <v>1.3217540433838522</v>
      </c>
      <c r="K37" s="227">
        <f t="shared" si="23"/>
        <v>20.977515148659059</v>
      </c>
      <c r="L37" s="227">
        <f t="shared" si="11"/>
        <v>131.8056149631918</v>
      </c>
      <c r="M37" s="227">
        <f>SQRT((Fco_target-K38)^2)</f>
        <v>8796.9716846490173</v>
      </c>
      <c r="N37" s="227">
        <f>SQRT((ABS(AC37)-171.5+'Small Signal'!C$59)^2)</f>
        <v>100.63912581963604</v>
      </c>
      <c r="O37" s="227">
        <f t="shared" si="12"/>
        <v>91.310982329869034</v>
      </c>
      <c r="P37" s="227">
        <f t="shared" si="13"/>
        <v>46.215294162254736</v>
      </c>
      <c r="Q37" s="227">
        <f t="shared" si="14"/>
        <v>20.977515148659059</v>
      </c>
      <c r="R37" s="227" t="str">
        <f t="shared" si="2"/>
        <v>0.0945666666666667+0.000619486390327001i</v>
      </c>
      <c r="S37" s="227" t="str">
        <f t="shared" si="3"/>
        <v>0.0085-807.120233482566i</v>
      </c>
      <c r="T37" s="227" t="str">
        <f t="shared" si="24"/>
        <v>23.9787906704668-0.713017431527856i</v>
      </c>
      <c r="U37" s="227" t="str">
        <f t="shared" si="4"/>
        <v>96.0247091280415-0.352811505530526i</v>
      </c>
      <c r="V37" s="227">
        <f t="shared" si="16"/>
        <v>39.64771863346833</v>
      </c>
      <c r="W37" s="227">
        <f t="shared" si="17"/>
        <v>-0.21051372560353188</v>
      </c>
      <c r="X37" s="227" t="str">
        <f t="shared" si="5"/>
        <v>0.999999996870712-0.0000177871351505599i</v>
      </c>
      <c r="Y37" s="227" t="str">
        <f t="shared" si="6"/>
        <v>42.247046034143+0.500503280957245i</v>
      </c>
      <c r="Z37" s="227" t="str">
        <f t="shared" si="7"/>
        <v>23.7551233347773+0.281005772020116i</v>
      </c>
      <c r="AA37" s="227" t="str">
        <f t="shared" si="8"/>
        <v>32.7111600231412-0.491525075491635i</v>
      </c>
      <c r="AB37" s="227">
        <f t="shared" si="18"/>
        <v>30.294899383286168</v>
      </c>
      <c r="AC37" s="227">
        <f t="shared" si="19"/>
        <v>-0.86087418036397478</v>
      </c>
      <c r="AD37" s="229">
        <f t="shared" si="20"/>
        <v>15.920394778968568</v>
      </c>
      <c r="AE37" s="229">
        <f t="shared" si="21"/>
        <v>92.171856510233013</v>
      </c>
      <c r="AF37" s="227">
        <f t="shared" si="9"/>
        <v>46.215294162254736</v>
      </c>
      <c r="AG37" s="227">
        <f t="shared" si="10"/>
        <v>91.310982329869034</v>
      </c>
      <c r="AH37" s="229" t="str">
        <f t="shared" si="22"/>
        <v>0.236932276111686-6.24751995823612i</v>
      </c>
    </row>
    <row r="38" spans="1:34" x14ac:dyDescent="0.2">
      <c r="F38" s="220"/>
      <c r="I38" s="227">
        <v>34</v>
      </c>
      <c r="J38" s="227">
        <f t="shared" si="0"/>
        <v>1.3315041659106357</v>
      </c>
      <c r="K38" s="227">
        <f t="shared" si="23"/>
        <v>21.453796949793784</v>
      </c>
      <c r="L38" s="227">
        <f t="shared" si="11"/>
        <v>134.79818177815852</v>
      </c>
      <c r="M38" s="227">
        <f t="shared" si="1"/>
        <v>8796.4845891574878</v>
      </c>
      <c r="N38" s="227">
        <f>SQRT((ABS(AC38)-171.5+'Small Signal'!C$59)^2)</f>
        <v>100.61958284449423</v>
      </c>
      <c r="O38" s="227">
        <f t="shared" si="12"/>
        <v>91.312028818737858</v>
      </c>
      <c r="P38" s="227">
        <f t="shared" si="13"/>
        <v>46.020419486611431</v>
      </c>
      <c r="Q38" s="227">
        <f t="shared" si="14"/>
        <v>21.453796949793784</v>
      </c>
      <c r="R38" s="227" t="str">
        <f t="shared" si="2"/>
        <v>0.0945666666666667+0.000633551454357345i</v>
      </c>
      <c r="S38" s="227" t="str">
        <f t="shared" si="3"/>
        <v>0.0085-789.201881806403i</v>
      </c>
      <c r="T38" s="227" t="str">
        <f t="shared" si="24"/>
        <v>23.9778175478435-0.72917645771474i</v>
      </c>
      <c r="U38" s="227" t="str">
        <f t="shared" si="4"/>
        <v>96.0247315729017-0.360822215805892i</v>
      </c>
      <c r="V38" s="227">
        <f t="shared" si="16"/>
        <v>39.647723356201851</v>
      </c>
      <c r="W38" s="227">
        <f t="shared" si="17"/>
        <v>-0.21529341953833514</v>
      </c>
      <c r="X38" s="227" t="str">
        <f t="shared" si="5"/>
        <v>0.999999996727002-0.0000181909813023324i</v>
      </c>
      <c r="Y38" s="227" t="str">
        <f t="shared" si="6"/>
        <v>42.2471471594377+0.511866973220839i</v>
      </c>
      <c r="Z38" s="227" t="str">
        <f t="shared" si="7"/>
        <v>23.7551804230582+0.287385875266724i</v>
      </c>
      <c r="AA38" s="227" t="str">
        <f t="shared" si="8"/>
        <v>32.7108360548761-0.50268009920824i</v>
      </c>
      <c r="AB38" s="227">
        <f t="shared" si="18"/>
        <v>30.294858381640218</v>
      </c>
      <c r="AC38" s="227">
        <f t="shared" si="19"/>
        <v>-0.88041715550578181</v>
      </c>
      <c r="AD38" s="229">
        <f t="shared" si="20"/>
        <v>15.725561104971213</v>
      </c>
      <c r="AE38" s="229">
        <f t="shared" si="21"/>
        <v>92.19244597424364</v>
      </c>
      <c r="AF38" s="227">
        <f t="shared" si="9"/>
        <v>46.020419486611431</v>
      </c>
      <c r="AG38" s="227">
        <f t="shared" si="10"/>
        <v>91.312028818737858</v>
      </c>
      <c r="AH38" s="229" t="str">
        <f t="shared" si="22"/>
        <v>0.233872055542082-6.10885788252215i</v>
      </c>
    </row>
    <row r="39" spans="1:34" x14ac:dyDescent="0.2">
      <c r="F39" s="220"/>
      <c r="I39" s="227">
        <v>35</v>
      </c>
      <c r="J39" s="227">
        <f t="shared" si="0"/>
        <v>1.341254288437419</v>
      </c>
      <c r="K39" s="227">
        <f t="shared" si="23"/>
        <v>21.940892441324351</v>
      </c>
      <c r="L39" s="227">
        <f t="shared" si="11"/>
        <v>137.8586930137368</v>
      </c>
      <c r="M39" s="227">
        <f t="shared" si="1"/>
        <v>8795.9864344572561</v>
      </c>
      <c r="N39" s="227">
        <f>SQRT((ABS(AC39)-171.5+'Small Signal'!C$59)^2)</f>
        <v>100.59959634270268</v>
      </c>
      <c r="O39" s="227">
        <f t="shared" si="12"/>
        <v>91.313735157655429</v>
      </c>
      <c r="P39" s="227">
        <f t="shared" si="13"/>
        <v>45.825548542133134</v>
      </c>
      <c r="Q39" s="227">
        <f t="shared" si="14"/>
        <v>21.940892441324351</v>
      </c>
      <c r="R39" s="227" t="str">
        <f t="shared" si="2"/>
        <v>0.0945666666666667+0.000647935857164563i</v>
      </c>
      <c r="S39" s="227" t="str">
        <f t="shared" si="3"/>
        <v>0.0085-771.681323808891i</v>
      </c>
      <c r="T39" s="227" t="str">
        <f t="shared" si="24"/>
        <v>23.976799819798-0.745700304930704i</v>
      </c>
      <c r="U39" s="227" t="str">
        <f t="shared" si="4"/>
        <v>96.0247550484623-0.36901482798646i</v>
      </c>
      <c r="V39" s="227">
        <f t="shared" si="16"/>
        <v>39.647728295823569</v>
      </c>
      <c r="W39" s="227">
        <f t="shared" si="17"/>
        <v>-0.22018164099278556</v>
      </c>
      <c r="X39" s="227" t="str">
        <f t="shared" si="5"/>
        <v>0.999999996576691-0.0000186039965368673i</v>
      </c>
      <c r="Y39" s="227" t="str">
        <f t="shared" si="6"/>
        <v>42.2472529290191+0.52348867597217i</v>
      </c>
      <c r="Z39" s="227" t="str">
        <f t="shared" si="7"/>
        <v>23.7552401331788+0.293910837482223i</v>
      </c>
      <c r="AA39" s="227" t="str">
        <f t="shared" si="8"/>
        <v>32.7104972151602-0.514088059736273i</v>
      </c>
      <c r="AB39" s="227">
        <f t="shared" si="18"/>
        <v>30.294815497439096</v>
      </c>
      <c r="AC39" s="227">
        <f t="shared" si="19"/>
        <v>-0.90040365729732752</v>
      </c>
      <c r="AD39" s="229">
        <f t="shared" si="20"/>
        <v>15.530733044694035</v>
      </c>
      <c r="AE39" s="229">
        <f t="shared" si="21"/>
        <v>92.214138814952761</v>
      </c>
      <c r="AF39" s="227">
        <f t="shared" si="9"/>
        <v>45.825548542133134</v>
      </c>
      <c r="AG39" s="227">
        <f t="shared" si="10"/>
        <v>91.313735157655429</v>
      </c>
      <c r="AH39" s="229" t="str">
        <f t="shared" si="22"/>
        <v>0.230946171348507-5.97327201711235i</v>
      </c>
    </row>
    <row r="40" spans="1:34" x14ac:dyDescent="0.2">
      <c r="F40" s="220"/>
      <c r="I40" s="227">
        <v>36</v>
      </c>
      <c r="J40" s="227">
        <f t="shared" si="0"/>
        <v>1.3510044109642023</v>
      </c>
      <c r="K40" s="227">
        <f t="shared" si="23"/>
        <v>22.43904714155466</v>
      </c>
      <c r="L40" s="227">
        <f t="shared" si="11"/>
        <v>140.98869130692634</v>
      </c>
      <c r="M40" s="227">
        <f t="shared" si="1"/>
        <v>8795.476969455678</v>
      </c>
      <c r="N40" s="227">
        <f>SQRT((ABS(AC40)-171.5+'Small Signal'!C$59)^2)</f>
        <v>100.57915625712744</v>
      </c>
      <c r="O40" s="227">
        <f t="shared" si="12"/>
        <v>91.31610211770878</v>
      </c>
      <c r="P40" s="227">
        <f t="shared" si="13"/>
        <v>45.630681593320531</v>
      </c>
      <c r="Q40" s="227">
        <f t="shared" si="14"/>
        <v>22.43904714155466</v>
      </c>
      <c r="R40" s="227" t="str">
        <f t="shared" si="2"/>
        <v>0.0945666666666667+0.000662646849142554i</v>
      </c>
      <c r="S40" s="227" t="str">
        <f t="shared" si="3"/>
        <v>0.0085-754.549728331139i</v>
      </c>
      <c r="T40" s="227" t="str">
        <f t="shared" si="24"/>
        <v>23.9757354457892-0.762597113013213i</v>
      </c>
      <c r="U40" s="227" t="str">
        <f t="shared" si="4"/>
        <v>96.0247796020531-0.377393473687285i</v>
      </c>
      <c r="V40" s="227">
        <f t="shared" si="16"/>
        <v>39.64773346229407</v>
      </c>
      <c r="W40" s="227">
        <f t="shared" si="17"/>
        <v>-0.22518085453824299</v>
      </c>
      <c r="X40" s="227" t="str">
        <f t="shared" si="5"/>
        <v>0.999999996419478-0.0000190263890326463i</v>
      </c>
      <c r="Y40" s="227" t="str">
        <f t="shared" si="6"/>
        <v>42.2473635561907+0.535374247512458i</v>
      </c>
      <c r="Z40" s="227" t="str">
        <f t="shared" si="7"/>
        <v>23.7553025855552+0.30058394778174i</v>
      </c>
      <c r="AA40" s="227" t="str">
        <f t="shared" si="8"/>
        <v>32.7101428216489-0.525754676785547i</v>
      </c>
      <c r="AB40" s="227">
        <f t="shared" si="18"/>
        <v>30.29477064426689</v>
      </c>
      <c r="AC40" s="227">
        <f t="shared" si="19"/>
        <v>-0.92084374287257098</v>
      </c>
      <c r="AD40" s="229">
        <f t="shared" si="20"/>
        <v>15.335910949053645</v>
      </c>
      <c r="AE40" s="229">
        <f t="shared" si="21"/>
        <v>92.236945860581358</v>
      </c>
      <c r="AF40" s="227">
        <f t="shared" si="9"/>
        <v>45.630681593320531</v>
      </c>
      <c r="AG40" s="227">
        <f t="shared" si="10"/>
        <v>91.31610211770878</v>
      </c>
      <c r="AH40" s="229" t="str">
        <f t="shared" si="22"/>
        <v>0.228148727794702-5.84069421149815i</v>
      </c>
    </row>
    <row r="41" spans="1:34" x14ac:dyDescent="0.2">
      <c r="F41" s="220"/>
      <c r="I41" s="227">
        <v>37</v>
      </c>
      <c r="J41" s="227">
        <f t="shared" si="0"/>
        <v>1.3607545334909859</v>
      </c>
      <c r="K41" s="227">
        <f t="shared" si="23"/>
        <v>22.948512143133257</v>
      </c>
      <c r="L41" s="227">
        <f t="shared" si="11"/>
        <v>144.18975431936721</v>
      </c>
      <c r="M41" s="227">
        <f t="shared" si="1"/>
        <v>8794.9559373591965</v>
      </c>
      <c r="N41" s="227">
        <f>SQRT((ABS(AC41)-171.5+'Small Signal'!C$59)^2)</f>
        <v>100.55825230318956</v>
      </c>
      <c r="O41" s="227">
        <f t="shared" si="12"/>
        <v>91.319130795902794</v>
      </c>
      <c r="P41" s="227">
        <f t="shared" si="13"/>
        <v>45.435818912671166</v>
      </c>
      <c r="Q41" s="227">
        <f t="shared" si="14"/>
        <v>22.948512143133257</v>
      </c>
      <c r="R41" s="227" t="str">
        <f t="shared" si="2"/>
        <v>0.0945666666666667+0.000677691845301026i</v>
      </c>
      <c r="S41" s="227" t="str">
        <f t="shared" si="3"/>
        <v>0.0085-737.798460269068i</v>
      </c>
      <c r="T41" s="227" t="str">
        <f t="shared" si="24"/>
        <v>23.9746222923094-0.779875196669658i</v>
      </c>
      <c r="U41" s="227" t="str">
        <f t="shared" si="4"/>
        <v>96.0248052831748-0.385962378443647i</v>
      </c>
      <c r="V41" s="227">
        <f t="shared" si="16"/>
        <v>39.647738866031183</v>
      </c>
      <c r="W41" s="227">
        <f t="shared" si="17"/>
        <v>-0.23029358073886796</v>
      </c>
      <c r="X41" s="227" t="str">
        <f t="shared" si="5"/>
        <v>0.999999996255046-0.0000194583716947176i</v>
      </c>
      <c r="Y41" s="227" t="str">
        <f t="shared" si="6"/>
        <v>42.2474792640517+0.547529679175058i</v>
      </c>
      <c r="Z41" s="227" t="str">
        <f t="shared" si="7"/>
        <v>23.7553679061336+0.307408569970314i</v>
      </c>
      <c r="AA41" s="227" t="str">
        <f t="shared" si="8"/>
        <v>32.7097721607194-0.537685798322706i</v>
      </c>
      <c r="AB41" s="227">
        <f t="shared" si="18"/>
        <v>30.294723731742806</v>
      </c>
      <c r="AC41" s="227">
        <f t="shared" si="19"/>
        <v>-0.9417476968104399</v>
      </c>
      <c r="AD41" s="229">
        <f t="shared" si="20"/>
        <v>15.141095180928357</v>
      </c>
      <c r="AE41" s="229">
        <f t="shared" si="21"/>
        <v>92.260878492713232</v>
      </c>
      <c r="AF41" s="227">
        <f t="shared" si="9"/>
        <v>45.435818912671166</v>
      </c>
      <c r="AG41" s="227">
        <f t="shared" si="10"/>
        <v>91.319130795902794</v>
      </c>
      <c r="AH41" s="229" t="str">
        <f t="shared" si="22"/>
        <v>0.225474087782771-5.71105781893805i</v>
      </c>
    </row>
    <row r="42" spans="1:34" x14ac:dyDescent="0.2">
      <c r="F42" s="220"/>
      <c r="I42" s="227">
        <v>38</v>
      </c>
      <c r="J42" s="227">
        <f t="shared" si="0"/>
        <v>1.3705046560177692</v>
      </c>
      <c r="K42" s="227">
        <f t="shared" si="23"/>
        <v>23.469544239615477</v>
      </c>
      <c r="L42" s="227">
        <f t="shared" si="11"/>
        <v>147.46349553255325</v>
      </c>
      <c r="M42" s="227">
        <f t="shared" si="1"/>
        <v>8794.423075543913</v>
      </c>
      <c r="N42" s="227">
        <f>SQRT((ABS(AC42)-171.5+'Small Signal'!C$59)^2)</f>
        <v>100.5368739637637</v>
      </c>
      <c r="O42" s="227">
        <f t="shared" si="12"/>
        <v>91.322822615279492</v>
      </c>
      <c r="P42" s="227">
        <f t="shared" si="13"/>
        <v>45.240960781222547</v>
      </c>
      <c r="Q42" s="227">
        <f t="shared" si="14"/>
        <v>23.469544239615477</v>
      </c>
      <c r="R42" s="227" t="str">
        <f t="shared" si="2"/>
        <v>0.0945666666666667+0.000693078429003i</v>
      </c>
      <c r="S42" s="227" t="str">
        <f t="shared" si="3"/>
        <v>0.0085-721.419076220933i</v>
      </c>
      <c r="T42" s="227" t="str">
        <f t="shared" si="24"/>
        <v>23.9734581286838-0.797543048759499i</v>
      </c>
      <c r="U42" s="227" t="str">
        <f t="shared" si="4"/>
        <v>96.0248321436014-0.394725863851459i</v>
      </c>
      <c r="V42" s="227">
        <f t="shared" si="16"/>
        <v>39.647744517931216</v>
      </c>
      <c r="W42" s="227">
        <f t="shared" si="17"/>
        <v>-0.23552239742544043</v>
      </c>
      <c r="X42" s="227" t="str">
        <f t="shared" si="5"/>
        <v>0.999999996083061-0.0000199001622620099i</v>
      </c>
      <c r="Y42" s="227" t="str">
        <f t="shared" si="6"/>
        <v>42.2476002859505+0.559961098347419i</v>
      </c>
      <c r="Z42" s="227" t="str">
        <f t="shared" si="7"/>
        <v>23.7554362266463+0.314388144239525i</v>
      </c>
      <c r="AA42" s="227" t="str">
        <f t="shared" si="8"/>
        <v>32.7093844860385-0.549887403371412i</v>
      </c>
      <c r="AB42" s="227">
        <f t="shared" si="18"/>
        <v>30.294674665339109</v>
      </c>
      <c r="AC42" s="227">
        <f t="shared" si="19"/>
        <v>-0.96312603623631299</v>
      </c>
      <c r="AD42" s="229">
        <f t="shared" si="20"/>
        <v>14.94628611588344</v>
      </c>
      <c r="AE42" s="229">
        <f t="shared" si="21"/>
        <v>92.28594865151581</v>
      </c>
      <c r="AF42" s="227">
        <f t="shared" si="9"/>
        <v>45.240960781222547</v>
      </c>
      <c r="AG42" s="227">
        <f t="shared" si="10"/>
        <v>91.322822615279492</v>
      </c>
      <c r="AH42" s="229" t="str">
        <f t="shared" si="22"/>
        <v>0.222916861516721-5.58429766367386i</v>
      </c>
    </row>
    <row r="43" spans="1:34" x14ac:dyDescent="0.2">
      <c r="F43" s="220"/>
      <c r="I43" s="227">
        <v>39</v>
      </c>
      <c r="J43" s="227">
        <f t="shared" si="0"/>
        <v>1.3802547785445527</v>
      </c>
      <c r="K43" s="227">
        <f t="shared" si="23"/>
        <v>24.002406054899147</v>
      </c>
      <c r="L43" s="227">
        <f t="shared" si="11"/>
        <v>150.81156506110065</v>
      </c>
      <c r="M43" s="227">
        <f t="shared" si="1"/>
        <v>8793.8781154232129</v>
      </c>
      <c r="N43" s="227">
        <f>SQRT((ABS(AC43)-171.5+'Small Signal'!C$59)^2)</f>
        <v>100.51501048396474</v>
      </c>
      <c r="O43" s="227">
        <f t="shared" si="12"/>
        <v>91.327179325167904</v>
      </c>
      <c r="P43" s="227">
        <f t="shared" si="13"/>
        <v>45.046107489113297</v>
      </c>
      <c r="Q43" s="227">
        <f t="shared" si="14"/>
        <v>24.002406054899147</v>
      </c>
      <c r="R43" s="227" t="str">
        <f t="shared" si="2"/>
        <v>0.0945666666666667+0.000708814355787173i</v>
      </c>
      <c r="S43" s="227" t="str">
        <f t="shared" si="3"/>
        <v>0.0085-705.403320231465i</v>
      </c>
      <c r="T43" s="227" t="str">
        <f t="shared" si="24"/>
        <v>23.9722406226846-0.815609343603511i</v>
      </c>
      <c r="U43" s="227" t="str">
        <f t="shared" si="4"/>
        <v>96.0248602374836-0.403688349756771i</v>
      </c>
      <c r="V43" s="227">
        <f t="shared" si="16"/>
        <v>39.647750429390868</v>
      </c>
      <c r="W43" s="227">
        <f t="shared" si="17"/>
        <v>-0.24086994099825135</v>
      </c>
      <c r="X43" s="227" t="str">
        <f t="shared" si="5"/>
        <v>0.999999995903179-0.0000203519834170826i</v>
      </c>
      <c r="Y43" s="227" t="str">
        <f t="shared" si="6"/>
        <v>42.2477268659514+0.572674771561854i</v>
      </c>
      <c r="Z43" s="227" t="str">
        <f t="shared" si="7"/>
        <v>23.7555076848747+0.321526188902761i</v>
      </c>
      <c r="AA43" s="227" t="str">
        <f t="shared" si="8"/>
        <v>32.7089790170694-0.562365604868574i</v>
      </c>
      <c r="AB43" s="227">
        <f t="shared" si="18"/>
        <v>30.29462334619188</v>
      </c>
      <c r="AC43" s="227">
        <f t="shared" si="19"/>
        <v>-0.98498951603526241</v>
      </c>
      <c r="AD43" s="229">
        <f t="shared" si="20"/>
        <v>14.75148414292142</v>
      </c>
      <c r="AE43" s="229">
        <f t="shared" si="21"/>
        <v>92.31216884120316</v>
      </c>
      <c r="AF43" s="227">
        <f t="shared" si="9"/>
        <v>45.046107489113297</v>
      </c>
      <c r="AG43" s="227">
        <f t="shared" si="10"/>
        <v>91.327179325167904</v>
      </c>
      <c r="AH43" s="229" t="str">
        <f t="shared" si="22"/>
        <v>0.22047189566207-5.46035000883572i</v>
      </c>
    </row>
    <row r="44" spans="1:34" x14ac:dyDescent="0.2">
      <c r="F44" s="220"/>
      <c r="I44" s="227">
        <v>40</v>
      </c>
      <c r="J44" s="227">
        <f t="shared" si="0"/>
        <v>1.390004901071336</v>
      </c>
      <c r="K44" s="227">
        <f t="shared" si="23"/>
        <v>24.547366175598889</v>
      </c>
      <c r="L44" s="227">
        <f t="shared" si="11"/>
        <v>154.23565048448009</v>
      </c>
      <c r="M44" s="227">
        <f t="shared" si="1"/>
        <v>8793.3207823123848</v>
      </c>
      <c r="N44" s="227">
        <f>SQRT((ABS(AC44)-171.5+'Small Signal'!C$59)^2)</f>
        <v>100.49265086582128</v>
      </c>
      <c r="O44" s="227">
        <f t="shared" si="12"/>
        <v>91.332203001562647</v>
      </c>
      <c r="P44" s="227">
        <f t="shared" si="13"/>
        <v>44.851259336160211</v>
      </c>
      <c r="Q44" s="227">
        <f t="shared" si="14"/>
        <v>24.547366175598889</v>
      </c>
      <c r="R44" s="227" t="str">
        <f t="shared" si="2"/>
        <v>0.0945666666666667+0.000724907557277056i</v>
      </c>
      <c r="S44" s="227" t="str">
        <f t="shared" si="3"/>
        <v>0.0085-689.743119630498i</v>
      </c>
      <c r="T44" s="227" t="str">
        <f t="shared" si="24"/>
        <v>23.9709673359507-0.834082940317501i</v>
      </c>
      <c r="U44" s="227" t="str">
        <f t="shared" si="4"/>
        <v>96.0248896214591-0.412854356495617i</v>
      </c>
      <c r="V44" s="227">
        <f t="shared" si="16"/>
        <v>39.647756612330298</v>
      </c>
      <c r="W44" s="227">
        <f t="shared" si="17"/>
        <v>-0.24633890775977976</v>
      </c>
      <c r="X44" s="227" t="str">
        <f t="shared" si="5"/>
        <v>0.999999995715035-0.0000208140628983682i</v>
      </c>
      <c r="Y44" s="227" t="str">
        <f t="shared" si="6"/>
        <v>42.2478592593313+0.585677107656539i</v>
      </c>
      <c r="Z44" s="227" t="str">
        <f t="shared" si="7"/>
        <v>23.7555824249304+0.328826302169905i</v>
      </c>
      <c r="AA44" s="227" t="str">
        <f t="shared" si="8"/>
        <v>32.7085549375037-0.575126652576848i</v>
      </c>
      <c r="AB44" s="227">
        <f t="shared" si="18"/>
        <v>30.294569670901264</v>
      </c>
      <c r="AC44" s="227">
        <f t="shared" si="19"/>
        <v>-1.0073491341787315</v>
      </c>
      <c r="AD44" s="229">
        <f t="shared" si="20"/>
        <v>14.556689665258949</v>
      </c>
      <c r="AE44" s="229">
        <f t="shared" si="21"/>
        <v>92.339552135741371</v>
      </c>
      <c r="AF44" s="227">
        <f t="shared" si="9"/>
        <v>44.851259336160211</v>
      </c>
      <c r="AG44" s="227">
        <f t="shared" si="10"/>
        <v>91.332203001562647</v>
      </c>
      <c r="AH44" s="229" t="str">
        <f t="shared" si="22"/>
        <v>0.218134262979876-5.33915252502325i</v>
      </c>
    </row>
    <row r="45" spans="1:34" x14ac:dyDescent="0.2">
      <c r="A45" s="227"/>
      <c r="B45" s="235"/>
      <c r="C45" s="227"/>
      <c r="D45" s="227"/>
      <c r="E45" s="227"/>
      <c r="F45" s="227"/>
      <c r="I45" s="227">
        <v>41</v>
      </c>
      <c r="J45" s="227">
        <f t="shared" si="0"/>
        <v>1.3997550235981193</v>
      </c>
      <c r="K45" s="227">
        <f t="shared" si="23"/>
        <v>25.104699286426122</v>
      </c>
      <c r="L45" s="227">
        <f t="shared" si="11"/>
        <v>157.73747769763446</v>
      </c>
      <c r="M45" s="227">
        <f t="shared" si="1"/>
        <v>8792.7507952901688</v>
      </c>
      <c r="N45" s="227">
        <f>SQRT((ABS(AC45)-171.5+'Small Signal'!C$59)^2)</f>
        <v>100.46978386283254</v>
      </c>
      <c r="O45" s="227">
        <f t="shared" si="12"/>
        <v>91.337896047629002</v>
      </c>
      <c r="P45" s="227">
        <f t="shared" si="13"/>
        <v>44.656416632455638</v>
      </c>
      <c r="Q45" s="227">
        <f t="shared" si="14"/>
        <v>25.104699286426122</v>
      </c>
      <c r="R45" s="227" t="str">
        <f t="shared" si="2"/>
        <v>0.0945666666666667+0.000741366145178882i</v>
      </c>
      <c r="S45" s="227" t="str">
        <f t="shared" si="3"/>
        <v>0.0085-674.430580963955i</v>
      </c>
      <c r="T45" s="227" t="str">
        <f t="shared" si="24"/>
        <v>23.9696357192043-0.852972886167602i</v>
      </c>
      <c r="U45" s="227" t="str">
        <f t="shared" si="4"/>
        <v>96.0249203547645-0.422228507185328i</v>
      </c>
      <c r="V45" s="227">
        <f t="shared" si="16"/>
        <v>39.647763079216979</v>
      </c>
      <c r="W45" s="227">
        <f t="shared" si="17"/>
        <v>-0.25193205527782347</v>
      </c>
      <c r="X45" s="227" t="str">
        <f t="shared" si="5"/>
        <v>0.999999995518251-0.0000212866336149623i</v>
      </c>
      <c r="Y45" s="227" t="str">
        <f t="shared" si="6"/>
        <v>42.2479977330921+0.598974661008475i</v>
      </c>
      <c r="Z45" s="227" t="str">
        <f t="shared" si="7"/>
        <v>23.7556605975438+0.33629216396243i</v>
      </c>
      <c r="AA45" s="227" t="str">
        <f t="shared" si="8"/>
        <v>32.7081113936281-0.588176936054641i</v>
      </c>
      <c r="AB45" s="227">
        <f t="shared" si="18"/>
        <v>30.294513531324284</v>
      </c>
      <c r="AC45" s="227">
        <f t="shared" si="19"/>
        <v>-1.0302161371674596</v>
      </c>
      <c r="AD45" s="229">
        <f t="shared" si="20"/>
        <v>14.361903101131352</v>
      </c>
      <c r="AE45" s="229">
        <f t="shared" si="21"/>
        <v>92.368112184796459</v>
      </c>
      <c r="AF45" s="227">
        <f t="shared" si="9"/>
        <v>44.656416632455638</v>
      </c>
      <c r="AG45" s="227">
        <f t="shared" si="10"/>
        <v>91.337896047629002</v>
      </c>
      <c r="AH45" s="229" t="str">
        <f t="shared" si="22"/>
        <v>0.215899252414493-5.2206442595499i</v>
      </c>
    </row>
    <row r="46" spans="1:34" x14ac:dyDescent="0.2">
      <c r="A46" s="227"/>
      <c r="B46" s="235"/>
      <c r="C46" s="227"/>
      <c r="D46" s="227"/>
      <c r="E46" s="227"/>
      <c r="F46" s="227"/>
      <c r="I46" s="227">
        <v>42</v>
      </c>
      <c r="J46" s="227">
        <f t="shared" si="0"/>
        <v>1.4095051461249029</v>
      </c>
      <c r="K46" s="227">
        <f t="shared" si="23"/>
        <v>25.674686308642574</v>
      </c>
      <c r="L46" s="227">
        <f t="shared" si="11"/>
        <v>161.31881178090791</v>
      </c>
      <c r="M46" s="227">
        <f t="shared" si="1"/>
        <v>8792.1678670571546</v>
      </c>
      <c r="N46" s="227">
        <f>SQRT((ABS(AC46)-171.5+'Small Signal'!C$59)^2)</f>
        <v>100.44639797440755</v>
      </c>
      <c r="O46" s="227">
        <f t="shared" si="12"/>
        <v>91.344261194332304</v>
      </c>
      <c r="P46" s="227">
        <f t="shared" si="13"/>
        <v>44.461579698984522</v>
      </c>
      <c r="Q46" s="227">
        <f t="shared" si="14"/>
        <v>25.674686308642574</v>
      </c>
      <c r="R46" s="227" t="str">
        <f t="shared" si="2"/>
        <v>0.0945666666666667+0.000758198415370267i</v>
      </c>
      <c r="S46" s="227" t="str">
        <f t="shared" si="3"/>
        <v>0.0085-659.457986015212i</v>
      </c>
      <c r="T46" s="227" t="str">
        <f t="shared" si="24"/>
        <v>23.9682431072573-0.872288419943886i</v>
      </c>
      <c r="U46" s="227" t="str">
        <f t="shared" si="4"/>
        <v>96.0249524993583-0.431815530068565i</v>
      </c>
      <c r="V46" s="227">
        <f t="shared" si="16"/>
        <v>39.64776984309114</v>
      </c>
      <c r="W46" s="227">
        <f t="shared" si="17"/>
        <v>-0.25765220377978909</v>
      </c>
      <c r="X46" s="227" t="str">
        <f t="shared" si="5"/>
        <v>0.99999999531243-0.0000217699337640211i</v>
      </c>
      <c r="Y46" s="227" t="str">
        <f t="shared" si="6"/>
        <v>42.2481425665004+0.612574134839903i</v>
      </c>
      <c r="Z46" s="227" t="str">
        <f t="shared" si="7"/>
        <v>23.7557423603694+0.343927537769725i</v>
      </c>
      <c r="AA46" s="227" t="str">
        <f t="shared" si="8"/>
        <v>32.7076474926137-0.601522987683872i</v>
      </c>
      <c r="AB46" s="227">
        <f t="shared" si="18"/>
        <v>30.294454814357326</v>
      </c>
      <c r="AC46" s="227">
        <f t="shared" si="19"/>
        <v>-1.0536020255924454</v>
      </c>
      <c r="AD46" s="229">
        <f t="shared" si="20"/>
        <v>14.167124884627192</v>
      </c>
      <c r="AE46" s="229">
        <f t="shared" si="21"/>
        <v>92.397863219924744</v>
      </c>
      <c r="AF46" s="227">
        <f t="shared" si="9"/>
        <v>44.461579698984522</v>
      </c>
      <c r="AG46" s="227">
        <f t="shared" si="10"/>
        <v>91.344261194332304</v>
      </c>
      <c r="AH46" s="229" t="str">
        <f t="shared" si="22"/>
        <v>0.213762359615253-5.1047656063385i</v>
      </c>
    </row>
    <row r="47" spans="1:34" x14ac:dyDescent="0.2">
      <c r="A47" s="227"/>
      <c r="B47" s="235"/>
      <c r="C47" s="227"/>
      <c r="D47" s="227"/>
      <c r="E47" s="227"/>
      <c r="F47" s="227"/>
      <c r="I47" s="227">
        <v>43</v>
      </c>
      <c r="J47" s="227">
        <f t="shared" si="0"/>
        <v>1.4192552686516862</v>
      </c>
      <c r="K47" s="227">
        <f t="shared" si="23"/>
        <v>26.257614541657375</v>
      </c>
      <c r="L47" s="227">
        <f t="shared" si="11"/>
        <v>164.98145788972667</v>
      </c>
      <c r="M47" s="227">
        <f t="shared" si="1"/>
        <v>8791.5717037909726</v>
      </c>
      <c r="N47" s="227">
        <f>SQRT((ABS(AC47)-171.5+'Small Signal'!C$59)^2)</f>
        <v>100.42248144018333</v>
      </c>
      <c r="O47" s="227">
        <f t="shared" si="12"/>
        <v>91.351301501189667</v>
      </c>
      <c r="P47" s="227">
        <f t="shared" si="13"/>
        <v>44.26674886826229</v>
      </c>
      <c r="Q47" s="227">
        <f t="shared" si="14"/>
        <v>26.257614541657375</v>
      </c>
      <c r="R47" s="227" t="str">
        <f t="shared" si="2"/>
        <v>0.0945666666666667+0.000775412852081715i</v>
      </c>
      <c r="S47" s="227" t="str">
        <f t="shared" si="3"/>
        <v>0.0085-644.817787914752i</v>
      </c>
      <c r="T47" s="227" t="str">
        <f t="shared" si="24"/>
        <v>23.9667867137956-0.89203897534881i</v>
      </c>
      <c r="U47" s="227" t="str">
        <f t="shared" si="4"/>
        <v>96.0249861200395-0.441620260911276i</v>
      </c>
      <c r="V47" s="227">
        <f t="shared" si="16"/>
        <v>39.647776917591536</v>
      </c>
      <c r="W47" s="227">
        <f t="shared" si="17"/>
        <v>-0.26350223757888042</v>
      </c>
      <c r="X47" s="227" t="str">
        <f t="shared" si="5"/>
        <v>0.999999995097157-0.0000222642069508229i</v>
      </c>
      <c r="Y47" s="227" t="str">
        <f t="shared" si="6"/>
        <v>42.2482940516497+0.626482384599993i</v>
      </c>
      <c r="Z47" s="227" t="str">
        <f t="shared" si="7"/>
        <v>23.7558278783025+0.351736272547684i</v>
      </c>
      <c r="AA47" s="227" t="str">
        <f t="shared" si="8"/>
        <v>32.7071623007281-0.615171485756431i</v>
      </c>
      <c r="AB47" s="227">
        <f t="shared" si="18"/>
        <v>30.294393401708803</v>
      </c>
      <c r="AC47" s="227">
        <f t="shared" si="19"/>
        <v>-1.0775185598166583</v>
      </c>
      <c r="AD47" s="229">
        <f t="shared" si="20"/>
        <v>13.972355466553489</v>
      </c>
      <c r="AE47" s="229">
        <f t="shared" si="21"/>
        <v>92.42882006100632</v>
      </c>
      <c r="AF47" s="227">
        <f t="shared" si="9"/>
        <v>44.26674886826229</v>
      </c>
      <c r="AG47" s="227">
        <f t="shared" si="10"/>
        <v>91.351301501189667</v>
      </c>
      <c r="AH47" s="229" t="str">
        <f t="shared" si="22"/>
        <v>0.211719277873138-4.99145827645503i</v>
      </c>
    </row>
    <row r="48" spans="1:34" x14ac:dyDescent="0.2">
      <c r="A48" s="227"/>
      <c r="B48" s="235"/>
      <c r="C48" s="227" t="s">
        <v>176</v>
      </c>
      <c r="D48" s="227"/>
      <c r="E48" s="227"/>
      <c r="F48" s="235"/>
      <c r="I48" s="227">
        <v>44</v>
      </c>
      <c r="J48" s="227">
        <f t="shared" si="0"/>
        <v>1.4290053911784697</v>
      </c>
      <c r="K48" s="227">
        <f t="shared" si="23"/>
        <v>26.853777807839133</v>
      </c>
      <c r="L48" s="227">
        <f t="shared" si="11"/>
        <v>168.72726216448009</v>
      </c>
      <c r="M48" s="227">
        <f t="shared" si="1"/>
        <v>8790.962004998195</v>
      </c>
      <c r="N48" s="227">
        <f>SQRT((ABS(AC48)-171.5+'Small Signal'!C$59)^2)</f>
        <v>100.39802223422041</v>
      </c>
      <c r="O48" s="227">
        <f t="shared" si="12"/>
        <v>91.359020357141048</v>
      </c>
      <c r="P48" s="227">
        <f t="shared" si="13"/>
        <v>44.07192448499552</v>
      </c>
      <c r="Q48" s="227">
        <f t="shared" si="14"/>
        <v>26.853777807839133</v>
      </c>
      <c r="R48" s="227" t="str">
        <f t="shared" si="2"/>
        <v>0.0945666666666667+0.000793018132173056i</v>
      </c>
      <c r="S48" s="227" t="str">
        <f t="shared" si="3"/>
        <v>0.0085-630.502607336207i</v>
      </c>
      <c r="T48" s="227" t="str">
        <f t="shared" si="24"/>
        <v>23.9652636259371-0.912234184396658i</v>
      </c>
      <c r="U48" s="227" t="str">
        <f t="shared" si="4"/>
        <v>96.0250212845864-0.451647645455914i</v>
      </c>
      <c r="V48" s="227">
        <f t="shared" si="16"/>
        <v>39.64778431698366</v>
      </c>
      <c r="W48" s="227">
        <f t="shared" si="17"/>
        <v>-0.26948510653289853</v>
      </c>
      <c r="X48" s="227" t="str">
        <f t="shared" si="5"/>
        <v>0.999999994871997-0.0000227697023115569i</v>
      </c>
      <c r="Y48" s="227" t="str">
        <f t="shared" si="6"/>
        <v>42.2484524940516+0.640706421423486i</v>
      </c>
      <c r="Z48" s="227" t="str">
        <f t="shared" si="7"/>
        <v>23.7559173238137+0.359722304660494i</v>
      </c>
      <c r="AA48" s="227" t="str">
        <f t="shared" si="8"/>
        <v>32.7066548414666-0.629129257619819i</v>
      </c>
      <c r="AB48" s="227">
        <f t="shared" si="18"/>
        <v>30.294329169661669</v>
      </c>
      <c r="AC48" s="227">
        <f t="shared" si="19"/>
        <v>-1.1019777657795944</v>
      </c>
      <c r="AD48" s="229">
        <f t="shared" si="20"/>
        <v>13.777595315333848</v>
      </c>
      <c r="AE48" s="229">
        <f t="shared" si="21"/>
        <v>92.460998122920643</v>
      </c>
      <c r="AF48" s="227">
        <f t="shared" si="9"/>
        <v>44.07192448499552</v>
      </c>
      <c r="AG48" s="227">
        <f t="shared" si="10"/>
        <v>91.359020357141048</v>
      </c>
      <c r="AH48" s="229" t="str">
        <f t="shared" si="22"/>
        <v>0.209765889454301-4.88066526926873i</v>
      </c>
    </row>
    <row r="49" spans="1:34" x14ac:dyDescent="0.2">
      <c r="A49" s="227"/>
      <c r="B49" s="235"/>
      <c r="C49" s="236">
        <v>0</v>
      </c>
      <c r="D49" s="229"/>
      <c r="E49" s="227"/>
      <c r="F49" s="235"/>
      <c r="I49" s="227">
        <v>45</v>
      </c>
      <c r="J49" s="227">
        <f t="shared" si="0"/>
        <v>1.438755513705253</v>
      </c>
      <c r="K49" s="227">
        <f t="shared" si="23"/>
        <v>27.46347660061566</v>
      </c>
      <c r="L49" s="227">
        <f t="shared" si="11"/>
        <v>172.55811266105869</v>
      </c>
      <c r="M49" s="227">
        <f t="shared" si="1"/>
        <v>8790.3384633628757</v>
      </c>
      <c r="N49" s="227">
        <f>SQRT((ABS(AC49)-171.5+'Small Signal'!C$59)^2)</f>
        <v>100.37300805907287</v>
      </c>
      <c r="O49" s="227">
        <f t="shared" si="12"/>
        <v>91.367421481537988</v>
      </c>
      <c r="P49" s="227">
        <f t="shared" si="13"/>
        <v>43.87710690676608</v>
      </c>
      <c r="Q49" s="227">
        <f t="shared" si="14"/>
        <v>27.46347660061566</v>
      </c>
      <c r="R49" s="227" t="str">
        <f t="shared" si="2"/>
        <v>0.0945666666666667+0.000811023129506976i</v>
      </c>
      <c r="S49" s="227" t="str">
        <f t="shared" si="3"/>
        <v>0.0085-616.505228776832i</v>
      </c>
      <c r="T49" s="227" t="str">
        <f t="shared" si="24"/>
        <v>23.9636707985477-0.932883880819642i</v>
      </c>
      <c r="U49" s="227" t="str">
        <f t="shared" si="4"/>
        <v>96.0250580638855-0.461902741931141i</v>
      </c>
      <c r="V49" s="227">
        <f t="shared" si="16"/>
        <v>39.647792056187882</v>
      </c>
      <c r="W49" s="227">
        <f t="shared" si="17"/>
        <v>-0.27560382753644286</v>
      </c>
      <c r="X49" s="227" t="str">
        <f t="shared" si="5"/>
        <v>0.999999994636497-0.0000232866746388986i</v>
      </c>
      <c r="Y49" s="227" t="str">
        <f t="shared" si="6"/>
        <v>42.2486182132504+0.655253415667943i</v>
      </c>
      <c r="Z49" s="227" t="str">
        <f t="shared" si="7"/>
        <v>23.7560108772951+0.367889659866555i</v>
      </c>
      <c r="AA49" s="227" t="str">
        <f t="shared" si="8"/>
        <v>32.706124093598-0.643403282882598i</v>
      </c>
      <c r="AB49" s="227">
        <f t="shared" si="18"/>
        <v>30.294261988824807</v>
      </c>
      <c r="AC49" s="227">
        <f t="shared" si="19"/>
        <v>-1.1269919409271376</v>
      </c>
      <c r="AD49" s="229">
        <f t="shared" si="20"/>
        <v>13.582844917941275</v>
      </c>
      <c r="AE49" s="229">
        <f t="shared" si="21"/>
        <v>92.494413422465129</v>
      </c>
      <c r="AF49" s="227">
        <f t="shared" si="9"/>
        <v>43.87710690676608</v>
      </c>
      <c r="AG49" s="227">
        <f t="shared" si="10"/>
        <v>91.367421481537988</v>
      </c>
      <c r="AH49" s="229" t="str">
        <f t="shared" si="22"/>
        <v>0.207898257313144-4.77233084422652i</v>
      </c>
    </row>
    <row r="50" spans="1:34" x14ac:dyDescent="0.2">
      <c r="A50" s="227"/>
      <c r="B50" s="235" t="s">
        <v>177</v>
      </c>
      <c r="C50" s="229">
        <f>D52</f>
        <v>2.1999999999999998E-11</v>
      </c>
      <c r="D50" s="227"/>
      <c r="E50" s="227"/>
      <c r="F50" s="235"/>
      <c r="I50" s="227">
        <v>46</v>
      </c>
      <c r="J50" s="227">
        <f t="shared" si="0"/>
        <v>1.4485056362320363</v>
      </c>
      <c r="K50" s="227">
        <f t="shared" si="23"/>
        <v>28.08701823593649</v>
      </c>
      <c r="L50" s="227">
        <f t="shared" si="11"/>
        <v>176.47594030252125</v>
      </c>
      <c r="M50" s="227">
        <f t="shared" si="1"/>
        <v>8789.7007645916383</v>
      </c>
      <c r="N50" s="227">
        <f>SQRT((ABS(AC50)-171.5+'Small Signal'!C$59)^2)</f>
        <v>100.3474263397309</v>
      </c>
      <c r="O50" s="227">
        <f t="shared" si="12"/>
        <v>91.376508925246412</v>
      </c>
      <c r="P50" s="227">
        <f t="shared" si="13"/>
        <v>43.682296504740108</v>
      </c>
      <c r="Q50" s="227">
        <f t="shared" si="14"/>
        <v>28.08701823593649</v>
      </c>
      <c r="R50" s="227" t="str">
        <f t="shared" si="2"/>
        <v>0.0945666666666667+0.00082943691942185i</v>
      </c>
      <c r="S50" s="227" t="str">
        <f t="shared" si="3"/>
        <v>0.0085-602.818596920571i</v>
      </c>
      <c r="T50" s="227" t="str">
        <f t="shared" si="24"/>
        <v>23.9620050483109-0.953998103476138i</v>
      </c>
      <c r="U50" s="227" t="str">
        <f t="shared" si="4"/>
        <v>96.0250965320787-0.472390723619434i</v>
      </c>
      <c r="V50" s="227">
        <f t="shared" si="16"/>
        <v>39.647800150809836</v>
      </c>
      <c r="W50" s="227">
        <f t="shared" si="17"/>
        <v>-0.28186148604725753</v>
      </c>
      <c r="X50" s="227" t="str">
        <f t="shared" si="5"/>
        <v>0.999999994390183-0.0000238153845104375i</v>
      </c>
      <c r="Y50" s="227" t="str">
        <f t="shared" si="6"/>
        <v>42.2487915434706+0.670130700531587i</v>
      </c>
      <c r="Z50" s="227" t="str">
        <f t="shared" si="7"/>
        <v>23.7561087274266+0.376242455349641i</v>
      </c>
      <c r="AA50" s="227" t="str">
        <f t="shared" si="8"/>
        <v>32.7055689891199-0.658000696680163i</v>
      </c>
      <c r="AB50" s="227">
        <f t="shared" si="18"/>
        <v>30.294191723872714</v>
      </c>
      <c r="AC50" s="227">
        <f t="shared" si="19"/>
        <v>-1.1525736602690928</v>
      </c>
      <c r="AD50" s="229">
        <f t="shared" si="20"/>
        <v>13.388104780867398</v>
      </c>
      <c r="AE50" s="229">
        <f t="shared" si="21"/>
        <v>92.529082585515511</v>
      </c>
      <c r="AF50" s="227">
        <f t="shared" si="9"/>
        <v>43.682296504740108</v>
      </c>
      <c r="AG50" s="227">
        <f t="shared" si="10"/>
        <v>91.376508925246412</v>
      </c>
      <c r="AH50" s="229" t="str">
        <f t="shared" si="22"/>
        <v>0.206112617168346-4.6664004932297i</v>
      </c>
    </row>
    <row r="51" spans="1:34" x14ac:dyDescent="0.2">
      <c r="A51" s="227"/>
      <c r="B51" s="235" t="s">
        <v>178</v>
      </c>
      <c r="C51" s="227">
        <f>D53</f>
        <v>75000</v>
      </c>
      <c r="D51" s="227"/>
      <c r="E51" s="227"/>
      <c r="F51" s="235"/>
      <c r="I51" s="227">
        <v>47</v>
      </c>
      <c r="J51" s="227">
        <f t="shared" si="0"/>
        <v>1.4582557587588199</v>
      </c>
      <c r="K51" s="227">
        <f t="shared" si="23"/>
        <v>28.724717007173975</v>
      </c>
      <c r="L51" s="227">
        <f t="shared" si="11"/>
        <v>180.4827198523671</v>
      </c>
      <c r="M51" s="227">
        <f t="shared" si="1"/>
        <v>8789.0485872552708</v>
      </c>
      <c r="N51" s="227">
        <f>SQRT((ABS(AC51)-171.5+'Small Signal'!C$59)^2)</f>
        <v>100.32126421743308</v>
      </c>
      <c r="O51" s="227">
        <f t="shared" si="12"/>
        <v>91.386287071860991</v>
      </c>
      <c r="P51" s="227">
        <f t="shared" si="13"/>
        <v>43.487493664403807</v>
      </c>
      <c r="Q51" s="227">
        <f t="shared" si="14"/>
        <v>28.724717007173975</v>
      </c>
      <c r="R51" s="227" t="str">
        <f t="shared" si="2"/>
        <v>0.0945666666666667+0.000848268783306125i</v>
      </c>
      <c r="S51" s="227" t="str">
        <f t="shared" si="3"/>
        <v>0.0085-589.435813081853i</v>
      </c>
      <c r="T51" s="227" t="str">
        <f t="shared" si="24"/>
        <v>23.9602630475369-0.975587099755908i</v>
      </c>
      <c r="U51" s="227" t="str">
        <f t="shared" si="4"/>
        <v>96.0251367667111-0.483116881483936i</v>
      </c>
      <c r="V51" s="227">
        <f t="shared" si="16"/>
        <v>39.647808617171847</v>
      </c>
      <c r="W51" s="227">
        <f t="shared" si="17"/>
        <v>-0.28826123764755007</v>
      </c>
      <c r="X51" s="227" t="str">
        <f t="shared" si="5"/>
        <v>0.999999994132556-0.0000243560984200195i</v>
      </c>
      <c r="Y51" s="227" t="str">
        <f t="shared" si="6"/>
        <v>42.2489728342873+0.685345775753388i</v>
      </c>
      <c r="Z51" s="227" t="str">
        <f t="shared" si="7"/>
        <v>23.7562110715535+0.384784901796238i</v>
      </c>
      <c r="AA51" s="227" t="str">
        <f t="shared" si="8"/>
        <v>32.7049884111269-0.672928793001564i</v>
      </c>
      <c r="AB51" s="227">
        <f t="shared" si="18"/>
        <v>30.294118233274805</v>
      </c>
      <c r="AC51" s="227">
        <f t="shared" si="19"/>
        <v>-1.1787357825669296</v>
      </c>
      <c r="AD51" s="229">
        <f t="shared" si="20"/>
        <v>13.193375431129004</v>
      </c>
      <c r="AE51" s="229">
        <f t="shared" si="21"/>
        <v>92.565022854427923</v>
      </c>
      <c r="AF51" s="227">
        <f t="shared" si="9"/>
        <v>43.487493664403807</v>
      </c>
      <c r="AG51" s="227">
        <f t="shared" si="10"/>
        <v>91.386287071860991</v>
      </c>
      <c r="AH51" s="229" t="str">
        <f t="shared" si="22"/>
        <v>0.204405369925951-4.56282091360066i</v>
      </c>
    </row>
    <row r="52" spans="1:34" x14ac:dyDescent="0.2">
      <c r="A52" s="227"/>
      <c r="B52" s="235" t="s">
        <v>179</v>
      </c>
      <c r="C52" s="229">
        <f>1/(2*PI()*Rshss*3*'Small Signal'!C60)</f>
        <v>2.4024641182905933E-11</v>
      </c>
      <c r="D52" s="237">
        <f>IF(C52*10^12&lt;10000,IF((10^(LOG(C52*10^12)-INT(LOG(C52*10^12))))-VLOOKUP((10^(LOG(C52*10^12)-INT(LOG(C52*10^12)))),c_s1:C_f1,1)&lt;VLOOKUP((10^(LOG(C52*10^12)-INT(LOG(C52*10^12)))),c_s1:C_f1,2)-(10^(LOG(C52*10^12)-INT(LOG(C52*10^12)))),VLOOKUP((10^(LOG(C52*10^12)-INT(LOG(C52*10^12)))),c_s1:C_f1,1),VLOOKUP((10^(LOG(C52*10^12)-INT(LOG(C52*10^12)))),c_s1:C_f1,2))*10^INT(LOG(C52*10^12)),IF((10^(LOG(C52*10^12)-INT(LOG(C52*10^12))))-VLOOKUP((10^(LOG(C52*10^12)-INT(LOG(C52*10^12)))),C_s2:C_f2,1)&lt;VLOOKUP((10^(LOG(C52*10^12)-INT(LOG(C52*10^12)))),C_s2:C_f2,2)-(10^(LOG(C52*10^12)-INT(LOG(C52*10^12)))),VLOOKUP((10^(LOG(C52*10^12)-INT(LOG(C52*10^12)))),C_s2:C_f2,1),VLOOKUP((10^(LOG(C52*10^12)-INT(LOG(C52*10^12)))),C_s2:C_f2,2))*10^INT(LOG(C52*10^12)))*10^-12</f>
        <v>2.1999999999999998E-11</v>
      </c>
      <c r="E52" s="227"/>
      <c r="F52" s="235"/>
      <c r="I52" s="227">
        <v>48</v>
      </c>
      <c r="J52" s="227">
        <f t="shared" si="0"/>
        <v>1.4680058812856032</v>
      </c>
      <c r="K52" s="227">
        <f t="shared" si="23"/>
        <v>29.376894343541498</v>
      </c>
      <c r="L52" s="227">
        <f t="shared" si="11"/>
        <v>184.58047090990704</v>
      </c>
      <c r="M52" s="227">
        <f t="shared" si="1"/>
        <v>8788.3816026267032</v>
      </c>
      <c r="N52" s="227">
        <f>SQRT((ABS(AC52)-171.5+'Small Signal'!C$59)^2)</f>
        <v>100.2945085433461</v>
      </c>
      <c r="O52" s="227">
        <f t="shared" si="12"/>
        <v>91.396760639028372</v>
      </c>
      <c r="P52" s="227">
        <f t="shared" si="13"/>
        <v>43.292698786326454</v>
      </c>
      <c r="Q52" s="227">
        <f t="shared" si="14"/>
        <v>29.376894343541498</v>
      </c>
      <c r="R52" s="227" t="str">
        <f t="shared" si="2"/>
        <v>0.0945666666666667+0.000867528213276563i</v>
      </c>
      <c r="S52" s="227" t="str">
        <f t="shared" si="3"/>
        <v>0.0085-576.35013172834i</v>
      </c>
      <c r="T52" s="227" t="str">
        <f t="shared" si="24"/>
        <v>23.9584413177024-0.997661328976814i</v>
      </c>
      <c r="U52" s="227" t="str">
        <f t="shared" si="4"/>
        <v>96.0251788488898-0.494086626855961i</v>
      </c>
      <c r="V52" s="227">
        <f t="shared" si="16"/>
        <v>39.647817472346027</v>
      </c>
      <c r="W52" s="227">
        <f t="shared" si="17"/>
        <v>-0.29480630964106364</v>
      </c>
      <c r="X52" s="227" t="str">
        <f t="shared" si="5"/>
        <v>0.999999993863097-0.0000249090889120723i</v>
      </c>
      <c r="Y52" s="227" t="str">
        <f t="shared" si="6"/>
        <v>42.2491624513364+0.700906311397454i</v>
      </c>
      <c r="Z52" s="227" t="str">
        <f t="shared" si="7"/>
        <v>23.7563181160883+0.393521305520202i</v>
      </c>
      <c r="AA52" s="227" t="str">
        <f t="shared" si="8"/>
        <v>32.7043811915742-0.68819502807742i</v>
      </c>
      <c r="AB52" s="227">
        <f t="shared" si="18"/>
        <v>30.29404136901023</v>
      </c>
      <c r="AC52" s="227">
        <f t="shared" si="19"/>
        <v>-1.2054914566539046</v>
      </c>
      <c r="AD52" s="229">
        <f t="shared" si="20"/>
        <v>12.998657417316222</v>
      </c>
      <c r="AE52" s="229">
        <f t="shared" si="21"/>
        <v>92.602252095682275</v>
      </c>
      <c r="AF52" s="227">
        <f t="shared" si="9"/>
        <v>43.292698786326454</v>
      </c>
      <c r="AG52" s="227">
        <f t="shared" si="10"/>
        <v>91.396760639028372</v>
      </c>
      <c r="AH52" s="229" t="str">
        <f t="shared" si="22"/>
        <v>0.202773074434447-4.46153998162929i</v>
      </c>
    </row>
    <row r="53" spans="1:34" x14ac:dyDescent="0.2">
      <c r="A53" s="227"/>
      <c r="B53" s="235" t="s">
        <v>180</v>
      </c>
      <c r="C53" s="229">
        <f>1/(2*PI()*'Small Signal'!C60*9*Cffss)</f>
        <v>74621.99155296541</v>
      </c>
      <c r="D53" s="238">
        <f>(IF((10^(LOG(C53)-INT(LOG(C53)))*100)-VLOOKUP((10^(LOG(C53)-INT(LOG(C53)))*100),E96_s:E96_f,1)&lt;VLOOKUP((10^(LOG(C53)-INT(LOG(C53)))*100),E96_s:E96_f,2)-(10^(LOG(C53)-INT(LOG(C53)))*100),VLOOKUP((10^(LOG(C53)-INT(LOG(C53)))*100),E96_s:E96_f,1),VLOOKUP((10^(LOG(C53)-INT(LOG(C53)))*100),E96_s:E96_f,2)))*10^INT(LOG(C53))/100</f>
        <v>75000</v>
      </c>
      <c r="E53" s="227"/>
      <c r="F53" s="235"/>
      <c r="I53" s="227">
        <v>49</v>
      </c>
      <c r="J53" s="227">
        <f t="shared" si="0"/>
        <v>1.4777560038123867</v>
      </c>
      <c r="K53" s="227">
        <f t="shared" si="23"/>
        <v>30.04387897210847</v>
      </c>
      <c r="L53" s="227">
        <f t="shared" si="11"/>
        <v>188.77125892823366</v>
      </c>
      <c r="M53" s="227">
        <f t="shared" si="1"/>
        <v>8787.699474515317</v>
      </c>
      <c r="N53" s="227">
        <f>SQRT((ABS(AC53)-171.5+'Small Signal'!C$59)^2)</f>
        <v>100.26714587210969</v>
      </c>
      <c r="O53" s="227">
        <f t="shared" si="12"/>
        <v>91.407934679875254</v>
      </c>
      <c r="P53" s="227">
        <f t="shared" si="13"/>
        <v>43.09791228695218</v>
      </c>
      <c r="Q53" s="227">
        <f t="shared" si="14"/>
        <v>30.04387897210847</v>
      </c>
      <c r="R53" s="227" t="str">
        <f t="shared" si="2"/>
        <v>0.0945666666666667+0.000887224916962698i</v>
      </c>
      <c r="S53" s="227" t="str">
        <f t="shared" si="3"/>
        <v>0.0085-563.554957080878i</v>
      </c>
      <c r="T53" s="227" t="str">
        <f t="shared" si="24"/>
        <v>23.9565362227089-1.02023146576704i</v>
      </c>
      <c r="U53" s="227" t="str">
        <f t="shared" si="4"/>
        <v>96.0252228634405-0.505305494184577i</v>
      </c>
      <c r="V53" s="227">
        <f t="shared" si="16"/>
        <v>39.647826734188108</v>
      </c>
      <c r="W53" s="227">
        <f t="shared" si="17"/>
        <v>-0.30150000268676663</v>
      </c>
      <c r="X53" s="227" t="str">
        <f t="shared" si="5"/>
        <v>0.999999993581265-0.00002547463471898i</v>
      </c>
      <c r="Y53" s="227" t="str">
        <f t="shared" si="6"/>
        <v>42.2493607770481+0.716820151723407i</v>
      </c>
      <c r="Z53" s="227" t="str">
        <f t="shared" si="7"/>
        <v>23.7564300769241+0.402456070635702i</v>
      </c>
      <c r="AA53" s="227" t="str">
        <f t="shared" si="8"/>
        <v>32.703746108945-0.703807023829753i</v>
      </c>
      <c r="AB53" s="227">
        <f t="shared" si="18"/>
        <v>30.293960976271133</v>
      </c>
      <c r="AC53" s="227">
        <f t="shared" si="19"/>
        <v>-1.2328541278903054</v>
      </c>
      <c r="AD53" s="229">
        <f t="shared" si="20"/>
        <v>12.803951310681043</v>
      </c>
      <c r="AE53" s="229">
        <f t="shared" si="21"/>
        <v>92.64078880776556</v>
      </c>
      <c r="AF53" s="227">
        <f t="shared" si="9"/>
        <v>43.09791228695218</v>
      </c>
      <c r="AG53" s="227">
        <f t="shared" si="10"/>
        <v>91.407934679875254</v>
      </c>
      <c r="AH53" s="229" t="str">
        <f t="shared" si="22"/>
        <v>0.201212440557201-4.36250672668583i</v>
      </c>
    </row>
    <row r="54" spans="1:34" x14ac:dyDescent="0.2">
      <c r="A54" s="227"/>
      <c r="B54" s="235" t="s">
        <v>141</v>
      </c>
      <c r="C54" s="229">
        <v>9.9999999999999998E-13</v>
      </c>
      <c r="D54" s="227"/>
      <c r="E54" s="227"/>
      <c r="F54" s="235"/>
      <c r="I54" s="227">
        <v>50</v>
      </c>
      <c r="J54" s="227">
        <f t="shared" si="0"/>
        <v>1.48750612633917</v>
      </c>
      <c r="K54" s="227">
        <f t="shared" si="23"/>
        <v>30.726007083493656</v>
      </c>
      <c r="L54" s="227">
        <f t="shared" si="11"/>
        <v>193.05719625530324</v>
      </c>
      <c r="M54" s="227">
        <f t="shared" si="1"/>
        <v>8787.0018590974905</v>
      </c>
      <c r="N54" s="227">
        <f>SQRT((ABS(AC54)-171.5+'Small Signal'!C$59)^2)</f>
        <v>100.23916245524384</v>
      </c>
      <c r="O54" s="227">
        <f t="shared" si="12"/>
        <v>91.419814584538557</v>
      </c>
      <c r="P54" s="227">
        <f t="shared" si="13"/>
        <v>42.903134599423474</v>
      </c>
      <c r="Q54" s="227">
        <f t="shared" si="14"/>
        <v>30.726007083493656</v>
      </c>
      <c r="R54" s="227" t="str">
        <f t="shared" si="2"/>
        <v>0.0945666666666667+0.000907368822399925i</v>
      </c>
      <c r="S54" s="227" t="str">
        <f t="shared" si="3"/>
        <v>0.0085-551.043839788914i</v>
      </c>
      <c r="T54" s="227" t="str">
        <f t="shared" si="24"/>
        <v>23.9545439618501-1.04330840342632i</v>
      </c>
      <c r="U54" s="227" t="str">
        <f t="shared" si="4"/>
        <v>96.0252688990868-0.516779143849863i</v>
      </c>
      <c r="V54" s="227">
        <f t="shared" si="16"/>
        <v>39.647836421374187</v>
      </c>
      <c r="W54" s="227">
        <f t="shared" si="17"/>
        <v>-0.30834569247000448</v>
      </c>
      <c r="X54" s="227" t="str">
        <f t="shared" si="5"/>
        <v>0.999999993286489-0.000026053020901577i</v>
      </c>
      <c r="Y54" s="227" t="str">
        <f t="shared" si="6"/>
        <v>42.249568211421+0.733095319145062i</v>
      </c>
      <c r="Z54" s="227" t="str">
        <f t="shared" si="7"/>
        <v>23.7565471798721+0.411593701279714i</v>
      </c>
      <c r="AA54" s="227" t="str">
        <f t="shared" si="8"/>
        <v>32.7030818858122-0.719772571383916i</v>
      </c>
      <c r="AB54" s="227">
        <f t="shared" si="18"/>
        <v>30.293876893152344</v>
      </c>
      <c r="AC54" s="227">
        <f t="shared" si="19"/>
        <v>-1.260837544756146</v>
      </c>
      <c r="AD54" s="229">
        <f t="shared" si="20"/>
        <v>12.609257706271128</v>
      </c>
      <c r="AE54" s="229">
        <f t="shared" si="21"/>
        <v>92.6806521292947</v>
      </c>
      <c r="AF54" s="227">
        <f t="shared" si="9"/>
        <v>42.903134599423474</v>
      </c>
      <c r="AG54" s="227">
        <f t="shared" si="10"/>
        <v>91.419814584538557</v>
      </c>
      <c r="AH54" s="229" t="str">
        <f t="shared" si="22"/>
        <v>0.199720322548467-4.26567130589043i</v>
      </c>
    </row>
    <row r="55" spans="1:34" x14ac:dyDescent="0.2">
      <c r="A55" s="227"/>
      <c r="B55" s="235" t="s">
        <v>142</v>
      </c>
      <c r="C55" s="239">
        <v>1000000</v>
      </c>
      <c r="D55" s="227"/>
      <c r="E55" s="227"/>
      <c r="F55" s="235"/>
      <c r="I55" s="227">
        <v>51</v>
      </c>
      <c r="J55" s="227">
        <f t="shared" si="0"/>
        <v>1.4972562488659533</v>
      </c>
      <c r="K55" s="227">
        <f t="shared" si="23"/>
        <v>31.423622501320672</v>
      </c>
      <c r="L55" s="227">
        <f t="shared" si="11"/>
        <v>197.44044319865588</v>
      </c>
      <c r="M55" s="227">
        <f t="shared" si="1"/>
        <v>8786.2884047432908</v>
      </c>
      <c r="N55" s="227">
        <f>SQRT((ABS(AC55)-171.5+'Small Signal'!C$59)^2)</f>
        <v>100.21054423441615</v>
      </c>
      <c r="O55" s="227">
        <f t="shared" si="12"/>
        <v>91.432406081793218</v>
      </c>
      <c r="P55" s="227">
        <f t="shared" si="13"/>
        <v>42.708366174435369</v>
      </c>
      <c r="Q55" s="227">
        <f t="shared" si="14"/>
        <v>31.423622501320672</v>
      </c>
      <c r="R55" s="227" t="str">
        <f t="shared" si="2"/>
        <v>0.0945666666666667+0.000927970083033683i</v>
      </c>
      <c r="S55" s="227" t="str">
        <f t="shared" si="3"/>
        <v>0.0085-538.810473679732i</v>
      </c>
      <c r="T55" s="227" t="str">
        <f t="shared" si="24"/>
        <v>23.952460562474-1.06690325725897i</v>
      </c>
      <c r="U55" s="227" t="str">
        <f t="shared" si="4"/>
        <v>96.0253170486229-0.528513365041184i</v>
      </c>
      <c r="V55" s="227">
        <f t="shared" si="16"/>
        <v>39.647846553437908</v>
      </c>
      <c r="W55" s="227">
        <f t="shared" si="17"/>
        <v>-0.31534683141197123</v>
      </c>
      <c r="X55" s="227" t="str">
        <f t="shared" si="5"/>
        <v>0.999999992978176-0.0000266445389928318i</v>
      </c>
      <c r="Y55" s="227" t="str">
        <f t="shared" si="6"/>
        <v>42.2497851728294+0.749740018279123i</v>
      </c>
      <c r="Z55" s="227" t="str">
        <f t="shared" si="7"/>
        <v>23.7566696611169+0.420938803885072i</v>
      </c>
      <c r="AA55" s="227" t="str">
        <f t="shared" si="8"/>
        <v>32.7023871862857-0.736099634642845i</v>
      </c>
      <c r="AB55" s="227">
        <f t="shared" si="18"/>
        <v>30.29378895032589</v>
      </c>
      <c r="AC55" s="227">
        <f t="shared" si="19"/>
        <v>-1.2894557655838643</v>
      </c>
      <c r="AD55" s="229">
        <f t="shared" si="20"/>
        <v>12.414577224109483</v>
      </c>
      <c r="AE55" s="229">
        <f t="shared" si="21"/>
        <v>92.721861847377085</v>
      </c>
      <c r="AF55" s="227">
        <f t="shared" si="9"/>
        <v>42.708366174435369</v>
      </c>
      <c r="AG55" s="227">
        <f t="shared" si="10"/>
        <v>91.432406081793218</v>
      </c>
      <c r="AH55" s="229" t="str">
        <f t="shared" si="22"/>
        <v>0.198293712719652-4.17098497932743i</v>
      </c>
    </row>
    <row r="56" spans="1:34" x14ac:dyDescent="0.2">
      <c r="A56" s="227"/>
      <c r="B56" s="235" t="s">
        <v>146</v>
      </c>
      <c r="C56" s="227">
        <v>1</v>
      </c>
      <c r="D56" s="227"/>
      <c r="E56" s="227"/>
      <c r="F56" s="235"/>
      <c r="I56" s="227">
        <v>52</v>
      </c>
      <c r="J56" s="227">
        <f t="shared" si="0"/>
        <v>1.5070063713927369</v>
      </c>
      <c r="K56" s="227">
        <f t="shared" si="23"/>
        <v>32.13707685552064</v>
      </c>
      <c r="L56" s="227">
        <f t="shared" si="11"/>
        <v>201.92320911430843</v>
      </c>
      <c r="M56" s="227">
        <f t="shared" si="1"/>
        <v>8785.5587518392422</v>
      </c>
      <c r="N56" s="227">
        <f>SQRT((ABS(AC56)-171.5+'Small Signal'!C$59)^2)</f>
        <v>100.18127683456666</v>
      </c>
      <c r="O56" s="227">
        <f t="shared" si="12"/>
        <v>91.445715240774547</v>
      </c>
      <c r="P56" s="227">
        <f t="shared" si="13"/>
        <v>42.513607481124481</v>
      </c>
      <c r="Q56" s="227">
        <f t="shared" si="14"/>
        <v>32.13707685552064</v>
      </c>
      <c r="R56" s="227" t="str">
        <f t="shared" si="2"/>
        <v>0.0945666666666667+0.00094903908283725i</v>
      </c>
      <c r="S56" s="227" t="str">
        <f t="shared" si="3"/>
        <v>0.0085-526.848692579866i</v>
      </c>
      <c r="T56" s="227" t="str">
        <f t="shared" si="24"/>
        <v>23.950281872328-1.09102736787119i</v>
      </c>
      <c r="U56" s="227" t="str">
        <f t="shared" si="4"/>
        <v>96.0253674091031-0.540514078702256i</v>
      </c>
      <c r="V56" s="227">
        <f t="shared" si="16"/>
        <v>39.647857150810026</v>
      </c>
      <c r="W56" s="227">
        <f t="shared" si="17"/>
        <v>-0.32250695041845368</v>
      </c>
      <c r="X56" s="227" t="str">
        <f t="shared" si="5"/>
        <v>0.999999992655703-0.0000272494871447926i</v>
      </c>
      <c r="Y56" s="227" t="str">
        <f t="shared" si="6"/>
        <v>42.250012098867+0.766762640085994i</v>
      </c>
      <c r="Z56" s="227" t="str">
        <f t="shared" si="7"/>
        <v>23.7567977676931+0.430496089505216i</v>
      </c>
      <c r="AA56" s="227" t="str">
        <f t="shared" si="8"/>
        <v>32.7016606133485-0.75279635392392i</v>
      </c>
      <c r="AB56" s="227">
        <f t="shared" si="18"/>
        <v>30.293696970701816</v>
      </c>
      <c r="AC56" s="227">
        <f t="shared" si="19"/>
        <v>-1.3187231654333311</v>
      </c>
      <c r="AD56" s="229">
        <f t="shared" si="20"/>
        <v>12.219910510422668</v>
      </c>
      <c r="AE56" s="229">
        <f t="shared" si="21"/>
        <v>92.764438406207873</v>
      </c>
      <c r="AF56" s="227">
        <f t="shared" si="9"/>
        <v>42.513607481124481</v>
      </c>
      <c r="AG56" s="227">
        <f t="shared" si="10"/>
        <v>91.445715240774547</v>
      </c>
      <c r="AH56" s="229" t="str">
        <f t="shared" si="22"/>
        <v>0.196929735383157-4.07840008579366i</v>
      </c>
    </row>
    <row r="57" spans="1:34" x14ac:dyDescent="0.2">
      <c r="A57" s="227"/>
      <c r="B57" s="235" t="s">
        <v>147</v>
      </c>
      <c r="C57" s="227">
        <v>20</v>
      </c>
      <c r="D57" s="227"/>
      <c r="E57" s="227"/>
      <c r="F57" s="235"/>
      <c r="I57" s="227">
        <v>53</v>
      </c>
      <c r="J57" s="227">
        <f t="shared" si="0"/>
        <v>1.5167564939195202</v>
      </c>
      <c r="K57" s="227">
        <f t="shared" si="23"/>
        <v>32.866729759569694</v>
      </c>
      <c r="L57" s="227">
        <f t="shared" si="11"/>
        <v>206.50775352037036</v>
      </c>
      <c r="M57" s="227">
        <f t="shared" si="1"/>
        <v>8784.8125326070603</v>
      </c>
      <c r="N57" s="227">
        <f>SQRT((ABS(AC57)-171.5+'Small Signal'!C$59)^2)</f>
        <v>100.15134555688789</v>
      </c>
      <c r="O57" s="227">
        <f t="shared" si="12"/>
        <v>91.459748472789698</v>
      </c>
      <c r="P57" s="227">
        <f t="shared" si="13"/>
        <v>42.31885900799238</v>
      </c>
      <c r="Q57" s="227">
        <f t="shared" si="14"/>
        <v>32.866729759569694</v>
      </c>
      <c r="R57" s="227" t="str">
        <f t="shared" si="2"/>
        <v>0.0945666666666667+0.000970586441545741i</v>
      </c>
      <c r="S57" s="227" t="str">
        <f t="shared" si="3"/>
        <v>0.0085-515.152467207051i</v>
      </c>
      <c r="T57" s="227" t="str">
        <f t="shared" si="24"/>
        <v>23.9480035515776-1.11569230442421i</v>
      </c>
      <c r="U57" s="227" t="str">
        <f t="shared" si="4"/>
        <v>96.0254200820364-0.552787340544394i</v>
      </c>
      <c r="V57" s="227">
        <f t="shared" si="16"/>
        <v>39.647868234859573</v>
      </c>
      <c r="W57" s="227">
        <f t="shared" si="17"/>
        <v>-0.32982966066867542</v>
      </c>
      <c r="X57" s="227" t="str">
        <f t="shared" si="5"/>
        <v>0.999999992318422-0.0000278681702788696i</v>
      </c>
      <c r="Y57" s="227" t="str">
        <f t="shared" si="6"/>
        <v>42.2502494472311+0.784171766105114i</v>
      </c>
      <c r="Z57" s="227" t="str">
        <f t="shared" si="7"/>
        <v>23.7569317579845+0.440270376192008i</v>
      </c>
      <c r="AA57" s="227" t="str">
        <f t="shared" si="8"/>
        <v>32.7009007060686-0.769871049658648i</v>
      </c>
      <c r="AB57" s="227">
        <f t="shared" si="18"/>
        <v>30.293600769072604</v>
      </c>
      <c r="AC57" s="227">
        <f t="shared" si="19"/>
        <v>-1.3486544431121195</v>
      </c>
      <c r="AD57" s="229">
        <f t="shared" si="20"/>
        <v>12.025258238919774</v>
      </c>
      <c r="AE57" s="229">
        <f t="shared" si="21"/>
        <v>92.808402915901823</v>
      </c>
      <c r="AF57" s="227">
        <f t="shared" si="9"/>
        <v>42.31885900799238</v>
      </c>
      <c r="AG57" s="227">
        <f t="shared" si="10"/>
        <v>91.459748472789698</v>
      </c>
      <c r="AH57" s="229" t="str">
        <f t="shared" si="22"/>
        <v>0.195625641061638-3.98787001906991i</v>
      </c>
    </row>
    <row r="58" spans="1:34" x14ac:dyDescent="0.2">
      <c r="A58" s="227"/>
      <c r="B58" s="235" t="s">
        <v>181</v>
      </c>
      <c r="C58" s="227">
        <f>10^(80/20)</f>
        <v>10000</v>
      </c>
      <c r="D58" s="227"/>
      <c r="E58" s="227"/>
      <c r="F58" s="235"/>
      <c r="I58" s="227">
        <v>54</v>
      </c>
      <c r="J58" s="227">
        <f t="shared" si="0"/>
        <v>1.5265066164463037</v>
      </c>
      <c r="K58" s="227">
        <f t="shared" si="23"/>
        <v>33.612948991750621</v>
      </c>
      <c r="L58" s="227">
        <f t="shared" si="11"/>
        <v>211.1963872359444</v>
      </c>
      <c r="M58" s="227">
        <f t="shared" si="1"/>
        <v>8784.0493709182811</v>
      </c>
      <c r="N58" s="227">
        <f>SQRT((ABS(AC58)-171.5+'Small Signal'!C$59)^2)</f>
        <v>100.12073537165693</v>
      </c>
      <c r="O58" s="227">
        <f t="shared" si="12"/>
        <v>91.474512533214806</v>
      </c>
      <c r="P58" s="227">
        <f t="shared" si="13"/>
        <v>42.124121263866812</v>
      </c>
      <c r="Q58" s="227">
        <f t="shared" si="14"/>
        <v>33.612948991750621</v>
      </c>
      <c r="R58" s="227" t="str">
        <f t="shared" si="2"/>
        <v>0.0945666666666667+0.000992623020008939i</v>
      </c>
      <c r="S58" s="227" t="str">
        <f t="shared" si="3"/>
        <v>0.0085-503.715902131201i</v>
      </c>
      <c r="T58" s="227" t="str">
        <f t="shared" si="24"/>
        <v>23.9456210644809-1.14090986783439i</v>
      </c>
      <c r="U58" s="227" t="str">
        <f t="shared" si="4"/>
        <v>96.0254751735899-0.56533934412977i</v>
      </c>
      <c r="V58" s="227">
        <f t="shared" si="16"/>
        <v>39.647879827936826</v>
      </c>
      <c r="W58" s="227">
        <f t="shared" si="17"/>
        <v>-0.33731865544528195</v>
      </c>
      <c r="X58" s="227" t="str">
        <f t="shared" si="5"/>
        <v>0.999999991965651-0.0000285009002395293i</v>
      </c>
      <c r="Y58" s="227" t="str">
        <f t="shared" si="6"/>
        <v>42.2504976966445+0.801976172786519i</v>
      </c>
      <c r="Z58" s="227" t="str">
        <f t="shared" si="7"/>
        <v>23.7570719022441+0.450266591427568i</v>
      </c>
      <c r="AA58" s="227" t="str">
        <f t="shared" si="8"/>
        <v>32.7001059366885-0.787332226155106i</v>
      </c>
      <c r="AB58" s="227">
        <f t="shared" si="18"/>
        <v>30.293500151742343</v>
      </c>
      <c r="AC58" s="227">
        <f t="shared" si="19"/>
        <v>-1.3792646283430647</v>
      </c>
      <c r="AD58" s="229">
        <f t="shared" si="20"/>
        <v>11.830621112124467</v>
      </c>
      <c r="AE58" s="229">
        <f t="shared" si="21"/>
        <v>92.853777161557872</v>
      </c>
      <c r="AF58" s="227">
        <f t="shared" si="9"/>
        <v>42.124121263866812</v>
      </c>
      <c r="AG58" s="227">
        <f t="shared" si="10"/>
        <v>91.474512533214806</v>
      </c>
      <c r="AH58" s="229" t="str">
        <f t="shared" si="22"/>
        <v>0.19437880095109-3.89934920470492i</v>
      </c>
    </row>
    <row r="59" spans="1:34" x14ac:dyDescent="0.2">
      <c r="A59" s="227"/>
      <c r="B59" s="240" t="s">
        <v>168</v>
      </c>
      <c r="C59" s="241">
        <v>70</v>
      </c>
      <c r="D59" s="227"/>
      <c r="E59" s="227"/>
      <c r="F59" s="235"/>
      <c r="I59" s="227">
        <v>55</v>
      </c>
      <c r="J59" s="227">
        <f t="shared" si="0"/>
        <v>1.536256738973087</v>
      </c>
      <c r="K59" s="227">
        <f t="shared" si="23"/>
        <v>34.376110680529727</v>
      </c>
      <c r="L59" s="227">
        <f t="shared" si="11"/>
        <v>215.99147354588362</v>
      </c>
      <c r="M59" s="227">
        <f t="shared" si="1"/>
        <v>8783.2688821046686</v>
      </c>
      <c r="N59" s="227">
        <f>SQRT((ABS(AC59)-171.5+'Small Signal'!C$59)^2)</f>
        <v>100.08943091091808</v>
      </c>
      <c r="O59" s="227">
        <f t="shared" si="12"/>
        <v>91.490014523471999</v>
      </c>
      <c r="P59" s="227">
        <f t="shared" si="13"/>
        <v>41.929394778901049</v>
      </c>
      <c r="Q59" s="227">
        <f t="shared" si="14"/>
        <v>34.376110680529727</v>
      </c>
      <c r="R59" s="227" t="str">
        <f t="shared" si="2"/>
        <v>0.0945666666666667+0.00101515992566565i</v>
      </c>
      <c r="S59" s="227" t="str">
        <f t="shared" si="3"/>
        <v>0.0085-492.533232802844i</v>
      </c>
      <c r="T59" s="227" t="str">
        <f t="shared" si="24"/>
        <v>23.9431296707083-1.16669209391038i</v>
      </c>
      <c r="U59" s="227" t="str">
        <f t="shared" si="4"/>
        <v>96.0255327948058-0.578176424026322i</v>
      </c>
      <c r="V59" s="227">
        <f t="shared" si="16"/>
        <v>39.647891953418721</v>
      </c>
      <c r="W59" s="227">
        <f t="shared" si="17"/>
        <v>-0.34497771200638444</v>
      </c>
      <c r="X59" s="227" t="str">
        <f t="shared" si="5"/>
        <v>0.999999991596679-0.0000291479959514783i</v>
      </c>
      <c r="Y59" s="227" t="str">
        <f t="shared" si="6"/>
        <v>42.2507573478238+0.820184835921219i</v>
      </c>
      <c r="Z59" s="227" t="str">
        <f t="shared" si="7"/>
        <v>23.7572184831413+0.46048977461158i</v>
      </c>
      <c r="AA59" s="227" t="str">
        <f t="shared" si="8"/>
        <v>32.6992747075804-0.805188575423117i</v>
      </c>
      <c r="AB59" s="227">
        <f t="shared" si="18"/>
        <v>30.29339491613824</v>
      </c>
      <c r="AC59" s="227">
        <f t="shared" si="19"/>
        <v>-1.4105690890819189</v>
      </c>
      <c r="AD59" s="229">
        <f t="shared" si="20"/>
        <v>11.635999862762809</v>
      </c>
      <c r="AE59" s="229">
        <f t="shared" si="21"/>
        <v>92.900583612553916</v>
      </c>
      <c r="AF59" s="227">
        <f t="shared" si="9"/>
        <v>41.929394778901049</v>
      </c>
      <c r="AG59" s="227">
        <f t="shared" si="10"/>
        <v>91.490014523471999</v>
      </c>
      <c r="AH59" s="229" t="str">
        <f t="shared" si="22"/>
        <v>0.193186701626635-3.81279307730154i</v>
      </c>
    </row>
    <row r="60" spans="1:34" x14ac:dyDescent="0.2">
      <c r="A60" s="227"/>
      <c r="B60" s="240" t="s">
        <v>19</v>
      </c>
      <c r="C60" s="242">
        <f>VLOOKUP(MIN('Small Signal'!N4:N504),'Small Signal'!N4:'Small Signal'!Q504,4,FALSE)</f>
        <v>10771.795648578058</v>
      </c>
      <c r="D60" s="227"/>
      <c r="E60" s="227"/>
      <c r="F60" s="235"/>
      <c r="I60" s="227">
        <v>56</v>
      </c>
      <c r="J60" s="227">
        <f t="shared" si="0"/>
        <v>1.5460068614998703</v>
      </c>
      <c r="K60" s="227">
        <f t="shared" si="23"/>
        <v>35.156599494142888</v>
      </c>
      <c r="L60" s="227">
        <f t="shared" si="11"/>
        <v>220.89542939199586</v>
      </c>
      <c r="M60" s="227">
        <f t="shared" si="1"/>
        <v>8782.4706727643261</v>
      </c>
      <c r="N60" s="227">
        <f>SQRT((ABS(AC60)-171.5+'Small Signal'!C$59)^2)</f>
        <v>100.05741646101239</v>
      </c>
      <c r="O60" s="227">
        <f t="shared" si="12"/>
        <v>91.506261893081501</v>
      </c>
      <c r="P60" s="227">
        <f t="shared" si="13"/>
        <v>41.734680105614032</v>
      </c>
      <c r="Q60" s="227">
        <f t="shared" si="14"/>
        <v>35.156599494142888</v>
      </c>
      <c r="R60" s="227" t="str">
        <f t="shared" si="2"/>
        <v>0.0945666666666667+0.00103820851814238i</v>
      </c>
      <c r="S60" s="227" t="str">
        <f t="shared" si="3"/>
        <v>0.0085-481.598822647523i</v>
      </c>
      <c r="T60" s="227" t="str">
        <f t="shared" si="24"/>
        <v>23.9405244162928-1.19305125641698i</v>
      </c>
      <c r="U60" s="227" t="str">
        <f t="shared" si="4"/>
        <v>96.0255930618206-0.591305059035971i</v>
      </c>
      <c r="V60" s="227">
        <f t="shared" si="16"/>
        <v>39.647904635755552</v>
      </c>
      <c r="W60" s="227">
        <f t="shared" si="17"/>
        <v>-0.35281069350064609</v>
      </c>
      <c r="X60" s="227" t="str">
        <f t="shared" si="5"/>
        <v>0.999999991210763-0.0000298097835804161i</v>
      </c>
      <c r="Y60" s="227" t="str">
        <f t="shared" si="6"/>
        <v>42.2510289244894+0.838806935172462i</v>
      </c>
      <c r="Z60" s="227" t="str">
        <f t="shared" si="7"/>
        <v>23.7573717963317+0.470945079605239i</v>
      </c>
      <c r="AA60" s="227" t="str">
        <f t="shared" si="8"/>
        <v>32.6984053480638-0.823448981062072i</v>
      </c>
      <c r="AB60" s="227">
        <f t="shared" si="18"/>
        <v>30.293284850404504</v>
      </c>
      <c r="AC60" s="227">
        <f t="shared" si="19"/>
        <v>-1.4425835389876109</v>
      </c>
      <c r="AD60" s="229">
        <f t="shared" si="20"/>
        <v>11.441395255209525</v>
      </c>
      <c r="AE60" s="229">
        <f t="shared" si="21"/>
        <v>92.948845432069106</v>
      </c>
      <c r="AF60" s="227">
        <f t="shared" si="9"/>
        <v>41.734680105614032</v>
      </c>
      <c r="AG60" s="227">
        <f t="shared" si="10"/>
        <v>91.506261893081501</v>
      </c>
      <c r="AH60" s="229" t="str">
        <f t="shared" si="22"/>
        <v>0.192046939980412-3.72815805829482i</v>
      </c>
    </row>
    <row r="61" spans="1:34" x14ac:dyDescent="0.2">
      <c r="A61" s="227"/>
      <c r="B61" s="235"/>
      <c r="C61" s="227"/>
      <c r="D61" s="227"/>
      <c r="E61" s="227"/>
      <c r="F61" s="235"/>
      <c r="I61" s="227">
        <v>57</v>
      </c>
      <c r="J61" s="227">
        <f t="shared" si="0"/>
        <v>1.5557569840266536</v>
      </c>
      <c r="K61" s="227">
        <f t="shared" si="23"/>
        <v>35.954808834485682</v>
      </c>
      <c r="L61" s="227">
        <f t="shared" si="11"/>
        <v>225.91072659129122</v>
      </c>
      <c r="M61" s="227">
        <f t="shared" si="1"/>
        <v>8781.6543405634056</v>
      </c>
      <c r="N61" s="227">
        <f>SQRT((ABS(AC61)-171.5+'Small Signal'!C$59)^2)</f>
        <v>100.02467595495241</v>
      </c>
      <c r="O61" s="227">
        <f t="shared" si="12"/>
        <v>91.523262441782862</v>
      </c>
      <c r="P61" s="227">
        <f t="shared" si="13"/>
        <v>41.539977819972719</v>
      </c>
      <c r="Q61" s="227">
        <f t="shared" si="14"/>
        <v>35.954808834485682</v>
      </c>
      <c r="R61" s="227" t="str">
        <f t="shared" si="2"/>
        <v>0.0945666666666667+0.00106178041497907i</v>
      </c>
      <c r="S61" s="227" t="str">
        <f t="shared" si="3"/>
        <v>0.0085-470.907160224702i</v>
      </c>
      <c r="T61" s="227" t="str">
        <f t="shared" si="24"/>
        <v>23.937800124198-1.21999987005437i</v>
      </c>
      <c r="U61" s="227" t="str">
        <f t="shared" si="4"/>
        <v>96.0256560961023-0.604731875498061i</v>
      </c>
      <c r="V61" s="227">
        <f t="shared" si="16"/>
        <v>39.647917900520611</v>
      </c>
      <c r="W61" s="227">
        <f t="shared" si="17"/>
        <v>-0.3608215509264478</v>
      </c>
      <c r="X61" s="227" t="str">
        <f t="shared" si="5"/>
        <v>0.999999990807123-0.000030486596697437i</v>
      </c>
      <c r="Y61" s="227" t="str">
        <f t="shared" si="6"/>
        <v>42.2513129744224+0.857851858710282i</v>
      </c>
      <c r="Z61" s="227" t="str">
        <f t="shared" si="7"/>
        <v>23.7575321510539+0.481637777333167i</v>
      </c>
      <c r="AA61" s="227" t="str">
        <f t="shared" si="8"/>
        <v>32.6974961110819-0.842122522211177i</v>
      </c>
      <c r="AB61" s="227">
        <f t="shared" si="18"/>
        <v>30.293169732978249</v>
      </c>
      <c r="AC61" s="227">
        <f t="shared" si="19"/>
        <v>-1.4753240450475895</v>
      </c>
      <c r="AD61" s="229">
        <f t="shared" si="20"/>
        <v>11.24680808699447</v>
      </c>
      <c r="AE61" s="229">
        <f t="shared" si="21"/>
        <v>92.998586486830447</v>
      </c>
      <c r="AF61" s="227">
        <f t="shared" si="9"/>
        <v>41.539977819972719</v>
      </c>
      <c r="AG61" s="227">
        <f t="shared" si="10"/>
        <v>91.523262441782862</v>
      </c>
      <c r="AH61" s="229" t="str">
        <f t="shared" si="22"/>
        <v>0.190957218381371-3.64540153421152i</v>
      </c>
    </row>
    <row r="62" spans="1:34" x14ac:dyDescent="0.2">
      <c r="A62" s="227"/>
      <c r="B62" s="235"/>
      <c r="C62" s="227"/>
      <c r="D62" s="227"/>
      <c r="E62" s="227"/>
      <c r="F62" s="235"/>
      <c r="I62" s="227">
        <v>58</v>
      </c>
      <c r="J62" s="227">
        <f t="shared" si="0"/>
        <v>1.5655071065534372</v>
      </c>
      <c r="K62" s="227">
        <f t="shared" si="23"/>
        <v>36.771141035405968</v>
      </c>
      <c r="L62" s="227">
        <f t="shared" si="11"/>
        <v>231.03989308189114</v>
      </c>
      <c r="M62" s="227">
        <f t="shared" si="1"/>
        <v>8780.8194740333129</v>
      </c>
      <c r="N62" s="227">
        <f>SQRT((ABS(AC62)-171.5+'Small Signal'!C$59)^2)</f>
        <v>99.991192964639367</v>
      </c>
      <c r="O62" s="227">
        <f t="shared" si="12"/>
        <v>91.541024321719448</v>
      </c>
      <c r="P62" s="227">
        <f t="shared" si="13"/>
        <v>41.3452885225188</v>
      </c>
      <c r="Q62" s="227">
        <f t="shared" si="14"/>
        <v>36.771141035405968</v>
      </c>
      <c r="R62" s="227" t="str">
        <f t="shared" si="2"/>
        <v>0.0945666666666667+0.00108588749748489i</v>
      </c>
      <c r="S62" s="227" t="str">
        <f t="shared" si="3"/>
        <v>0.0085-460.452856449761i</v>
      </c>
      <c r="T62" s="227" t="str">
        <f t="shared" si="24"/>
        <v>23.9349513844871-1.24755069334038i</v>
      </c>
      <c r="U62" s="227" t="str">
        <f t="shared" si="4"/>
        <v>96.0257220246927-0.618463650669742i</v>
      </c>
      <c r="V62" s="227">
        <f t="shared" si="16"/>
        <v>39.647931774461547</v>
      </c>
      <c r="W62" s="227">
        <f t="shared" si="17"/>
        <v>-0.36901432513615479</v>
      </c>
      <c r="X62" s="227" t="str">
        <f t="shared" si="5"/>
        <v>0.999999990384947-0.0000311787764471654i</v>
      </c>
      <c r="Y62" s="227" t="str">
        <f t="shared" si="6"/>
        <v>42.2516100705719+0.877329207951603i</v>
      </c>
      <c r="Z62" s="227" t="str">
        <f t="shared" si="7"/>
        <v>23.7576998707545+0.492573258444596i</v>
      </c>
      <c r="AA62" s="227" t="str">
        <f t="shared" si="8"/>
        <v>32.696545169725-0.861218477561554i</v>
      </c>
      <c r="AB62" s="227">
        <f t="shared" si="18"/>
        <v>30.293049332145387</v>
      </c>
      <c r="AC62" s="227">
        <f t="shared" si="19"/>
        <v>-1.5088070353606353</v>
      </c>
      <c r="AD62" s="229">
        <f t="shared" si="20"/>
        <v>11.052239190373413</v>
      </c>
      <c r="AE62" s="229">
        <f t="shared" si="21"/>
        <v>93.04983135708008</v>
      </c>
      <c r="AF62" s="227">
        <f t="shared" si="9"/>
        <v>41.3452885225188</v>
      </c>
      <c r="AG62" s="227">
        <f t="shared" si="10"/>
        <v>91.541024321719448</v>
      </c>
      <c r="AH62" s="229" t="str">
        <f t="shared" si="22"/>
        <v>0.189915340047301-3.5644818354017i</v>
      </c>
    </row>
    <row r="63" spans="1:34" x14ac:dyDescent="0.2">
      <c r="I63" s="227">
        <v>59</v>
      </c>
      <c r="J63" s="227">
        <f t="shared" si="0"/>
        <v>1.5752572290802207</v>
      </c>
      <c r="K63" s="227">
        <f t="shared" si="23"/>
        <v>37.606007565498388</v>
      </c>
      <c r="L63" s="227">
        <f t="shared" si="11"/>
        <v>236.28551419722382</v>
      </c>
      <c r="M63" s="227">
        <f t="shared" si="1"/>
        <v>8779.9656523633075</v>
      </c>
      <c r="N63" s="227">
        <f>SQRT((ABS(AC63)-171.5+'Small Signal'!C$59)^2)</f>
        <v>99.956950692920003</v>
      </c>
      <c r="O63" s="227">
        <f t="shared" si="12"/>
        <v>91.55955603967935</v>
      </c>
      <c r="P63" s="227">
        <f t="shared" si="13"/>
        <v>41.150612839542354</v>
      </c>
      <c r="Q63" s="227">
        <f t="shared" si="14"/>
        <v>37.606007565498388</v>
      </c>
      <c r="R63" s="227" t="str">
        <f t="shared" si="2"/>
        <v>0.0945666666666667+0.00111054191672695i</v>
      </c>
      <c r="S63" s="227" t="str">
        <f t="shared" si="3"/>
        <v>0.0085-450.230641877641i</v>
      </c>
      <c r="T63" s="227" t="str">
        <f t="shared" si="24"/>
        <v>23.9319725440773-1.2757167313827i</v>
      </c>
      <c r="U63" s="227" t="str">
        <f t="shared" si="4"/>
        <v>96.0257909804652-0.632507316185348i</v>
      </c>
      <c r="V63" s="227">
        <f t="shared" si="16"/>
        <v>39.647946285554518</v>
      </c>
      <c r="W63" s="227">
        <f t="shared" si="17"/>
        <v>-0.37739314888661218</v>
      </c>
      <c r="X63" s="227" t="str">
        <f t="shared" si="5"/>
        <v>0.999999989943383-0.0000318866717197083i</v>
      </c>
      <c r="Y63" s="227" t="str">
        <f t="shared" si="6"/>
        <v>42.2519208122099+0.897248802408468i</v>
      </c>
      <c r="Z63" s="227" t="str">
        <f t="shared" si="7"/>
        <v>23.7578752937402+0.50375703603524i</v>
      </c>
      <c r="AA63" s="227" t="str">
        <f t="shared" si="8"/>
        <v>32.6955506136012-0.880746329430056i</v>
      </c>
      <c r="AB63" s="227">
        <f t="shared" si="18"/>
        <v>30.292923405577234</v>
      </c>
      <c r="AC63" s="227">
        <f t="shared" si="19"/>
        <v>-1.5430493070799867</v>
      </c>
      <c r="AD63" s="229">
        <f t="shared" si="20"/>
        <v>10.857689433965119</v>
      </c>
      <c r="AE63" s="229">
        <f t="shared" si="21"/>
        <v>93.102605346759333</v>
      </c>
      <c r="AF63" s="227">
        <f t="shared" si="9"/>
        <v>41.150612839542354</v>
      </c>
      <c r="AG63" s="227">
        <f t="shared" si="10"/>
        <v>91.55955603967935</v>
      </c>
      <c r="AH63" s="229" t="str">
        <f t="shared" si="22"/>
        <v>0.188919204619773-3.48535821523223i</v>
      </c>
    </row>
    <row r="64" spans="1:34" x14ac:dyDescent="0.2">
      <c r="I64" s="227">
        <v>60</v>
      </c>
      <c r="J64" s="227">
        <f t="shared" si="0"/>
        <v>1.585007351607004</v>
      </c>
      <c r="K64" s="227">
        <f t="shared" si="23"/>
        <v>38.459829235503271</v>
      </c>
      <c r="L64" s="227">
        <f t="shared" si="11"/>
        <v>241.65023396915007</v>
      </c>
      <c r="M64" s="227">
        <f t="shared" si="1"/>
        <v>8779.0924451883966</v>
      </c>
      <c r="N64" s="227">
        <f>SQRT((ABS(AC64)-171.5+'Small Signal'!C$59)^2)</f>
        <v>99.921931965481093</v>
      </c>
      <c r="O64" s="227">
        <f t="shared" si="12"/>
        <v>91.578866459385821</v>
      </c>
      <c r="P64" s="227">
        <f t="shared" si="13"/>
        <v>40.955951424302896</v>
      </c>
      <c r="Q64" s="227">
        <f t="shared" si="14"/>
        <v>38.459829235503271</v>
      </c>
      <c r="R64" s="227" t="str">
        <f t="shared" si="2"/>
        <v>0.0945666666666667+0.00113575609965501i</v>
      </c>
      <c r="S64" s="227" t="str">
        <f t="shared" si="3"/>
        <v>0.0085-440.235364046805i</v>
      </c>
      <c r="T64" s="227" t="str">
        <f t="shared" si="24"/>
        <v>23.928857696069-1.30451123852698i</v>
      </c>
      <c r="U64" s="227" t="str">
        <f t="shared" si="4"/>
        <v>96.0258631023889-0.646869961596446i</v>
      </c>
      <c r="V64" s="227">
        <f t="shared" si="16"/>
        <v>39.647961463060277</v>
      </c>
      <c r="W64" s="227">
        <f t="shared" si="17"/>
        <v>-0.385962248936847</v>
      </c>
      <c r="X64" s="227" t="str">
        <f t="shared" si="5"/>
        <v>0.99999998948154-0.0000326106393265116i</v>
      </c>
      <c r="Y64" s="227" t="str">
        <f t="shared" si="6"/>
        <v>42.2522458261416+0.917620684646764i</v>
      </c>
      <c r="Z64" s="227" t="str">
        <f t="shared" si="7"/>
        <v>23.7580587738608+0.515194748431195i</v>
      </c>
      <c r="AA64" s="227" t="str">
        <f t="shared" si="8"/>
        <v>32.6945104450402-0.900715767893777i</v>
      </c>
      <c r="AB64" s="227">
        <f t="shared" si="18"/>
        <v>30.292791699845214</v>
      </c>
      <c r="AC64" s="227">
        <f t="shared" si="19"/>
        <v>-1.5780680345189191</v>
      </c>
      <c r="AD64" s="229">
        <f t="shared" si="20"/>
        <v>10.663159724457682</v>
      </c>
      <c r="AE64" s="229">
        <f t="shared" si="21"/>
        <v>93.156934493904743</v>
      </c>
      <c r="AF64" s="227">
        <f t="shared" si="9"/>
        <v>40.955951424302896</v>
      </c>
      <c r="AG64" s="227">
        <f t="shared" si="10"/>
        <v>91.578866459385821</v>
      </c>
      <c r="AH64" s="229" t="str">
        <f t="shared" si="22"/>
        <v>0.187966803933113-3.40799082973263i</v>
      </c>
    </row>
    <row r="65" spans="9:34" x14ac:dyDescent="0.2">
      <c r="I65" s="227">
        <v>61</v>
      </c>
      <c r="J65" s="227">
        <f t="shared" si="0"/>
        <v>1.5947574741337873</v>
      </c>
      <c r="K65" s="227">
        <f t="shared" si="23"/>
        <v>39.33303641041455</v>
      </c>
      <c r="L65" s="227">
        <f t="shared" si="11"/>
        <v>247.13675646067639</v>
      </c>
      <c r="M65" s="227">
        <f t="shared" si="1"/>
        <v>8778.1994123724089</v>
      </c>
      <c r="N65" s="227">
        <f>SQRT((ABS(AC65)-171.5+'Small Signal'!C$59)^2)</f>
        <v>99.886119222578628</v>
      </c>
      <c r="O65" s="227">
        <f t="shared" si="12"/>
        <v>91.598964803829887</v>
      </c>
      <c r="P65" s="227">
        <f t="shared" si="13"/>
        <v>40.761304958301224</v>
      </c>
      <c r="Q65" s="227">
        <f t="shared" si="14"/>
        <v>39.33303641041455</v>
      </c>
      <c r="R65" s="227" t="str">
        <f t="shared" si="2"/>
        <v>0.0945666666666667+0.00116154275536518i</v>
      </c>
      <c r="S65" s="227" t="str">
        <f t="shared" si="3"/>
        <v>0.0085-430.46198488217i</v>
      </c>
      <c r="T65" s="227" t="str">
        <f t="shared" si="24"/>
        <v>23.9256006686278-1.33394772086536i</v>
      </c>
      <c r="U65" s="227" t="str">
        <f t="shared" si="4"/>
        <v>96.0259385358114-0.661558837994836i</v>
      </c>
      <c r="V65" s="227">
        <f t="shared" si="16"/>
        <v>39.647977337583484</v>
      </c>
      <c r="W65" s="227">
        <f t="shared" si="17"/>
        <v>-0.39472594819422224</v>
      </c>
      <c r="X65" s="227" t="str">
        <f t="shared" si="5"/>
        <v>0.999999988998487-0.0000333510441802093i</v>
      </c>
      <c r="Y65" s="227" t="str">
        <f t="shared" si="6"/>
        <v>42.2525857679731+0.938455125358022i</v>
      </c>
      <c r="Z65" s="227" t="str">
        <f t="shared" si="7"/>
        <v>23.7582506812253+0.52689216203632i</v>
      </c>
      <c r="AA65" s="227" t="str">
        <f t="shared" si="8"/>
        <v>32.6934225751266-0.921136694984611i</v>
      </c>
      <c r="AB65" s="227">
        <f t="shared" si="18"/>
        <v>30.292653949913486</v>
      </c>
      <c r="AC65" s="227">
        <f t="shared" si="19"/>
        <v>-1.6138807774213644</v>
      </c>
      <c r="AD65" s="229">
        <f t="shared" si="20"/>
        <v>10.468651008387742</v>
      </c>
      <c r="AE65" s="229">
        <f t="shared" si="21"/>
        <v>93.212845581251244</v>
      </c>
      <c r="AF65" s="227">
        <f t="shared" si="9"/>
        <v>40.761304958301224</v>
      </c>
      <c r="AG65" s="227">
        <f t="shared" si="10"/>
        <v>91.598964803829887</v>
      </c>
      <c r="AH65" s="229" t="str">
        <f t="shared" si="22"/>
        <v>0.187056217968925-3.33234071768403i</v>
      </c>
    </row>
    <row r="66" spans="9:34" x14ac:dyDescent="0.2">
      <c r="I66" s="227">
        <v>62</v>
      </c>
      <c r="J66" s="227">
        <f t="shared" si="0"/>
        <v>1.6045075966605709</v>
      </c>
      <c r="K66" s="227">
        <f t="shared" si="23"/>
        <v>40.226069226403119</v>
      </c>
      <c r="L66" s="227">
        <f t="shared" si="11"/>
        <v>252.74784712892497</v>
      </c>
      <c r="M66" s="227">
        <f t="shared" si="1"/>
        <v>8777.2861037861458</v>
      </c>
      <c r="N66" s="227">
        <f>SQRT((ABS(AC66)-171.5+'Small Signal'!C$59)^2)</f>
        <v>99.849494510599925</v>
      </c>
      <c r="O66" s="227">
        <f t="shared" si="12"/>
        <v>91.619860657636423</v>
      </c>
      <c r="P66" s="227">
        <f t="shared" si="13"/>
        <v>40.566674152605053</v>
      </c>
      <c r="Q66" s="227">
        <f t="shared" si="14"/>
        <v>40.226069226403119</v>
      </c>
      <c r="R66" s="227" t="str">
        <f t="shared" si="2"/>
        <v>0.0945666666666667+0.00118791488150595i</v>
      </c>
      <c r="S66" s="227" t="str">
        <f t="shared" si="3"/>
        <v>0.0085-420.905578155683i</v>
      </c>
      <c r="T66" s="227" t="str">
        <f t="shared" si="24"/>
        <v>23.9221950134063-1.36403993858929i</v>
      </c>
      <c r="U66" s="227" t="str">
        <f t="shared" si="4"/>
        <v>96.0260174327515-0.676581361720416i</v>
      </c>
      <c r="V66" s="227">
        <f t="shared" si="16"/>
        <v>39.64799394113443</v>
      </c>
      <c r="W66" s="227">
        <f t="shared" si="17"/>
        <v>-0.40368866791015273</v>
      </c>
      <c r="X66" s="227" t="str">
        <f t="shared" si="5"/>
        <v>0.999999988493251-0.0000341082594785565i</v>
      </c>
      <c r="Y66" s="227" t="str">
        <f t="shared" si="6"/>
        <v>42.2529413234334+0.959762628546864i</v>
      </c>
      <c r="Z66" s="227" t="str">
        <f t="shared" si="7"/>
        <v>23.7584514029478+0.538855174244529i</v>
      </c>
      <c r="AA66" s="227" t="str">
        <f t="shared" si="8"/>
        <v>32.6922848195587-0.942019228943035i</v>
      </c>
      <c r="AB66" s="227">
        <f t="shared" si="18"/>
        <v>30.292509878609529</v>
      </c>
      <c r="AC66" s="227">
        <f t="shared" si="19"/>
        <v>-1.6505054894000699</v>
      </c>
      <c r="AD66" s="229">
        <f t="shared" si="20"/>
        <v>10.274164273995526</v>
      </c>
      <c r="AE66" s="229">
        <f t="shared" si="21"/>
        <v>93.270366147036498</v>
      </c>
      <c r="AF66" s="227">
        <f t="shared" si="9"/>
        <v>40.566674152605053</v>
      </c>
      <c r="AG66" s="227">
        <f t="shared" si="10"/>
        <v>91.619860657636423</v>
      </c>
      <c r="AH66" s="229" t="str">
        <f t="shared" si="22"/>
        <v>0.186185610988024-3.2583697811419i</v>
      </c>
    </row>
    <row r="67" spans="9:34" x14ac:dyDescent="0.2">
      <c r="I67" s="227">
        <v>63</v>
      </c>
      <c r="J67" s="227">
        <f t="shared" si="0"/>
        <v>1.6142577191873544</v>
      </c>
      <c r="K67" s="227">
        <f t="shared" si="23"/>
        <v>41.139377812665586</v>
      </c>
      <c r="L67" s="227">
        <f t="shared" si="11"/>
        <v>258.48633421905026</v>
      </c>
      <c r="M67" s="227">
        <f t="shared" si="1"/>
        <v>8776.3520590805019</v>
      </c>
      <c r="N67" s="227">
        <f>SQRT((ABS(AC67)-171.5+'Small Signal'!C$59)^2)</f>
        <v>99.812039473455314</v>
      </c>
      <c r="O67" s="227">
        <f t="shared" si="12"/>
        <v>91.641563969455362</v>
      </c>
      <c r="P67" s="227">
        <f t="shared" si="13"/>
        <v>40.372059749228114</v>
      </c>
      <c r="Q67" s="227">
        <f t="shared" si="14"/>
        <v>41.139377812665586</v>
      </c>
      <c r="R67" s="227" t="str">
        <f t="shared" si="2"/>
        <v>0.0945666666666667+0.00121488577082954i</v>
      </c>
      <c r="S67" s="227" t="str">
        <f t="shared" si="3"/>
        <v>0.0085-411.561327003275i</v>
      </c>
      <c r="T67" s="227" t="str">
        <f t="shared" si="24"/>
        <v>23.9186339934898-1.39480190816892i</v>
      </c>
      <c r="U67" s="227" t="str">
        <f t="shared" si="4"/>
        <v>96.0260999522-0.69194511815589i</v>
      </c>
      <c r="V67" s="227">
        <f t="shared" si="16"/>
        <v>39.648011307193158</v>
      </c>
      <c r="W67" s="227">
        <f t="shared" si="17"/>
        <v>-0.41285492992649608</v>
      </c>
      <c r="X67" s="227" t="str">
        <f t="shared" si="5"/>
        <v>0.999999987964811-0.0000348826668925373i</v>
      </c>
      <c r="Y67" s="227" t="str">
        <f t="shared" si="6"/>
        <v>42.253313209758+0.981553936836843i</v>
      </c>
      <c r="Z67" s="227" t="str">
        <f t="shared" si="7"/>
        <v>23.7586613439285+0.551089816418541i</v>
      </c>
      <c r="AA67" s="227" t="str">
        <f t="shared" si="8"/>
        <v>32.6910948943179-0.963373708529774i</v>
      </c>
      <c r="AB67" s="227">
        <f t="shared" si="18"/>
        <v>30.292359196069697</v>
      </c>
      <c r="AC67" s="227">
        <f t="shared" si="19"/>
        <v>-1.6879605265446882</v>
      </c>
      <c r="AD67" s="229">
        <f t="shared" si="20"/>
        <v>10.079700553158414</v>
      </c>
      <c r="AE67" s="229">
        <f t="shared" si="21"/>
        <v>93.329524496000047</v>
      </c>
      <c r="AF67" s="227">
        <f t="shared" si="9"/>
        <v>40.372059749228114</v>
      </c>
      <c r="AG67" s="227">
        <f t="shared" si="10"/>
        <v>91.641563969455362</v>
      </c>
      <c r="AH67" s="229" t="str">
        <f t="shared" si="22"/>
        <v>0.185353227831991-3.18604076638321i</v>
      </c>
    </row>
    <row r="68" spans="9:34" x14ac:dyDescent="0.2">
      <c r="I68" s="227">
        <v>64</v>
      </c>
      <c r="J68" s="227">
        <f t="shared" ref="J68:J131" si="25">1+I68*(LOG(fsw)-1)/500</f>
        <v>1.6240078417141377</v>
      </c>
      <c r="K68" s="227">
        <f t="shared" si="23"/>
        <v>42.073422518309876</v>
      </c>
      <c r="L68" s="227">
        <f t="shared" si="11"/>
        <v>264.35511018980338</v>
      </c>
      <c r="M68" s="227">
        <f t="shared" ref="M68:M131" si="26">SQRT((Fco_target-K69)^2)</f>
        <v>8775.3968074544191</v>
      </c>
      <c r="N68" s="227">
        <f>SQRT((ABS(AC68)-171.5+'Small Signal'!C$59)^2)</f>
        <v>99.773735343798052</v>
      </c>
      <c r="O68" s="227">
        <f t="shared" si="12"/>
        <v>91.66408505436884</v>
      </c>
      <c r="P68" s="227">
        <f t="shared" si="13"/>
        <v>40.177462522567431</v>
      </c>
      <c r="Q68" s="227">
        <f t="shared" si="14"/>
        <v>42.073422518309876</v>
      </c>
      <c r="R68" s="227" t="str">
        <f t="shared" ref="R68:R131" si="27">IMSUM(COMPLEX(DCRss,Lss*L68),COMPLEX(Rdsonss,0),COMPLEX(40/3*Risense,0))</f>
        <v>0.0945666666666667+0.00124246901789208i</v>
      </c>
      <c r="S68" s="227" t="str">
        <f t="shared" ref="S68:S131" si="28">IMSUM(COMPLEX(ESRss,0),IMDIV(COMPLEX(1,0),COMPLEX(0,L68*Cbulkss)))</f>
        <v>0.0085-402.424521496947i</v>
      </c>
      <c r="T68" s="227" t="str">
        <f t="shared" ref="T68:T131" si="29">IMDIV(IMPRODUCT(S68,COMPLEX(Ross,0)),IMSUM(S68,COMPLEX(Ross,0)))</f>
        <v>23.914910570847-1.42624790434033i</v>
      </c>
      <c r="U68" s="227" t="str">
        <f t="shared" ref="U68:U131" si="30">IMPRODUCT(COMPLEX(Vinss,0),COMPLEX(M^2,0),IMDIV(IMSUB(COMPLEX(1,0),IMDIV(IMPRODUCT(R68,COMPLEX(M^2,0)),COMPLEX(Ross,0))),IMSUM(COMPLEX(1,0),IMDIV(IMPRODUCT(R68,COMPLEX(M^2,0)),T68))))</f>
        <v>96.0261862604468-0.707657865610852i</v>
      </c>
      <c r="V68" s="227">
        <f t="shared" si="16"/>
        <v>39.648029470777601</v>
      </c>
      <c r="W68" s="227">
        <f t="shared" si="17"/>
        <v>-0.42222935897397773</v>
      </c>
      <c r="X68" s="227" t="str">
        <f t="shared" ref="X68:X131" si="31">IMSUM(COMPLEX(1,L68/(wn*q0)),IMPOWER(COMPLEX(0,L68/wn),2))</f>
        <v>0.999999987412104-0.0000356746567587452i</v>
      </c>
      <c r="Y68" s="227" t="str">
        <f t="shared" ref="Y68:Y131" si="32">IMPRODUCT(COMPLEX(2*Ioutss*M^2,0),IMDIV(IMSUM(COMPLEX(1,0),IMDIV(COMPLEX(Ross,0),IMPRODUCT(COMPLEX(2,0),S68))),IMSUM(COMPLEX(1,0),IMDIV(IMPRODUCT(R68,COMPLEX(M^2,0)),T68))))</f>
        <v>42.2537021771416+1.00384003689732i</v>
      </c>
      <c r="Z68" s="227" t="str">
        <f t="shared" ref="Z68:Z131" si="33">IMPRODUCT(COMPLEX(Fm*40/3*Risense,0),Y68,X68)</f>
        <v>23.7588809276744+0.563602256936582i</v>
      </c>
      <c r="AA68" s="227" t="str">
        <f t="shared" ref="AA68:AA131" si="34">IMDIV(IMPRODUCT(COMPLEX(Fm,0),U68),IMSUM(COMPLEX(1,0),Z68))</f>
        <v>32.6898504111439-0.985210697393969i</v>
      </c>
      <c r="AB68" s="227">
        <f t="shared" si="18"/>
        <v>30.292201599159668</v>
      </c>
      <c r="AC68" s="227">
        <f t="shared" si="19"/>
        <v>-1.7262646562019435</v>
      </c>
      <c r="AD68" s="229">
        <f t="shared" si="20"/>
        <v>9.8852609234077633</v>
      </c>
      <c r="AE68" s="229">
        <f t="shared" si="21"/>
        <v>93.390349710570788</v>
      </c>
      <c r="AF68" s="227">
        <f t="shared" ref="AF68:AF131" si="35">AD68+AB68</f>
        <v>40.177462522567431</v>
      </c>
      <c r="AG68" s="227">
        <f t="shared" ref="AG68:AG131" si="36">AE68+AC68</f>
        <v>91.66408505436884</v>
      </c>
      <c r="AH68" s="229" t="str">
        <f t="shared" ref="AH68:AH131" si="37">IMDIV(IMPRODUCT(COMPLEX(gea*Rea*Rslss/(Rslss+Rshss),0),COMPLEX(1,L68*Ccompss*Rcompss),COMPLEX(1,k_3*L68*Cffss*Rshss)),IMPRODUCT(COMPLEX(1,L68*Rea*Ccompss),COMPLEX(1,L68*Rcompss*Chfss),COMPLEX(1,k_3*L68*Rffss*Cffss)))</f>
        <v>0.184557390386973-3.11531724526961i</v>
      </c>
    </row>
    <row r="69" spans="9:34" x14ac:dyDescent="0.2">
      <c r="I69" s="227">
        <v>65</v>
      </c>
      <c r="J69" s="227">
        <f t="shared" si="25"/>
        <v>1.633757964240921</v>
      </c>
      <c r="K69" s="227">
        <f t="shared" si="23"/>
        <v>43.02867414439217</v>
      </c>
      <c r="L69" s="227">
        <f t="shared" ref="L69:L132" si="38">2*PI()*K69</f>
        <v>270.35713317146303</v>
      </c>
      <c r="M69" s="227">
        <f t="shared" si="26"/>
        <v>8774.4198674175896</v>
      </c>
      <c r="N69" s="227">
        <f>SQRT((ABS(AC69)-171.5+'Small Signal'!C$59)^2)</f>
        <v>99.734562934069459</v>
      </c>
      <c r="O69" s="227">
        <f t="shared" ref="O69:O132" si="39">ABS(AG69)</f>
        <v>91.68743459630349</v>
      </c>
      <c r="P69" s="227">
        <f t="shared" ref="P69:P132" si="40">ABS(AF69)</f>
        <v>39.982883280900595</v>
      </c>
      <c r="Q69" s="227">
        <f t="shared" ref="Q69:Q132" si="41">K69</f>
        <v>43.02867414439217</v>
      </c>
      <c r="R69" s="227" t="str">
        <f t="shared" si="27"/>
        <v>0.0945666666666667+0.00127067852590588i</v>
      </c>
      <c r="S69" s="227" t="str">
        <f t="shared" si="28"/>
        <v>0.0085-393.490556270751i</v>
      </c>
      <c r="T69" s="227" t="str">
        <f t="shared" si="29"/>
        <v>23.9110173932689-1.45839246188016i</v>
      </c>
      <c r="U69" s="227" t="str">
        <f t="shared" si="30"/>
        <v>96.0262765314094-0.723727539297061i</v>
      </c>
      <c r="V69" s="227">
        <f t="shared" ref="V69:V132" si="42">20*LOG(IMABS(U69))</f>
        <v>39.648048468513679</v>
      </c>
      <c r="W69" s="227">
        <f t="shared" ref="W69:W132" si="43">IF(DEGREES(IMARGUMENT(U69))&gt;0,DEGREES(IMARGUMENT(U69))-360, DEGREES(IMARGUMENT(U69)))</f>
        <v>-0.43181668502375159</v>
      </c>
      <c r="X69" s="227" t="str">
        <f t="shared" si="31"/>
        <v>0.999999986834014-0.0000364846282761298i</v>
      </c>
      <c r="Y69" s="227" t="str">
        <f t="shared" si="32"/>
        <v>42.2541090102486+1.02663216499414i</v>
      </c>
      <c r="Z69" s="227" t="str">
        <f t="shared" si="33"/>
        <v>23.7591105971513+0.576398804308567i</v>
      </c>
      <c r="AA69" s="227" t="str">
        <f t="shared" si="34"/>
        <v>32.6885488728106-1.00754098849661i</v>
      </c>
      <c r="AB69" s="227">
        <f t="shared" ref="AB69:AB132" si="44">20*LOG(IMABS(AA69))</f>
        <v>30.292036770869402</v>
      </c>
      <c r="AC69" s="227">
        <f t="shared" ref="AC69:AC132" si="45">IF(DEGREES(IMARGUMENT(AA69))&gt;0,DEGREES(IMARGUMENT(AA69))-360, DEGREES(IMARGUMENT(AA69)))</f>
        <v>-1.7654370659305521</v>
      </c>
      <c r="AD69" s="229">
        <f t="shared" ref="AD69:AD132" si="46">20*LOG(IMABS(AH69))</f>
        <v>9.6908465100311894</v>
      </c>
      <c r="AE69" s="229">
        <f t="shared" ref="AE69:AE132" si="47">180+DEGREES(IMARGUMENT(AH69))</f>
        <v>93.452871662234045</v>
      </c>
      <c r="AF69" s="227">
        <f t="shared" si="35"/>
        <v>39.982883280900595</v>
      </c>
      <c r="AG69" s="227">
        <f t="shared" si="36"/>
        <v>91.68743459630349</v>
      </c>
      <c r="AH69" s="229" t="str">
        <f t="shared" si="37"/>
        <v>0.183796494202552-3.04616359701736i</v>
      </c>
    </row>
    <row r="70" spans="9:34" x14ac:dyDescent="0.2">
      <c r="I70" s="227">
        <v>66</v>
      </c>
      <c r="J70" s="227">
        <f t="shared" si="25"/>
        <v>1.6435080867677043</v>
      </c>
      <c r="K70" s="227">
        <f t="shared" si="23"/>
        <v>44.005614181222008</v>
      </c>
      <c r="L70" s="227">
        <f t="shared" si="38"/>
        <v>276.49542845686773</v>
      </c>
      <c r="M70" s="227">
        <f t="shared" si="26"/>
        <v>8773.4207465477557</v>
      </c>
      <c r="N70" s="227">
        <f>SQRT((ABS(AC70)-171.5+'Small Signal'!C$59)^2)</f>
        <v>99.694502627367257</v>
      </c>
      <c r="O70" s="227">
        <f t="shared" si="39"/>
        <v>91.711623650437573</v>
      </c>
      <c r="P70" s="227">
        <f t="shared" si="40"/>
        <v>39.788322867944927</v>
      </c>
      <c r="Q70" s="227">
        <f t="shared" si="41"/>
        <v>44.005614181222008</v>
      </c>
      <c r="R70" s="227" t="str">
        <f t="shared" si="27"/>
        <v>0.0945666666666667+0.00129952851374728i</v>
      </c>
      <c r="S70" s="227" t="str">
        <f t="shared" si="28"/>
        <v>0.0085-384.754928199471i</v>
      </c>
      <c r="T70" s="227" t="str">
        <f t="shared" si="29"/>
        <v>23.90694678078-1.49125037714629i</v>
      </c>
      <c r="U70" s="227" t="str">
        <f t="shared" si="30"/>
        <v>96.026370946985-0.740162255397502i</v>
      </c>
      <c r="V70" s="227">
        <f t="shared" si="42"/>
        <v>39.648068338709372</v>
      </c>
      <c r="W70" s="227">
        <f t="shared" si="43"/>
        <v>-0.44162174569346191</v>
      </c>
      <c r="X70" s="227" t="str">
        <f t="shared" si="31"/>
        <v>0.999999986229375-0.0000373129897072117i</v>
      </c>
      <c r="Y70" s="227" t="str">
        <f t="shared" si="32"/>
        <v>42.2545345298009+1.04994181266709i</v>
      </c>
      <c r="Z70" s="227" t="str">
        <f t="shared" si="33"/>
        <v>23.7593508156806+0.589485910363457i</v>
      </c>
      <c r="AA70" s="227" t="str">
        <f t="shared" si="34"/>
        <v>32.687187668187-1.03037560858702i</v>
      </c>
      <c r="AB70" s="227">
        <f t="shared" si="44"/>
        <v>30.29186437967974</v>
      </c>
      <c r="AC70" s="227">
        <f t="shared" si="45"/>
        <v>-1.8054973726327446</v>
      </c>
      <c r="AD70" s="229">
        <f t="shared" si="46"/>
        <v>9.4964584882651835</v>
      </c>
      <c r="AE70" s="229">
        <f t="shared" si="47"/>
        <v>93.517121023070317</v>
      </c>
      <c r="AF70" s="227">
        <f t="shared" si="35"/>
        <v>39.788322867944927</v>
      </c>
      <c r="AG70" s="227">
        <f t="shared" si="36"/>
        <v>91.711623650437573</v>
      </c>
      <c r="AH70" s="229" t="str">
        <f t="shared" si="37"/>
        <v>0.183069005258939-2.97854499036584i</v>
      </c>
    </row>
    <row r="71" spans="9:34" x14ac:dyDescent="0.2">
      <c r="I71" s="227">
        <v>67</v>
      </c>
      <c r="J71" s="227">
        <f t="shared" si="25"/>
        <v>1.6532582092944879</v>
      </c>
      <c r="K71" s="227">
        <f t="shared" si="23"/>
        <v>45.004735051055434</v>
      </c>
      <c r="L71" s="227">
        <f t="shared" si="38"/>
        <v>282.77309002630165</v>
      </c>
      <c r="M71" s="227">
        <f t="shared" si="26"/>
        <v>8772.3989412425126</v>
      </c>
      <c r="N71" s="227">
        <f>SQRT((ABS(AC71)-171.5+'Small Signal'!C$59)^2)</f>
        <v>99.653534368135041</v>
      </c>
      <c r="O71" s="227">
        <f t="shared" si="39"/>
        <v>91.736663645591264</v>
      </c>
      <c r="P71" s="227">
        <f t="shared" si="40"/>
        <v>39.593782164481453</v>
      </c>
      <c r="Q71" s="227">
        <f t="shared" si="41"/>
        <v>45.004735051055434</v>
      </c>
      <c r="R71" s="227" t="str">
        <f t="shared" si="27"/>
        <v>0.0945666666666667+0.00132903352312362i</v>
      </c>
      <c r="S71" s="227" t="str">
        <f t="shared" si="28"/>
        <v>0.0085-376.213234128852i</v>
      </c>
      <c r="T71" s="227" t="str">
        <f t="shared" si="29"/>
        <v>23.9026907115018-1.52483670936098i</v>
      </c>
      <c r="U71" s="227" t="str">
        <f t="shared" si="30"/>
        <v>96.0264696974167-0.756970315231466i</v>
      </c>
      <c r="V71" s="227">
        <f t="shared" si="42"/>
        <v>39.64808912143198</v>
      </c>
      <c r="W71" s="227">
        <f t="shared" si="43"/>
        <v>-0.45164948870908211</v>
      </c>
      <c r="X71" s="227" t="str">
        <f t="shared" si="31"/>
        <v>0.999999985596969-0.0000381601585838652i</v>
      </c>
      <c r="Y71" s="227" t="str">
        <f t="shared" si="32"/>
        <v>42.2549795942351+1.07378073253697i</v>
      </c>
      <c r="Z71" s="227" t="str">
        <f t="shared" si="33"/>
        <v>23.7596020678747+0.602870173509367i</v>
      </c>
      <c r="AA71" s="227" t="str">
        <f t="shared" si="34"/>
        <v>32.6857640670801-1.05372582273077i</v>
      </c>
      <c r="AB71" s="227">
        <f t="shared" si="44"/>
        <v>30.291684078900936</v>
      </c>
      <c r="AC71" s="227">
        <f t="shared" si="45"/>
        <v>-1.8464656318649679</v>
      </c>
      <c r="AD71" s="229">
        <f t="shared" si="46"/>
        <v>9.302098085580516</v>
      </c>
      <c r="AE71" s="229">
        <f t="shared" si="47"/>
        <v>93.583129277456237</v>
      </c>
      <c r="AF71" s="227">
        <f t="shared" si="35"/>
        <v>39.593782164481453</v>
      </c>
      <c r="AG71" s="227">
        <f t="shared" si="36"/>
        <v>91.736663645591264</v>
      </c>
      <c r="AH71" s="229" t="str">
        <f t="shared" si="37"/>
        <v>0.182373456875968-2.91242736613575i</v>
      </c>
    </row>
    <row r="72" spans="9:34" x14ac:dyDescent="0.2">
      <c r="I72" s="227">
        <v>68</v>
      </c>
      <c r="J72" s="227">
        <f t="shared" si="25"/>
        <v>1.6630083318212712</v>
      </c>
      <c r="K72" s="227">
        <f t="shared" ref="K72:K135" si="48">10^(J72)</f>
        <v>46.026540356298057</v>
      </c>
      <c r="L72" s="227">
        <f t="shared" si="38"/>
        <v>289.19328210700024</v>
      </c>
      <c r="M72" s="227">
        <f t="shared" si="26"/>
        <v>8771.353936465468</v>
      </c>
      <c r="N72" s="227">
        <f>SQRT((ABS(AC72)-171.5+'Small Signal'!C$59)^2)</f>
        <v>99.611637652670595</v>
      </c>
      <c r="O72" s="227">
        <f t="shared" si="39"/>
        <v>91.762566386587338</v>
      </c>
      <c r="P72" s="227">
        <f t="shared" si="40"/>
        <v>39.39926209004701</v>
      </c>
      <c r="Q72" s="227">
        <f t="shared" si="41"/>
        <v>46.026540356298057</v>
      </c>
      <c r="R72" s="227" t="str">
        <f t="shared" si="27"/>
        <v>0.0945666666666667+0.0013592084259029i</v>
      </c>
      <c r="S72" s="227" t="str">
        <f t="shared" si="28"/>
        <v>0.0085-367.861168656204i</v>
      </c>
      <c r="T72" s="227" t="str">
        <f t="shared" si="29"/>
        <v>23.8982408069515-1.55916678161193i</v>
      </c>
      <c r="U72" s="227" t="str">
        <f t="shared" si="30"/>
        <v>96.0265729816759-0.774160209518131i</v>
      </c>
      <c r="V72" s="227">
        <f t="shared" si="42"/>
        <v>39.648110858588936</v>
      </c>
      <c r="W72" s="227">
        <f t="shared" si="43"/>
        <v>-0.46190497442390044</v>
      </c>
      <c r="X72" s="227" t="str">
        <f t="shared" si="31"/>
        <v>0.999999984935521-0.0000390265619177735i</v>
      </c>
      <c r="Y72" s="227" t="str">
        <f t="shared" si="32"/>
        <v>42.2554451014378+1.09816094424525i</v>
      </c>
      <c r="Z72" s="227" t="str">
        <f t="shared" si="33"/>
        <v>23.7598648606165+0.616558342068094i</v>
      </c>
      <c r="AA72" s="227" t="str">
        <f t="shared" si="34"/>
        <v>32.6842752148459-1.07760313888633i</v>
      </c>
      <c r="AB72" s="227">
        <f t="shared" si="44"/>
        <v>30.291495505980805</v>
      </c>
      <c r="AC72" s="227">
        <f t="shared" si="45"/>
        <v>-1.8883623473294013</v>
      </c>
      <c r="AD72" s="229">
        <f t="shared" si="46"/>
        <v>9.1077665840662032</v>
      </c>
      <c r="AE72" s="229">
        <f t="shared" si="47"/>
        <v>93.650928733916743</v>
      </c>
      <c r="AF72" s="227">
        <f t="shared" si="35"/>
        <v>39.39926209004701</v>
      </c>
      <c r="AG72" s="227">
        <f t="shared" si="36"/>
        <v>91.762566386587338</v>
      </c>
      <c r="AH72" s="229" t="str">
        <f t="shared" si="37"/>
        <v>0.18170844675769-2.84777742016934i</v>
      </c>
    </row>
    <row r="73" spans="9:34" x14ac:dyDescent="0.2">
      <c r="I73" s="227">
        <v>69</v>
      </c>
      <c r="J73" s="227">
        <f t="shared" si="25"/>
        <v>1.6727584543480547</v>
      </c>
      <c r="K73" s="227">
        <f t="shared" si="48"/>
        <v>47.071545133343776</v>
      </c>
      <c r="L73" s="227">
        <f t="shared" si="38"/>
        <v>295.75924076806638</v>
      </c>
      <c r="M73" s="227">
        <f t="shared" si="26"/>
        <v>8770.2852054866344</v>
      </c>
      <c r="N73" s="227">
        <f>SQRT((ABS(AC73)-171.5+'Small Signal'!C$59)^2)</f>
        <v>99.568791519450997</v>
      </c>
      <c r="O73" s="227">
        <f t="shared" si="39"/>
        <v>91.789344056568893</v>
      </c>
      <c r="P73" s="227">
        <f t="shared" si="40"/>
        <v>39.204763604696126</v>
      </c>
      <c r="Q73" s="227">
        <f t="shared" si="41"/>
        <v>47.071545133343776</v>
      </c>
      <c r="R73" s="227" t="str">
        <f t="shared" si="27"/>
        <v>0.0945666666666667+0.00139006843160991i</v>
      </c>
      <c r="S73" s="227" t="str">
        <f t="shared" si="28"/>
        <v>0.0085-359.694521960278i</v>
      </c>
      <c r="T73" s="227" t="str">
        <f t="shared" si="29"/>
        <v>23.8935883167583-1.59425618154457i</v>
      </c>
      <c r="U73" s="227" t="str">
        <f t="shared" si="30"/>
        <v>96.0266810078601-0.791740622741099i</v>
      </c>
      <c r="V73" s="227">
        <f t="shared" si="42"/>
        <v>39.64813359401213</v>
      </c>
      <c r="W73" s="227">
        <f t="shared" si="43"/>
        <v>-0.47239337839600959</v>
      </c>
      <c r="X73" s="227" t="str">
        <f t="shared" si="31"/>
        <v>0.999999984243695-0.0000399126364156618i</v>
      </c>
      <c r="Y73" s="227" t="str">
        <f t="shared" si="32"/>
        <v>42.2559319905563+1.12309474052945i</v>
      </c>
      <c r="Z73" s="227" t="str">
        <f t="shared" si="33"/>
        <v>23.7601397240819+0.630557317685832i</v>
      </c>
      <c r="AA73" s="227" t="str">
        <f t="shared" si="34"/>
        <v>32.6827181267628-1.1020193125284i</v>
      </c>
      <c r="AB73" s="227">
        <f t="shared" si="44"/>
        <v>30.291298281782165</v>
      </c>
      <c r="AC73" s="227">
        <f t="shared" si="45"/>
        <v>-1.931208480548996</v>
      </c>
      <c r="AD73" s="229">
        <f t="shared" si="46"/>
        <v>8.9134653229139644</v>
      </c>
      <c r="AE73" s="229">
        <f t="shared" si="47"/>
        <v>93.720552537117896</v>
      </c>
      <c r="AF73" s="227">
        <f t="shared" si="35"/>
        <v>39.204763604696126</v>
      </c>
      <c r="AG73" s="227">
        <f t="shared" si="36"/>
        <v>91.789344056568893</v>
      </c>
      <c r="AH73" s="229" t="str">
        <f t="shared" si="37"/>
        <v>0.181072634166607-2.78456258664384i</v>
      </c>
    </row>
    <row r="74" spans="9:34" x14ac:dyDescent="0.2">
      <c r="I74" s="227">
        <v>70</v>
      </c>
      <c r="J74" s="227">
        <f t="shared" si="25"/>
        <v>1.682508576874838</v>
      </c>
      <c r="K74" s="227">
        <f t="shared" si="48"/>
        <v>48.140276112176416</v>
      </c>
      <c r="L74" s="227">
        <f t="shared" si="38"/>
        <v>302.47427555159527</v>
      </c>
      <c r="M74" s="227">
        <f t="shared" si="26"/>
        <v>8769.1922096169455</v>
      </c>
      <c r="N74" s="227">
        <f>SQRT((ABS(AC74)-171.5+'Small Signal'!C$59)^2)</f>
        <v>99.524974539272961</v>
      </c>
      <c r="O74" s="227">
        <f t="shared" si="39"/>
        <v>91.817009219259944</v>
      </c>
      <c r="P74" s="227">
        <f t="shared" si="40"/>
        <v>39.010287710836359</v>
      </c>
      <c r="Q74" s="227">
        <f t="shared" si="41"/>
        <v>48.140276112176416</v>
      </c>
      <c r="R74" s="227" t="str">
        <f t="shared" si="27"/>
        <v>0.0945666666666667+0.0014216290950925i</v>
      </c>
      <c r="S74" s="227" t="str">
        <f t="shared" si="28"/>
        <v>0.0085-351.709177679335i</v>
      </c>
      <c r="T74" s="227" t="str">
        <f t="shared" si="29"/>
        <v>23.8887241027774-1.6301207617171i</v>
      </c>
      <c r="U74" s="227" t="str">
        <f t="shared" si="30"/>
        <v>96.0267939936148-0.8097204376166i</v>
      </c>
      <c r="V74" s="227">
        <f t="shared" si="42"/>
        <v>39.648157373546574</v>
      </c>
      <c r="W74" s="227">
        <f t="shared" si="43"/>
        <v>-0.48311999402576178</v>
      </c>
      <c r="X74" s="227" t="str">
        <f t="shared" si="31"/>
        <v>0.999999983520098-0.0000408188286994177i</v>
      </c>
      <c r="Y74" s="227" t="str">
        <f t="shared" si="32"/>
        <v>42.2564412439009+1.14859469343738i</v>
      </c>
      <c r="Z74" s="227" t="str">
        <f t="shared" si="33"/>
        <v>23.7604272128133+0.644874158821829i</v>
      </c>
      <c r="AA74" s="227" t="str">
        <f t="shared" si="34"/>
        <v>32.681089682152-1.12698635131434i</v>
      </c>
      <c r="AB74" s="227">
        <f t="shared" si="44"/>
        <v>30.291092009826947</v>
      </c>
      <c r="AC74" s="227">
        <f t="shared" si="45"/>
        <v>-1.9750254607270394</v>
      </c>
      <c r="AD74" s="229">
        <f t="shared" si="46"/>
        <v>8.7191957010094132</v>
      </c>
      <c r="AE74" s="229">
        <f t="shared" si="47"/>
        <v>93.792034679986983</v>
      </c>
      <c r="AF74" s="227">
        <f t="shared" si="35"/>
        <v>39.010287710836359</v>
      </c>
      <c r="AG74" s="227">
        <f t="shared" si="36"/>
        <v>91.817009219259944</v>
      </c>
      <c r="AH74" s="229" t="str">
        <f t="shared" si="37"/>
        <v>0.180464737221881-2.72275102175081i</v>
      </c>
    </row>
    <row r="75" spans="9:34" x14ac:dyDescent="0.2">
      <c r="I75" s="227">
        <v>71</v>
      </c>
      <c r="J75" s="227">
        <f t="shared" si="25"/>
        <v>1.6922586994016213</v>
      </c>
      <c r="K75" s="227">
        <f t="shared" si="48"/>
        <v>49.233271981865734</v>
      </c>
      <c r="L75" s="227">
        <f t="shared" si="38"/>
        <v>309.34177114083519</v>
      </c>
      <c r="M75" s="227">
        <f t="shared" si="26"/>
        <v>8768.0743979367198</v>
      </c>
      <c r="N75" s="227">
        <f>SQRT((ABS(AC75)-171.5+'Small Signal'!C$59)^2)</f>
        <v>99.480164805206016</v>
      </c>
      <c r="O75" s="227">
        <f t="shared" si="39"/>
        <v>91.845574821153065</v>
      </c>
      <c r="P75" s="227">
        <f t="shared" si="40"/>
        <v>38.815835455139663</v>
      </c>
      <c r="Q75" s="227">
        <f t="shared" si="41"/>
        <v>49.233271981865734</v>
      </c>
      <c r="R75" s="227" t="str">
        <f t="shared" si="27"/>
        <v>0.0945666666666667+0.00145390632436193i</v>
      </c>
      <c r="S75" s="227" t="str">
        <f t="shared" si="28"/>
        <v>0.0085-343.901110836308i</v>
      </c>
      <c r="T75" s="227" t="str">
        <f t="shared" si="29"/>
        <v>23.8836386225847-1.66677663958801i</v>
      </c>
      <c r="U75" s="227" t="str">
        <f t="shared" si="30"/>
        <v>96.0269121665677-0.828108739667814i</v>
      </c>
      <c r="V75" s="227">
        <f t="shared" si="42"/>
        <v>39.648182245142614</v>
      </c>
      <c r="W75" s="227">
        <f t="shared" si="43"/>
        <v>-0.49409023525457896</v>
      </c>
      <c r="X75" s="227" t="str">
        <f t="shared" si="31"/>
        <v>0.999999982763271-0.0000417455955312086i</v>
      </c>
      <c r="Y75" s="227" t="str">
        <f t="shared" si="32"/>
        <v>42.2569738889262+1.17467366068333i</v>
      </c>
      <c r="Z75" s="227" t="str">
        <f t="shared" si="33"/>
        <v>23.7607279068384+0.659516084316716i</v>
      </c>
      <c r="AA75" s="227" t="str">
        <f t="shared" si="34"/>
        <v>32.6793866182388-1.15251651979117i</v>
      </c>
      <c r="AB75" s="227">
        <f t="shared" si="44"/>
        <v>30.290876275506605</v>
      </c>
      <c r="AC75" s="227">
        <f t="shared" si="45"/>
        <v>-2.0198351947939917</v>
      </c>
      <c r="AD75" s="229">
        <f t="shared" si="46"/>
        <v>8.5249591796330577</v>
      </c>
      <c r="AE75" s="229">
        <f t="shared" si="47"/>
        <v>93.865410015947063</v>
      </c>
      <c r="AF75" s="227">
        <f t="shared" si="35"/>
        <v>38.815835455139663</v>
      </c>
      <c r="AG75" s="227">
        <f t="shared" si="36"/>
        <v>91.845574821153065</v>
      </c>
      <c r="AH75" s="229" t="str">
        <f t="shared" si="37"/>
        <v>0.179883530316078-2.66231158773317i</v>
      </c>
    </row>
    <row r="76" spans="9:34" x14ac:dyDescent="0.2">
      <c r="I76" s="227">
        <v>72</v>
      </c>
      <c r="J76" s="227">
        <f t="shared" si="25"/>
        <v>1.7020088219284049</v>
      </c>
      <c r="K76" s="227">
        <f t="shared" si="48"/>
        <v>50.351083662091241</v>
      </c>
      <c r="L76" s="227">
        <f t="shared" si="38"/>
        <v>316.36518906622183</v>
      </c>
      <c r="M76" s="227">
        <f t="shared" si="26"/>
        <v>8766.9312070179803</v>
      </c>
      <c r="N76" s="227">
        <f>SQRT((ABS(AC76)-171.5+'Small Signal'!C$59)^2)</f>
        <v>99.434339922357395</v>
      </c>
      <c r="O76" s="227">
        <f t="shared" si="39"/>
        <v>91.875054193607809</v>
      </c>
      <c r="P76" s="227">
        <f t="shared" si="40"/>
        <v>38.621407930532222</v>
      </c>
      <c r="Q76" s="227">
        <f t="shared" si="41"/>
        <v>50.351083662091241</v>
      </c>
      <c r="R76" s="227" t="str">
        <f t="shared" si="27"/>
        <v>0.0945666666666667+0.00148691638861124i</v>
      </c>
      <c r="S76" s="227" t="str">
        <f t="shared" si="28"/>
        <v>0.0085-336.266385810026i</v>
      </c>
      <c r="T76" s="227" t="str">
        <f t="shared" si="29"/>
        <v>23.8783219123327-1.70424019710373i</v>
      </c>
      <c r="U76" s="227" t="str">
        <f t="shared" si="30"/>
        <v>96.0270357647869-0.846914821908291i</v>
      </c>
      <c r="V76" s="227">
        <f t="shared" si="42"/>
        <v>39.648208258952657</v>
      </c>
      <c r="W76" s="227">
        <f t="shared" si="43"/>
        <v>-0.50530963932670658</v>
      </c>
      <c r="X76" s="227" t="str">
        <f t="shared" si="31"/>
        <v>0.999999981971686-0.0000426934040437109i</v>
      </c>
      <c r="Y76" s="227" t="str">
        <f t="shared" si="32"/>
        <v>42.2575310003092+1.20134479214967i</v>
      </c>
      <c r="Z76" s="227" t="str">
        <f t="shared" si="33"/>
        <v>23.7610424128433+0.674490477042453i</v>
      </c>
      <c r="AA76" s="227" t="str">
        <f t="shared" si="34"/>
        <v>32.6776055237404-1.17862234413904i</v>
      </c>
      <c r="AB76" s="227">
        <f t="shared" si="44"/>
        <v>30.290650645256598</v>
      </c>
      <c r="AC76" s="227">
        <f t="shared" si="45"/>
        <v>-2.0656600776425926</v>
      </c>
      <c r="AD76" s="229">
        <f t="shared" si="46"/>
        <v>8.3307572852756238</v>
      </c>
      <c r="AE76" s="229">
        <f t="shared" si="47"/>
        <v>93.9407142712504</v>
      </c>
      <c r="AF76" s="227">
        <f t="shared" si="35"/>
        <v>38.621407930532222</v>
      </c>
      <c r="AG76" s="227">
        <f t="shared" si="36"/>
        <v>91.875054193607809</v>
      </c>
      <c r="AH76" s="229" t="str">
        <f t="shared" si="37"/>
        <v>0.179327841645234-2.60321383727229i</v>
      </c>
    </row>
    <row r="77" spans="9:34" x14ac:dyDescent="0.2">
      <c r="I77" s="227">
        <v>73</v>
      </c>
      <c r="J77" s="227">
        <f t="shared" si="25"/>
        <v>1.7117589444551882</v>
      </c>
      <c r="K77" s="227">
        <f t="shared" si="48"/>
        <v>51.494274580830655</v>
      </c>
      <c r="L77" s="227">
        <f t="shared" si="38"/>
        <v>323.54806945014644</v>
      </c>
      <c r="M77" s="227">
        <f t="shared" si="26"/>
        <v>8765.762060640458</v>
      </c>
      <c r="N77" s="227">
        <f>SQRT((ABS(AC77)-171.5+'Small Signal'!C$59)^2)</f>
        <v>99.387476997446811</v>
      </c>
      <c r="O77" s="227">
        <f t="shared" si="39"/>
        <v>91.905461054841879</v>
      </c>
      <c r="P77" s="227">
        <f t="shared" si="40"/>
        <v>38.42700627826769</v>
      </c>
      <c r="Q77" s="227">
        <f t="shared" si="41"/>
        <v>51.494274580830655</v>
      </c>
      <c r="R77" s="227" t="str">
        <f t="shared" si="27"/>
        <v>0.0945666666666667+0.00152067592641569i</v>
      </c>
      <c r="S77" s="227" t="str">
        <f t="shared" si="28"/>
        <v>0.0085-328.80115435149i</v>
      </c>
      <c r="T77" s="227" t="str">
        <f t="shared" si="29"/>
        <v>23.872763568949-1.74252807985167i</v>
      </c>
      <c r="U77" s="227" t="str">
        <f t="shared" si="30"/>
        <v>96.0271650372606-0.866148189637196i</v>
      </c>
      <c r="V77" s="227">
        <f t="shared" si="42"/>
        <v>39.648235467432464</v>
      </c>
      <c r="W77" s="227">
        <f t="shared" si="43"/>
        <v>-0.5167838696154059</v>
      </c>
      <c r="X77" s="227" t="str">
        <f t="shared" si="31"/>
        <v>0.999999981143749-0.0000436627319755661i</v>
      </c>
      <c r="Y77" s="227" t="str">
        <f t="shared" si="32"/>
        <v>42.2581137021213+1.22862153653714i</v>
      </c>
      <c r="Z77" s="227" t="str">
        <f t="shared" si="33"/>
        <v>23.7613713653984+0.68980488763574i</v>
      </c>
      <c r="AA77" s="227" t="str">
        <f t="shared" si="34"/>
        <v>32.6757428321715-1.20531661694755i</v>
      </c>
      <c r="AB77" s="227">
        <f t="shared" si="44"/>
        <v>30.290414665694051</v>
      </c>
      <c r="AC77" s="227">
        <f t="shared" si="45"/>
        <v>-2.1125230025531865</v>
      </c>
      <c r="AD77" s="229">
        <f t="shared" si="46"/>
        <v>8.1365916125736408</v>
      </c>
      <c r="AE77" s="229">
        <f t="shared" si="47"/>
        <v>94.017984057395068</v>
      </c>
      <c r="AF77" s="227">
        <f t="shared" si="35"/>
        <v>38.42700627826769</v>
      </c>
      <c r="AG77" s="227">
        <f t="shared" si="36"/>
        <v>91.905461054841879</v>
      </c>
      <c r="AH77" s="229" t="str">
        <f t="shared" si="37"/>
        <v>0.178796550847315-2.54542799821803i</v>
      </c>
    </row>
    <row r="78" spans="9:34" x14ac:dyDescent="0.2">
      <c r="I78" s="227">
        <v>74</v>
      </c>
      <c r="J78" s="227">
        <f t="shared" si="25"/>
        <v>1.7215090669819717</v>
      </c>
      <c r="K78" s="227">
        <f t="shared" si="48"/>
        <v>52.663420958353441</v>
      </c>
      <c r="L78" s="227">
        <f t="shared" si="38"/>
        <v>330.89403279133984</v>
      </c>
      <c r="M78" s="227">
        <f t="shared" si="26"/>
        <v>8764.5663695011499</v>
      </c>
      <c r="N78" s="227">
        <f>SQRT((ABS(AC78)-171.5+'Small Signal'!C$59)^2)</f>
        <v>99.339552628189466</v>
      </c>
      <c r="O78" s="227">
        <f t="shared" si="39"/>
        <v>91.936809511796056</v>
      </c>
      <c r="P78" s="227">
        <f t="shared" si="40"/>
        <v>38.232631690084325</v>
      </c>
      <c r="Q78" s="227">
        <f t="shared" si="41"/>
        <v>52.663420958353441</v>
      </c>
      <c r="R78" s="227" t="str">
        <f t="shared" si="27"/>
        <v>0.0945666666666667+0.0015552019541193i</v>
      </c>
      <c r="S78" s="227" t="str">
        <f t="shared" si="28"/>
        <v>0.0085-321.501653644171i</v>
      </c>
      <c r="T78" s="227" t="str">
        <f t="shared" si="29"/>
        <v>23.8669527316605-1.78165719574195i</v>
      </c>
      <c r="U78" s="227" t="str">
        <f t="shared" si="30"/>
        <v>96.0273002443964-0.885818565349206i</v>
      </c>
      <c r="V78" s="227">
        <f t="shared" si="42"/>
        <v>39.648263925446841</v>
      </c>
      <c r="W78" s="227">
        <f t="shared" si="43"/>
        <v>-0.52851871851512566</v>
      </c>
      <c r="X78" s="227" t="str">
        <f t="shared" si="31"/>
        <v>0.999999980277789-0.0000446540679121827i</v>
      </c>
      <c r="Y78" s="227" t="str">
        <f t="shared" si="32"/>
        <v>42.2587231701009+1.25651764816732i</v>
      </c>
      <c r="Z78" s="227" t="str">
        <f t="shared" si="33"/>
        <v>23.7617154282416+0.705467038316832i</v>
      </c>
      <c r="AA78" s="227" t="str">
        <f t="shared" si="34"/>
        <v>32.6737948148521-1.23261240202031i</v>
      </c>
      <c r="AB78" s="227">
        <f t="shared" si="44"/>
        <v>30.290167862716039</v>
      </c>
      <c r="AC78" s="227">
        <f t="shared" si="45"/>
        <v>-2.160447371810521</v>
      </c>
      <c r="AD78" s="229">
        <f t="shared" si="46"/>
        <v>7.9424638273682868</v>
      </c>
      <c r="AE78" s="229">
        <f t="shared" si="47"/>
        <v>94.097256883606576</v>
      </c>
      <c r="AF78" s="227">
        <f t="shared" si="35"/>
        <v>38.232631690084325</v>
      </c>
      <c r="AG78" s="227">
        <f t="shared" si="36"/>
        <v>91.936809511796056</v>
      </c>
      <c r="AH78" s="229" t="str">
        <f t="shared" si="37"/>
        <v>0.178288586744262-2.48892495865383i</v>
      </c>
    </row>
    <row r="79" spans="9:34" x14ac:dyDescent="0.2">
      <c r="I79" s="227">
        <v>75</v>
      </c>
      <c r="J79" s="227">
        <f t="shared" si="25"/>
        <v>1.731259189508755</v>
      </c>
      <c r="K79" s="227">
        <f t="shared" si="48"/>
        <v>53.859112097661878</v>
      </c>
      <c r="L79" s="227">
        <f t="shared" si="38"/>
        <v>338.40678178976742</v>
      </c>
      <c r="M79" s="227">
        <f t="shared" si="26"/>
        <v>8763.3435309172855</v>
      </c>
      <c r="N79" s="227">
        <f>SQRT((ABS(AC79)-171.5+'Small Signal'!C$59)^2)</f>
        <v>99.290542892486798</v>
      </c>
      <c r="O79" s="227">
        <f t="shared" si="39"/>
        <v>91.969114061852949</v>
      </c>
      <c r="P79" s="227">
        <f t="shared" si="40"/>
        <v>38.038285410451408</v>
      </c>
      <c r="Q79" s="227">
        <f t="shared" si="41"/>
        <v>53.859112097661878</v>
      </c>
      <c r="R79" s="227" t="str">
        <f t="shared" si="27"/>
        <v>0.0945666666666667+0.00159051187441191i</v>
      </c>
      <c r="S79" s="227" t="str">
        <f t="shared" si="28"/>
        <v>0.0085-314.364204407387i</v>
      </c>
      <c r="T79" s="227" t="str">
        <f t="shared" si="29"/>
        <v>23.8608780628227-1.82164471317849i</v>
      </c>
      <c r="U79" s="227" t="str">
        <f t="shared" si="30"/>
        <v>96.0274416585427-0.90593589376224i</v>
      </c>
      <c r="V79" s="227">
        <f t="shared" si="42"/>
        <v>39.648293690380115</v>
      </c>
      <c r="W79" s="227">
        <f t="shared" si="43"/>
        <v>-0.5405201104013746</v>
      </c>
      <c r="X79" s="227" t="str">
        <f t="shared" si="31"/>
        <v>0.999999979372061-0.0000456679115320056i</v>
      </c>
      <c r="Y79" s="227" t="str">
        <f t="shared" si="32"/>
        <v>42.2593606340287+1.28504719394067i</v>
      </c>
      <c r="Z79" s="227" t="str">
        <f t="shared" si="33"/>
        <v>23.7620752956192+0.721484826795679i</v>
      </c>
      <c r="AA79" s="227" t="str">
        <f t="shared" si="34"/>
        <v>32.6717575736086-1.26052303920303i</v>
      </c>
      <c r="AB79" s="227">
        <f t="shared" si="44"/>
        <v>30.289909740557643</v>
      </c>
      <c r="AC79" s="227">
        <f t="shared" si="45"/>
        <v>-2.2094571075131935</v>
      </c>
      <c r="AD79" s="229">
        <f t="shared" si="46"/>
        <v>7.7483756698937629</v>
      </c>
      <c r="AE79" s="229">
        <f t="shared" si="47"/>
        <v>94.178571169366137</v>
      </c>
      <c r="AF79" s="227">
        <f t="shared" si="35"/>
        <v>38.038285410451408</v>
      </c>
      <c r="AG79" s="227">
        <f t="shared" si="36"/>
        <v>91.969114061852949</v>
      </c>
      <c r="AH79" s="229" t="str">
        <f t="shared" si="37"/>
        <v>0.177802925183139-2.43367625229005i</v>
      </c>
    </row>
    <row r="80" spans="9:34" x14ac:dyDescent="0.2">
      <c r="I80" s="227">
        <v>76</v>
      </c>
      <c r="J80" s="227">
        <f t="shared" si="25"/>
        <v>1.7410093120355383</v>
      </c>
      <c r="K80" s="227">
        <f t="shared" si="48"/>
        <v>55.081950681526784</v>
      </c>
      <c r="L80" s="227">
        <f t="shared" si="38"/>
        <v>346.09010321295966</v>
      </c>
      <c r="M80" s="227">
        <f t="shared" si="26"/>
        <v>8762.0929285225448</v>
      </c>
      <c r="N80" s="227">
        <f>SQRT((ABS(AC80)-171.5+'Small Signal'!C$59)^2)</f>
        <v>99.240423337422982</v>
      </c>
      <c r="O80" s="227">
        <f t="shared" si="39"/>
        <v>92.002389594386543</v>
      </c>
      <c r="P80" s="227">
        <f t="shared" si="40"/>
        <v>37.843968738907193</v>
      </c>
      <c r="Q80" s="227">
        <f t="shared" si="41"/>
        <v>55.081950681526784</v>
      </c>
      <c r="R80" s="227" t="str">
        <f t="shared" si="27"/>
        <v>0.0945666666666667+0.00162662348510091i</v>
      </c>
      <c r="S80" s="227" t="str">
        <f t="shared" si="28"/>
        <v>0.0085-307.385209041773i</v>
      </c>
      <c r="T80" s="227" t="str">
        <f t="shared" si="29"/>
        <v>23.8545277280382-1.86250805867761i</v>
      </c>
      <c r="U80" s="227" t="str">
        <f t="shared" si="30"/>
        <v>96.0275895645387-0.926510346966113i</v>
      </c>
      <c r="V80" s="227">
        <f t="shared" si="42"/>
        <v>39.648324822252164</v>
      </c>
      <c r="W80" s="227">
        <f t="shared" si="43"/>
        <v>-0.5527941046599274</v>
      </c>
      <c r="X80" s="227" t="str">
        <f t="shared" si="31"/>
        <v>0.999999978424738-0.0000467047738583767i</v>
      </c>
      <c r="Y80" s="227" t="str">
        <f t="shared" si="32"/>
        <v>42.2600273802167+1.31422456045406i</v>
      </c>
      <c r="Z80" s="227" t="str">
        <f t="shared" si="33"/>
        <v>23.7624516936908+0.737866330267572i</v>
      </c>
      <c r="AA80" s="227" t="str">
        <f t="shared" si="34"/>
        <v>32.6696270331525-1.28906214922985i</v>
      </c>
      <c r="AB80" s="227">
        <f t="shared" si="44"/>
        <v>30.289639780807448</v>
      </c>
      <c r="AC80" s="227">
        <f t="shared" si="45"/>
        <v>-2.2595766625770093</v>
      </c>
      <c r="AD80" s="229">
        <f t="shared" si="46"/>
        <v>7.5543289580997461</v>
      </c>
      <c r="AE80" s="229">
        <f t="shared" si="47"/>
        <v>94.261966256963547</v>
      </c>
      <c r="AF80" s="227">
        <f t="shared" si="35"/>
        <v>37.843968738907193</v>
      </c>
      <c r="AG80" s="227">
        <f t="shared" si="36"/>
        <v>92.002389594386543</v>
      </c>
      <c r="AH80" s="229" t="str">
        <f t="shared" si="37"/>
        <v>0.177338586971984-2.37965404417834i</v>
      </c>
    </row>
    <row r="81" spans="9:34" x14ac:dyDescent="0.2">
      <c r="I81" s="227">
        <v>77</v>
      </c>
      <c r="J81" s="227">
        <f t="shared" si="25"/>
        <v>1.7507594345623216</v>
      </c>
      <c r="K81" s="227">
        <f t="shared" si="48"/>
        <v>56.332553076266926</v>
      </c>
      <c r="L81" s="227">
        <f t="shared" si="38"/>
        <v>353.94786980471457</v>
      </c>
      <c r="M81" s="227">
        <f t="shared" si="26"/>
        <v>8760.8139319563852</v>
      </c>
      <c r="N81" s="227">
        <f>SQRT((ABS(AC81)-171.5+'Small Signal'!C$59)^2)</f>
        <v>99.189168968067122</v>
      </c>
      <c r="O81" s="227">
        <f t="shared" si="39"/>
        <v>92.036651392120945</v>
      </c>
      <c r="P81" s="227">
        <f t="shared" si="40"/>
        <v>37.64968303249254</v>
      </c>
      <c r="Q81" s="227">
        <f t="shared" si="41"/>
        <v>56.332553076266926</v>
      </c>
      <c r="R81" s="227" t="str">
        <f t="shared" si="27"/>
        <v>0.0945666666666667+0.00166355498808216i</v>
      </c>
      <c r="S81" s="227" t="str">
        <f t="shared" si="28"/>
        <v>0.0085-300.56114981593i</v>
      </c>
      <c r="T81" s="227" t="str">
        <f t="shared" si="29"/>
        <v>23.847889375546-1.90426491388962i</v>
      </c>
      <c r="U81" s="227" t="str">
        <f t="shared" si="30"/>
        <v>96.0277442602829-0.947552329695129i</v>
      </c>
      <c r="V81" s="227">
        <f t="shared" si="42"/>
        <v>39.648357383839141</v>
      </c>
      <c r="W81" s="227">
        <f t="shared" si="43"/>
        <v>-0.5653468987870286</v>
      </c>
      <c r="X81" s="227" t="str">
        <f t="shared" si="31"/>
        <v>0.999999977433909-0.0000477651775171141i</v>
      </c>
      <c r="Y81" s="227" t="str">
        <f t="shared" si="32"/>
        <v>42.2607247541058+1.3440644612812i</v>
      </c>
      <c r="Z81" s="227" t="str">
        <f t="shared" si="33"/>
        <v>23.7628453819959+0.754619809500224i</v>
      </c>
      <c r="AA81" s="227" t="str">
        <f t="shared" si="34"/>
        <v>32.6673989331261-1.31824363858209i</v>
      </c>
      <c r="AB81" s="227">
        <f t="shared" si="44"/>
        <v>30.289357441379202</v>
      </c>
      <c r="AC81" s="227">
        <f t="shared" si="45"/>
        <v>-2.3108310319328833</v>
      </c>
      <c r="AD81" s="229">
        <f t="shared" si="46"/>
        <v>7.3603255911133347</v>
      </c>
      <c r="AE81" s="229">
        <f t="shared" si="47"/>
        <v>94.347482424053823</v>
      </c>
      <c r="AF81" s="227">
        <f t="shared" si="35"/>
        <v>37.64968303249254</v>
      </c>
      <c r="AG81" s="227">
        <f t="shared" si="36"/>
        <v>92.036651392120945</v>
      </c>
      <c r="AH81" s="229" t="str">
        <f t="shared" si="37"/>
        <v>0.176894635906264-2.32683111674017i</v>
      </c>
    </row>
    <row r="82" spans="9:34" x14ac:dyDescent="0.2">
      <c r="I82" s="227">
        <v>78</v>
      </c>
      <c r="J82" s="227">
        <f t="shared" si="25"/>
        <v>1.7605095570891052</v>
      </c>
      <c r="K82" s="227">
        <f t="shared" si="48"/>
        <v>57.611549642425857</v>
      </c>
      <c r="L82" s="227">
        <f t="shared" si="38"/>
        <v>361.98404223713749</v>
      </c>
      <c r="M82" s="227">
        <f t="shared" si="26"/>
        <v>8759.5058965463086</v>
      </c>
      <c r="N82" s="227">
        <f>SQRT((ABS(AC82)-171.5+'Small Signal'!C$59)^2)</f>
        <v>99.136754236080009</v>
      </c>
      <c r="O82" s="227">
        <f t="shared" si="39"/>
        <v>92.071915132271187</v>
      </c>
      <c r="P82" s="227">
        <f t="shared" si="40"/>
        <v>37.455429708281983</v>
      </c>
      <c r="Q82" s="227">
        <f t="shared" si="41"/>
        <v>57.611549642425857</v>
      </c>
      <c r="R82" s="227" t="str">
        <f t="shared" si="27"/>
        <v>0.0945666666666667+0.00170132499851455i</v>
      </c>
      <c r="S82" s="227" t="str">
        <f t="shared" si="28"/>
        <v>0.0085-293.888587093329i</v>
      </c>
      <c r="T82" s="227" t="str">
        <f t="shared" si="29"/>
        <v>23.8409501148648-1.9469332119761i</v>
      </c>
      <c r="U82" s="227" t="str">
        <f t="shared" si="30"/>
        <v>96.0279060573335-0.96907248472822i</v>
      </c>
      <c r="V82" s="227">
        <f t="shared" si="42"/>
        <v>39.64839144080026</v>
      </c>
      <c r="W82" s="227">
        <f t="shared" si="43"/>
        <v>-0.57818483156247136</v>
      </c>
      <c r="X82" s="227" t="str">
        <f t="shared" si="31"/>
        <v>0.999999976397578-0.0000488496569999391i</v>
      </c>
      <c r="Y82" s="227" t="str">
        <f t="shared" si="32"/>
        <v>42.2614541629908+1.37458194441986i</v>
      </c>
      <c r="Z82" s="227" t="str">
        <f t="shared" si="33"/>
        <v>23.7632571549921+0.771753713014462i</v>
      </c>
      <c r="AA82" s="227" t="str">
        <f t="shared" si="34"/>
        <v>32.6650688197958-1.34808170435289i</v>
      </c>
      <c r="AB82" s="227">
        <f t="shared" si="44"/>
        <v>30.289062155436341</v>
      </c>
      <c r="AC82" s="227">
        <f t="shared" si="45"/>
        <v>-2.363245763919986</v>
      </c>
      <c r="AD82" s="229">
        <f t="shared" si="46"/>
        <v>7.1663675528456459</v>
      </c>
      <c r="AE82" s="229">
        <f t="shared" si="47"/>
        <v>94.435160896191178</v>
      </c>
      <c r="AF82" s="227">
        <f t="shared" si="35"/>
        <v>37.455429708281983</v>
      </c>
      <c r="AG82" s="227">
        <f t="shared" si="36"/>
        <v>92.071915132271187</v>
      </c>
      <c r="AH82" s="229" t="str">
        <f t="shared" si="37"/>
        <v>0.176470176881896-2.27518085610268i</v>
      </c>
    </row>
    <row r="83" spans="9:34" x14ac:dyDescent="0.2">
      <c r="I83" s="227">
        <v>79</v>
      </c>
      <c r="J83" s="227">
        <f t="shared" si="25"/>
        <v>1.7702596796158887</v>
      </c>
      <c r="K83" s="227">
        <f t="shared" si="48"/>
        <v>58.919585052502107</v>
      </c>
      <c r="L83" s="227">
        <f t="shared" si="38"/>
        <v>370.20267110699922</v>
      </c>
      <c r="M83" s="227">
        <f t="shared" si="26"/>
        <v>8758.1681629829181</v>
      </c>
      <c r="N83" s="227">
        <f>SQRT((ABS(AC83)-171.5+'Small Signal'!C$59)^2)</f>
        <v>99.083153028125338</v>
      </c>
      <c r="O83" s="227">
        <f t="shared" si="39"/>
        <v>92.108196887441323</v>
      </c>
      <c r="P83" s="227">
        <f t="shared" si="40"/>
        <v>37.261210246018734</v>
      </c>
      <c r="Q83" s="227">
        <f t="shared" si="41"/>
        <v>58.919585052502107</v>
      </c>
      <c r="R83" s="227" t="str">
        <f t="shared" si="27"/>
        <v>0.0945666666666667+0.0017399525542029i</v>
      </c>
      <c r="S83" s="227" t="str">
        <f t="shared" si="28"/>
        <v>0.0085-287.364157598573i</v>
      </c>
      <c r="T83" s="227" t="str">
        <f t="shared" si="29"/>
        <v>23.8336964946741-1.99053113329268i</v>
      </c>
      <c r="U83" s="227" t="str">
        <f t="shared" si="30"/>
        <v>96.0280752815314-0.991081698419839i</v>
      </c>
      <c r="V83" s="227">
        <f t="shared" si="42"/>
        <v>39.648427061810054</v>
      </c>
      <c r="W83" s="227">
        <f t="shared" si="43"/>
        <v>-0.59131438629729927</v>
      </c>
      <c r="X83" s="227" t="str">
        <f t="shared" si="31"/>
        <v>0.999999975313653-0.0000499587589338844i</v>
      </c>
      <c r="Y83" s="227" t="str">
        <f t="shared" si="32"/>
        <v>42.2622170788637+1.40579239990996i</v>
      </c>
      <c r="Z83" s="227" t="str">
        <f t="shared" si="33"/>
        <v>23.7636878436603+0.789276681360802i</v>
      </c>
      <c r="AA83" s="227" t="str">
        <f t="shared" si="34"/>
        <v>32.6626320373866-1.37859083911119i</v>
      </c>
      <c r="AB83" s="227">
        <f t="shared" si="44"/>
        <v>30.288753330269458</v>
      </c>
      <c r="AC83" s="227">
        <f t="shared" si="45"/>
        <v>-2.4168469718746608</v>
      </c>
      <c r="AD83" s="229">
        <f t="shared" si="46"/>
        <v>6.9724569157492757</v>
      </c>
      <c r="AE83" s="229">
        <f t="shared" si="47"/>
        <v>94.525043859315986</v>
      </c>
      <c r="AF83" s="227">
        <f t="shared" si="35"/>
        <v>37.261210246018734</v>
      </c>
      <c r="AG83" s="227">
        <f t="shared" si="36"/>
        <v>92.108196887441323</v>
      </c>
      <c r="AH83" s="229" t="str">
        <f t="shared" si="37"/>
        <v>0.176064354091113-2.22467723873539i</v>
      </c>
    </row>
    <row r="84" spans="9:34" x14ac:dyDescent="0.2">
      <c r="I84" s="227">
        <v>80</v>
      </c>
      <c r="J84" s="227">
        <f t="shared" si="25"/>
        <v>1.780009802142672</v>
      </c>
      <c r="K84" s="227">
        <f t="shared" si="48"/>
        <v>60.257318615893624</v>
      </c>
      <c r="L84" s="227">
        <f t="shared" si="38"/>
        <v>378.60789897742177</v>
      </c>
      <c r="M84" s="227">
        <f t="shared" si="26"/>
        <v>8756.8000569875912</v>
      </c>
      <c r="N84" s="227">
        <f>SQRT((ABS(AC84)-171.5+'Small Signal'!C$59)^2)</f>
        <v>99.028338654085019</v>
      </c>
      <c r="O84" s="227">
        <f t="shared" si="39"/>
        <v>92.145513126249639</v>
      </c>
      <c r="P84" s="227">
        <f t="shared" si="40"/>
        <v>37.067026190853412</v>
      </c>
      <c r="Q84" s="227">
        <f t="shared" si="41"/>
        <v>60.257318615893624</v>
      </c>
      <c r="R84" s="227" t="str">
        <f t="shared" si="27"/>
        <v>0.0945666666666667+0.00177945712519388i</v>
      </c>
      <c r="S84" s="227" t="str">
        <f t="shared" si="28"/>
        <v>0.0085-280.984572722157i</v>
      </c>
      <c r="T84" s="227" t="str">
        <f t="shared" si="29"/>
        <v>23.8261144799169-2.03507710032364i</v>
      </c>
      <c r="U84" s="227" t="str">
        <f t="shared" si="30"/>
        <v>96.0282522736566-1.0135911063653i</v>
      </c>
      <c r="V84" s="227">
        <f t="shared" si="42"/>
        <v>39.648464318697052</v>
      </c>
      <c r="W84" s="227">
        <f t="shared" si="43"/>
        <v>-0.60474219415804376</v>
      </c>
      <c r="X84" s="227" t="str">
        <f t="shared" si="31"/>
        <v>0.999999974179951-0.0000510930423568191i</v>
      </c>
      <c r="Y84" s="227" t="str">
        <f t="shared" si="32"/>
        <v>42.2630150413932+1.43771156762623i</v>
      </c>
      <c r="Z84" s="227" t="str">
        <f t="shared" si="33"/>
        <v>23.7641383171868+0.807197551494019i</v>
      </c>
      <c r="AA84" s="227" t="str">
        <f t="shared" si="34"/>
        <v>32.6600837190355-1.40978583575705i</v>
      </c>
      <c r="AB84" s="227">
        <f t="shared" si="44"/>
        <v>30.28843034612273</v>
      </c>
      <c r="AC84" s="227">
        <f t="shared" si="45"/>
        <v>-2.4716613459149941</v>
      </c>
      <c r="AD84" s="229">
        <f t="shared" si="46"/>
        <v>6.7785958447306829</v>
      </c>
      <c r="AE84" s="229">
        <f t="shared" si="47"/>
        <v>94.617174472164635</v>
      </c>
      <c r="AF84" s="227">
        <f t="shared" si="35"/>
        <v>37.067026190853412</v>
      </c>
      <c r="AG84" s="227">
        <f t="shared" si="36"/>
        <v>92.145513126249639</v>
      </c>
      <c r="AH84" s="229" t="str">
        <f t="shared" si="37"/>
        <v>0.175676349297461-2.17529481838084i</v>
      </c>
    </row>
    <row r="85" spans="9:34" x14ac:dyDescent="0.2">
      <c r="I85" s="227">
        <v>81</v>
      </c>
      <c r="J85" s="227">
        <f t="shared" si="25"/>
        <v>1.7897599246694553</v>
      </c>
      <c r="K85" s="227">
        <f t="shared" si="48"/>
        <v>61.625424611219827</v>
      </c>
      <c r="L85" s="227">
        <f t="shared" si="38"/>
        <v>387.20396246591969</v>
      </c>
      <c r="M85" s="227">
        <f t="shared" si="26"/>
        <v>8755.4008889726229</v>
      </c>
      <c r="N85" s="227">
        <f>SQRT((ABS(AC85)-171.5+'Small Signal'!C$59)^2)</f>
        <v>98.97228383507894</v>
      </c>
      <c r="O85" s="227">
        <f t="shared" si="39"/>
        <v>92.183880713651618</v>
      </c>
      <c r="P85" s="227">
        <f t="shared" si="40"/>
        <v>36.872879156194301</v>
      </c>
      <c r="Q85" s="227">
        <f t="shared" si="41"/>
        <v>61.625424611219827</v>
      </c>
      <c r="R85" s="227" t="str">
        <f t="shared" si="27"/>
        <v>0.0945666666666667+0.00181985862358982i</v>
      </c>
      <c r="S85" s="227" t="str">
        <f t="shared" si="28"/>
        <v>0.0085-274.746616862857i</v>
      </c>
      <c r="T85" s="227" t="str">
        <f t="shared" si="29"/>
        <v>23.8181894281105-2.08058977181193i</v>
      </c>
      <c r="U85" s="227" t="str">
        <f t="shared" si="30"/>
        <v>96.0284373901112-1.03661209920412i</v>
      </c>
      <c r="V85" s="227">
        <f t="shared" si="42"/>
        <v>39.648503286588628</v>
      </c>
      <c r="W85" s="227">
        <f t="shared" si="43"/>
        <v>-0.61847503756940692</v>
      </c>
      <c r="X85" s="227" t="str">
        <f t="shared" si="31"/>
        <v>0.999999972994183-0.0000522530789992292i</v>
      </c>
      <c r="Y85" s="227" t="str">
        <f t="shared" si="32"/>
        <v>42.2638496610399+1.47035554524968i</v>
      </c>
      <c r="Z85" s="227" t="str">
        <f t="shared" si="33"/>
        <v>23.7646094847213+0.825525361248043i</v>
      </c>
      <c r="AA85" s="227" t="str">
        <f t="shared" si="34"/>
        <v>32.6574187773527-1.44168179236035i</v>
      </c>
      <c r="AB85" s="227">
        <f t="shared" si="44"/>
        <v>30.288092554968244</v>
      </c>
      <c r="AC85" s="227">
        <f t="shared" si="45"/>
        <v>-2.5277161649210496</v>
      </c>
      <c r="AD85" s="229">
        <f t="shared" si="46"/>
        <v>6.5847866012260585</v>
      </c>
      <c r="AE85" s="229">
        <f t="shared" si="47"/>
        <v>94.711596878572664</v>
      </c>
      <c r="AF85" s="227">
        <f t="shared" si="35"/>
        <v>36.872879156194301</v>
      </c>
      <c r="AG85" s="227">
        <f t="shared" si="36"/>
        <v>92.183880713651618</v>
      </c>
      <c r="AH85" s="229" t="str">
        <f t="shared" si="37"/>
        <v>0.175305380186542-2.1270087132735i</v>
      </c>
    </row>
    <row r="86" spans="9:34" x14ac:dyDescent="0.2">
      <c r="I86" s="227">
        <v>82</v>
      </c>
      <c r="J86" s="227">
        <f t="shared" si="25"/>
        <v>1.7995100471962389</v>
      </c>
      <c r="K86" s="227">
        <f t="shared" si="48"/>
        <v>63.024592626188472</v>
      </c>
      <c r="L86" s="227">
        <f t="shared" si="38"/>
        <v>395.99519437984628</v>
      </c>
      <c r="M86" s="227">
        <f t="shared" si="26"/>
        <v>8753.9699536936314</v>
      </c>
      <c r="N86" s="227">
        <f>SQRT((ABS(AC86)-171.5+'Small Signal'!C$59)^2)</f>
        <v>98.914960691289934</v>
      </c>
      <c r="O86" s="227">
        <f t="shared" si="39"/>
        <v>92.223316910926968</v>
      </c>
      <c r="P86" s="227">
        <f t="shared" si="40"/>
        <v>36.678770826668583</v>
      </c>
      <c r="Q86" s="227">
        <f t="shared" si="41"/>
        <v>63.024592626188472</v>
      </c>
      <c r="R86" s="227" t="str">
        <f t="shared" si="27"/>
        <v>0.0945666666666667+0.00186117741358528i</v>
      </c>
      <c r="S86" s="227" t="str">
        <f t="shared" si="28"/>
        <v>0.0085-268.647145806926i</v>
      </c>
      <c r="T86" s="227" t="str">
        <f t="shared" si="29"/>
        <v>23.8099060648513-2.12708803602428i</v>
      </c>
      <c r="U86" s="227" t="str">
        <f t="shared" si="30"/>
        <v>96.0286310036299-1.06015632856513i</v>
      </c>
      <c r="V86" s="227">
        <f t="shared" si="42"/>
        <v>39.648544044062056</v>
      </c>
      <c r="W86" s="227">
        <f t="shared" si="43"/>
        <v>-0.6325198536973724</v>
      </c>
      <c r="X86" s="227" t="str">
        <f t="shared" si="31"/>
        <v>0.999999971753961-0.0000534394535723959i</v>
      </c>
      <c r="Y86" s="227" t="str">
        <f t="shared" si="32"/>
        <v>42.2647226223123+1.503740796422i</v>
      </c>
      <c r="Z86" s="227" t="str">
        <f t="shared" si="33"/>
        <v>23.765102297216+0.844269353913537i</v>
      </c>
      <c r="AA86" s="227" t="str">
        <f t="shared" si="34"/>
        <v>32.6546318945717-1.47429411697364i</v>
      </c>
      <c r="AB86" s="227">
        <f t="shared" si="44"/>
        <v>30.287739279225136</v>
      </c>
      <c r="AC86" s="227">
        <f t="shared" si="45"/>
        <v>-2.5850393087100616</v>
      </c>
      <c r="AD86" s="229">
        <f t="shared" si="46"/>
        <v>6.3910315474434505</v>
      </c>
      <c r="AE86" s="229">
        <f t="shared" si="47"/>
        <v>94.808356219637034</v>
      </c>
      <c r="AF86" s="227">
        <f t="shared" si="35"/>
        <v>36.678770826668583</v>
      </c>
      <c r="AG86" s="227">
        <f t="shared" si="36"/>
        <v>92.223316910926968</v>
      </c>
      <c r="AH86" s="229" t="str">
        <f t="shared" si="37"/>
        <v>0.174950698789085-2.07979459363989i</v>
      </c>
    </row>
    <row r="87" spans="9:34" x14ac:dyDescent="0.2">
      <c r="I87" s="227">
        <v>83</v>
      </c>
      <c r="J87" s="227">
        <f t="shared" si="25"/>
        <v>1.8092601697230224</v>
      </c>
      <c r="K87" s="227">
        <f t="shared" si="48"/>
        <v>64.455527905179423</v>
      </c>
      <c r="L87" s="227">
        <f t="shared" si="38"/>
        <v>404.98602590032715</v>
      </c>
      <c r="M87" s="227">
        <f t="shared" si="26"/>
        <v>8752.5065298940917</v>
      </c>
      <c r="N87" s="227">
        <f>SQRT((ABS(AC87)-171.5+'Small Signal'!C$59)^2)</f>
        <v>98.856340729593683</v>
      </c>
      <c r="O87" s="227">
        <f t="shared" si="39"/>
        <v>92.263839375296541</v>
      </c>
      <c r="P87" s="227">
        <f t="shared" si="40"/>
        <v>36.484702961202373</v>
      </c>
      <c r="Q87" s="227">
        <f t="shared" si="41"/>
        <v>64.455527905179423</v>
      </c>
      <c r="R87" s="227" t="str">
        <f t="shared" si="27"/>
        <v>0.0945666666666667+0.00190343432173154i</v>
      </c>
      <c r="S87" s="227" t="str">
        <f t="shared" si="28"/>
        <v>0.0085-262.683085143255i</v>
      </c>
      <c r="T87" s="227" t="str">
        <f t="shared" si="29"/>
        <v>23.8012484585021-2.1745910030881i</v>
      </c>
      <c r="U87" s="227" t="str">
        <f t="shared" si="30"/>
        <v>96.0288335040333-1.08423571315752i</v>
      </c>
      <c r="V87" s="227">
        <f t="shared" si="42"/>
        <v>39.648586673303583</v>
      </c>
      <c r="W87" s="227">
        <f t="shared" si="43"/>
        <v>-0.64688373801484755</v>
      </c>
      <c r="X87" s="227" t="str">
        <f t="shared" si="31"/>
        <v>0.999999970456782-0.0000546527640631164i</v>
      </c>
      <c r="Y87" s="227" t="str">
        <f t="shared" si="32"/>
        <v>42.2656356871799+1.53788415908745i</v>
      </c>
      <c r="Z87" s="227" t="str">
        <f t="shared" si="33"/>
        <v>23.7656177493513+0.863438982920674i</v>
      </c>
      <c r="AA87" s="227" t="str">
        <f t="shared" si="34"/>
        <v>32.6517175122745-1.50763853240985i</v>
      </c>
      <c r="AB87" s="227">
        <f t="shared" si="44"/>
        <v>30.28736981042206</v>
      </c>
      <c r="AC87" s="227">
        <f t="shared" si="45"/>
        <v>-2.6436592704063133</v>
      </c>
      <c r="AD87" s="229">
        <f t="shared" si="46"/>
        <v>6.1973331507803113</v>
      </c>
      <c r="AE87" s="229">
        <f t="shared" si="47"/>
        <v>94.907498645702859</v>
      </c>
      <c r="AF87" s="227">
        <f t="shared" si="35"/>
        <v>36.484702961202373</v>
      </c>
      <c r="AG87" s="227">
        <f t="shared" si="36"/>
        <v>92.263839375296541</v>
      </c>
      <c r="AH87" s="229" t="str">
        <f t="shared" si="37"/>
        <v>0.174611589973275-2.03362866947456i</v>
      </c>
    </row>
    <row r="88" spans="9:34" x14ac:dyDescent="0.2">
      <c r="I88" s="227">
        <v>84</v>
      </c>
      <c r="J88" s="227">
        <f t="shared" si="25"/>
        <v>1.8190102922498057</v>
      </c>
      <c r="K88" s="227">
        <f t="shared" si="48"/>
        <v>65.918951704719817</v>
      </c>
      <c r="L88" s="227">
        <f t="shared" si="38"/>
        <v>414.18098881577629</v>
      </c>
      <c r="M88" s="227">
        <f t="shared" si="26"/>
        <v>8751.009879941781</v>
      </c>
      <c r="N88" s="227">
        <f>SQRT((ABS(AC88)-171.5+'Small Signal'!C$59)^2)</f>
        <v>98.796394830996661</v>
      </c>
      <c r="O88" s="227">
        <f t="shared" si="39"/>
        <v>92.305466159132123</v>
      </c>
      <c r="P88" s="227">
        <f t="shared" si="40"/>
        <v>36.290677396218932</v>
      </c>
      <c r="Q88" s="227">
        <f t="shared" si="41"/>
        <v>65.918951704719817</v>
      </c>
      <c r="R88" s="227" t="str">
        <f t="shared" si="27"/>
        <v>0.0945666666666667+0.00194665064743415i</v>
      </c>
      <c r="S88" s="227" t="str">
        <f t="shared" si="28"/>
        <v>0.0085-256.851428713746i</v>
      </c>
      <c r="T88" s="227" t="str">
        <f t="shared" si="29"/>
        <v>23.7921999940502-2.22311799633215i</v>
      </c>
      <c r="U88" s="227" t="str">
        <f t="shared" si="30"/>
        <v>96.0290452990053-1.10886244501153i</v>
      </c>
      <c r="V88" s="227">
        <f t="shared" si="42"/>
        <v>39.64863126027376</v>
      </c>
      <c r="W88" s="227">
        <f t="shared" si="43"/>
        <v>-0.6615739479518673</v>
      </c>
      <c r="X88" s="227" t="str">
        <f t="shared" si="31"/>
        <v>0.999999969100031-0.0000558936220351167i</v>
      </c>
      <c r="Y88" s="227" t="str">
        <f t="shared" si="32"/>
        <v>42.2665906986389+1.57280285402606i</v>
      </c>
      <c r="Z88" s="227" t="str">
        <f t="shared" si="33"/>
        <v>23.7661568815495+0.883043916629288i</v>
      </c>
      <c r="AA88" s="227" t="str">
        <f t="shared" si="34"/>
        <v>32.6486698206706-1.54173108097343i</v>
      </c>
      <c r="AB88" s="227">
        <f t="shared" si="44"/>
        <v>30.286983407799262</v>
      </c>
      <c r="AC88" s="227">
        <f t="shared" si="45"/>
        <v>-2.7036051690033291</v>
      </c>
      <c r="AD88" s="229">
        <f t="shared" si="46"/>
        <v>6.0036939884196725</v>
      </c>
      <c r="AE88" s="229">
        <f t="shared" si="47"/>
        <v>95.009071328135448</v>
      </c>
      <c r="AF88" s="227">
        <f t="shared" si="35"/>
        <v>36.290677396218932</v>
      </c>
      <c r="AG88" s="227">
        <f t="shared" si="36"/>
        <v>92.305466159132123</v>
      </c>
      <c r="AH88" s="229" t="str">
        <f t="shared" si="37"/>
        <v>0.174287370003198-1.98848767858522i</v>
      </c>
    </row>
    <row r="89" spans="9:34" x14ac:dyDescent="0.2">
      <c r="I89" s="227">
        <v>85</v>
      </c>
      <c r="J89" s="227">
        <f t="shared" si="25"/>
        <v>1.828760414776589</v>
      </c>
      <c r="K89" s="227">
        <f t="shared" si="48"/>
        <v>67.415601657030422</v>
      </c>
      <c r="L89" s="227">
        <f t="shared" si="38"/>
        <v>423.5847178061253</v>
      </c>
      <c r="M89" s="227">
        <f t="shared" si="26"/>
        <v>8749.4792494569865</v>
      </c>
      <c r="N89" s="227">
        <f>SQRT((ABS(AC89)-171.5+'Small Signal'!C$59)^2)</f>
        <v>98.7350932378815</v>
      </c>
      <c r="O89" s="227">
        <f t="shared" si="39"/>
        <v>92.348215708718271</v>
      </c>
      <c r="P89" s="227">
        <f t="shared" si="40"/>
        <v>36.096696048964247</v>
      </c>
      <c r="Q89" s="227">
        <f t="shared" si="41"/>
        <v>67.415601657030422</v>
      </c>
      <c r="R89" s="227" t="str">
        <f t="shared" si="27"/>
        <v>0.0945666666666667+0.00199084817368879i</v>
      </c>
      <c r="S89" s="227" t="str">
        <f t="shared" si="28"/>
        <v>0.0085-251.149237098057i</v>
      </c>
      <c r="T89" s="227" t="str">
        <f t="shared" si="29"/>
        <v>23.7827433461295-2.27268854256044i</v>
      </c>
      <c r="U89" s="227" t="str">
        <f t="shared" si="30"/>
        <v>96.029266814912-1.13404899587331i</v>
      </c>
      <c r="V89" s="227">
        <f t="shared" si="42"/>
        <v>39.648677894881011</v>
      </c>
      <c r="W89" s="227">
        <f t="shared" si="43"/>
        <v>-0.67659790663262243</v>
      </c>
      <c r="X89" s="227" t="str">
        <f t="shared" si="31"/>
        <v>0.999999967680972-0.0000571626529373077i</v>
      </c>
      <c r="Y89" s="227" t="str">
        <f t="shared" si="32"/>
        <v>42.2675895844409+1.60851449358331i</v>
      </c>
      <c r="Z89" s="227" t="str">
        <f t="shared" si="33"/>
        <v>23.7667207820794+0.903094043229271i</v>
      </c>
      <c r="AA89" s="227" t="str">
        <f t="shared" si="34"/>
        <v>32.6454827474194-1.57658812913479i</v>
      </c>
      <c r="AB89" s="227">
        <f t="shared" si="44"/>
        <v>30.286579296849769</v>
      </c>
      <c r="AC89" s="227">
        <f t="shared" si="45"/>
        <v>-2.7649067621184877</v>
      </c>
      <c r="AD89" s="229">
        <f t="shared" si="46"/>
        <v>5.8101167521144781</v>
      </c>
      <c r="AE89" s="229">
        <f t="shared" si="47"/>
        <v>95.113122470836757</v>
      </c>
      <c r="AF89" s="227">
        <f t="shared" si="35"/>
        <v>36.096696048964247</v>
      </c>
      <c r="AG89" s="227">
        <f t="shared" si="36"/>
        <v>92.348215708718271</v>
      </c>
      <c r="AH89" s="229" t="str">
        <f t="shared" si="37"/>
        <v>0.173977385160603-1.9443488749019i</v>
      </c>
    </row>
    <row r="90" spans="9:34" x14ac:dyDescent="0.2">
      <c r="I90" s="227">
        <v>86</v>
      </c>
      <c r="J90" s="227">
        <f t="shared" si="25"/>
        <v>1.8385105373033723</v>
      </c>
      <c r="K90" s="227">
        <f t="shared" si="48"/>
        <v>68.946232141825661</v>
      </c>
      <c r="L90" s="227">
        <f t="shared" si="38"/>
        <v>433.2019527789119</v>
      </c>
      <c r="M90" s="227">
        <f t="shared" si="26"/>
        <v>8747.9138669322565</v>
      </c>
      <c r="N90" s="227">
        <f>SQRT((ABS(AC90)-171.5+'Small Signal'!C$59)^2)</f>
        <v>98.672405541063767</v>
      </c>
      <c r="O90" s="227">
        <f t="shared" si="39"/>
        <v>92.392106862525537</v>
      </c>
      <c r="P90" s="227">
        <f t="shared" si="40"/>
        <v>35.902760920957746</v>
      </c>
      <c r="Q90" s="227">
        <f t="shared" si="41"/>
        <v>68.946232141825661</v>
      </c>
      <c r="R90" s="227" t="str">
        <f t="shared" si="27"/>
        <v>0.0945666666666667+0.00203604917806089i</v>
      </c>
      <c r="S90" s="227" t="str">
        <f t="shared" si="28"/>
        <v>0.0085-245.573636132009i</v>
      </c>
      <c r="T90" s="227" t="str">
        <f t="shared" si="29"/>
        <v>23.7728604511989-2.32332236118339i</v>
      </c>
      <c r="U90" s="227" t="str">
        <f t="shared" si="30"/>
        <v>96.0294984976527-1.159808123758i</v>
      </c>
      <c r="V90" s="227">
        <f t="shared" si="42"/>
        <v>39.648726671162621</v>
      </c>
      <c r="W90" s="227">
        <f t="shared" si="43"/>
        <v>-0.6919632067014444</v>
      </c>
      <c r="X90" s="227" t="str">
        <f t="shared" si="31"/>
        <v>0.999999966196744-0.0000584604964190396i</v>
      </c>
      <c r="Y90" s="227" t="str">
        <f t="shared" si="32"/>
        <v>42.2686343609992+1.64503709060044i</v>
      </c>
      <c r="Z90" s="227" t="str">
        <f t="shared" si="33"/>
        <v>23.7673105892615+0.923599475753563i</v>
      </c>
      <c r="AA90" s="227" t="str">
        <f t="shared" si="34"/>
        <v>32.642149945967-1.61222637213413i</v>
      </c>
      <c r="AB90" s="227">
        <f t="shared" si="44"/>
        <v>30.286156667794089</v>
      </c>
      <c r="AC90" s="227">
        <f t="shared" si="45"/>
        <v>-2.8275944589362312</v>
      </c>
      <c r="AD90" s="229">
        <f t="shared" si="46"/>
        <v>5.616604253163656</v>
      </c>
      <c r="AE90" s="229">
        <f t="shared" si="47"/>
        <v>95.21970132146177</v>
      </c>
      <c r="AF90" s="227">
        <f t="shared" si="35"/>
        <v>35.902760920957746</v>
      </c>
      <c r="AG90" s="227">
        <f t="shared" si="36"/>
        <v>92.392106862525537</v>
      </c>
      <c r="AH90" s="229" t="str">
        <f t="shared" si="37"/>
        <v>0.17368101042711-1.90119001704374i</v>
      </c>
    </row>
    <row r="91" spans="9:34" x14ac:dyDescent="0.2">
      <c r="I91" s="227">
        <v>87</v>
      </c>
      <c r="J91" s="227">
        <f t="shared" si="25"/>
        <v>1.8482606598301559</v>
      </c>
      <c r="K91" s="227">
        <f t="shared" si="48"/>
        <v>70.511614666555275</v>
      </c>
      <c r="L91" s="227">
        <f t="shared" si="38"/>
        <v>443.03754125840874</v>
      </c>
      <c r="M91" s="227">
        <f t="shared" si="26"/>
        <v>8746.3129433435315</v>
      </c>
      <c r="N91" s="227">
        <f>SQRT((ABS(AC91)-171.5+'Small Signal'!C$59)^2)</f>
        <v>98.608300666661364</v>
      </c>
      <c r="O91" s="227">
        <f t="shared" si="39"/>
        <v>92.4371588489484</v>
      </c>
      <c r="P91" s="227">
        <f t="shared" si="40"/>
        <v>35.708874101577635</v>
      </c>
      <c r="Q91" s="227">
        <f t="shared" si="41"/>
        <v>70.511614666555275</v>
      </c>
      <c r="R91" s="227" t="str">
        <f t="shared" si="27"/>
        <v>0.0945666666666667+0.00208227644391452i</v>
      </c>
      <c r="S91" s="227" t="str">
        <f t="shared" si="28"/>
        <v>0.0085-240.121815458873i</v>
      </c>
      <c r="T91" s="227" t="str">
        <f t="shared" si="29"/>
        <v>23.762532478873-2.37503935212709i</v>
      </c>
      <c r="U91" s="227" t="str">
        <f t="shared" si="30"/>
        <v>96.0297408135578-1.18615287966593i</v>
      </c>
      <c r="V91" s="227">
        <f t="shared" si="42"/>
        <v>39.648777687474862</v>
      </c>
      <c r="W91" s="227">
        <f t="shared" si="43"/>
        <v>-0.7076776142401987</v>
      </c>
      <c r="X91" s="227" t="str">
        <f t="shared" si="31"/>
        <v>0.999999964644353-0.0000597878066525145i</v>
      </c>
      <c r="Y91" s="227" t="str">
        <f t="shared" si="32"/>
        <v>42.2697271374724+1.6823890675504i</v>
      </c>
      <c r="Z91" s="227" t="str">
        <f t="shared" si="33"/>
        <v>23.767927493773+0.944570557206527i</v>
      </c>
      <c r="AA91" s="227" t="str">
        <f t="shared" si="34"/>
        <v>32.63866478339-1.64866283850253i</v>
      </c>
      <c r="AB91" s="227">
        <f t="shared" si="44"/>
        <v>30.285714673988771</v>
      </c>
      <c r="AC91" s="227">
        <f t="shared" si="45"/>
        <v>-2.8916993333386221</v>
      </c>
      <c r="AD91" s="229">
        <f t="shared" si="46"/>
        <v>5.4231594275888648</v>
      </c>
      <c r="AE91" s="229">
        <f t="shared" si="47"/>
        <v>95.328858182287021</v>
      </c>
      <c r="AF91" s="227">
        <f t="shared" si="35"/>
        <v>35.708874101577635</v>
      </c>
      <c r="AG91" s="227">
        <f t="shared" si="36"/>
        <v>92.4371588489484</v>
      </c>
      <c r="AH91" s="229" t="str">
        <f t="shared" si="37"/>
        <v>0.173397648224284-1.85898935713831i</v>
      </c>
    </row>
    <row r="92" spans="9:34" x14ac:dyDescent="0.2">
      <c r="I92" s="227">
        <v>88</v>
      </c>
      <c r="J92" s="227">
        <f t="shared" si="25"/>
        <v>1.8580107823569392</v>
      </c>
      <c r="K92" s="227">
        <f t="shared" si="48"/>
        <v>72.112538255279276</v>
      </c>
      <c r="L92" s="227">
        <f t="shared" si="38"/>
        <v>453.09644082899661</v>
      </c>
      <c r="M92" s="227">
        <f t="shared" si="26"/>
        <v>8744.6756717524386</v>
      </c>
      <c r="N92" s="227">
        <f>SQRT((ABS(AC92)-171.5+'Small Signal'!C$59)^2)</f>
        <v>98.542746862780575</v>
      </c>
      <c r="O92" s="227">
        <f t="shared" si="39"/>
        <v>92.483391283461714</v>
      </c>
      <c r="P92" s="227">
        <f t="shared" si="40"/>
        <v>35.51503777177976</v>
      </c>
      <c r="Q92" s="227">
        <f t="shared" si="41"/>
        <v>72.112538255279276</v>
      </c>
      <c r="R92" s="227" t="str">
        <f t="shared" si="27"/>
        <v>0.0945666666666667+0.00212955327189628i</v>
      </c>
      <c r="S92" s="227" t="str">
        <f t="shared" si="28"/>
        <v>0.0085-234.791027112822i</v>
      </c>
      <c r="T92" s="227" t="str">
        <f t="shared" si="29"/>
        <v>23.7517398024034-2.42785958243663i</v>
      </c>
      <c r="U92" s="227" t="str">
        <f t="shared" si="30"/>
        <v>96.0299942503168-1.2130966144662i</v>
      </c>
      <c r="V92" s="227">
        <f t="shared" si="42"/>
        <v>39.648831046690837</v>
      </c>
      <c r="W92" s="227">
        <f t="shared" si="43"/>
        <v>-0.72374907277934741</v>
      </c>
      <c r="X92" s="227" t="str">
        <f t="shared" si="31"/>
        <v>0.999999963020671-0.0000611452526625189i</v>
      </c>
      <c r="Y92" s="227" t="str">
        <f t="shared" si="32"/>
        <v>42.2708701200358+1.72058926588401i</v>
      </c>
      <c r="Z92" s="227" t="str">
        <f t="shared" si="33"/>
        <v>23.7685727410597+0.966017865810284i</v>
      </c>
      <c r="AA92" s="227" t="str">
        <f t="shared" si="34"/>
        <v>32.6350203277168-1.68591489448489i</v>
      </c>
      <c r="AB92" s="227">
        <f t="shared" si="44"/>
        <v>30.285252430263256</v>
      </c>
      <c r="AC92" s="227">
        <f t="shared" si="45"/>
        <v>-2.9572531372194213</v>
      </c>
      <c r="AD92" s="229">
        <f t="shared" si="46"/>
        <v>5.2297853415165028</v>
      </c>
      <c r="AE92" s="229">
        <f t="shared" si="47"/>
        <v>95.440644420681139</v>
      </c>
      <c r="AF92" s="227">
        <f t="shared" si="35"/>
        <v>35.51503777177976</v>
      </c>
      <c r="AG92" s="227">
        <f t="shared" si="36"/>
        <v>92.483391283461714</v>
      </c>
      <c r="AH92" s="229" t="str">
        <f t="shared" si="37"/>
        <v>0.173126727208995-1.81772562988752i</v>
      </c>
    </row>
    <row r="93" spans="9:34" x14ac:dyDescent="0.2">
      <c r="I93" s="227">
        <v>89</v>
      </c>
      <c r="J93" s="227">
        <f t="shared" si="25"/>
        <v>1.8677609048837227</v>
      </c>
      <c r="K93" s="227">
        <f t="shared" si="48"/>
        <v>73.749809846372202</v>
      </c>
      <c r="L93" s="227">
        <f t="shared" si="38"/>
        <v>463.38372163401419</v>
      </c>
      <c r="M93" s="227">
        <f t="shared" si="26"/>
        <v>8743.0012268995561</v>
      </c>
      <c r="N93" s="227">
        <f>SQRT((ABS(AC93)-171.5+'Small Signal'!C$59)^2)</f>
        <v>98.47571168602127</v>
      </c>
      <c r="O93" s="227">
        <f t="shared" si="39"/>
        <v>92.530824165142718</v>
      </c>
      <c r="P93" s="227">
        <f t="shared" si="40"/>
        <v>35.321254207957736</v>
      </c>
      <c r="Q93" s="227">
        <f t="shared" si="41"/>
        <v>73.749809846372202</v>
      </c>
      <c r="R93" s="227" t="str">
        <f t="shared" si="27"/>
        <v>0.0945666666666667+0.00217790349167987i</v>
      </c>
      <c r="S93" s="227" t="str">
        <f t="shared" si="28"/>
        <v>0.0085-229.578584133836i</v>
      </c>
      <c r="T93" s="227" t="str">
        <f t="shared" si="29"/>
        <v>23.7404619683136-2.48180327148504i</v>
      </c>
      <c r="U93" s="227" t="str">
        <f t="shared" si="30"/>
        <v>96.0302593179582-1.24065298595279i</v>
      </c>
      <c r="V93" s="227">
        <f t="shared" si="42"/>
        <v>39.648886856408261</v>
      </c>
      <c r="W93" s="227">
        <f t="shared" si="43"/>
        <v>-0.74018570740517553</v>
      </c>
      <c r="X93" s="227" t="str">
        <f t="shared" si="31"/>
        <v>0.999999961322422-0.0000625335186636427i</v>
      </c>
      <c r="Y93" s="227" t="str">
        <f t="shared" si="32"/>
        <v>42.2720656163519+1.75965695559175i</v>
      </c>
      <c r="Z93" s="227" t="str">
        <f t="shared" si="33"/>
        <v>23.7692476338594+0.987952220372036i</v>
      </c>
      <c r="AA93" s="227" t="str">
        <f t="shared" si="34"/>
        <v>32.6312093347141-1.72400024834983i</v>
      </c>
      <c r="AB93" s="227">
        <f t="shared" si="44"/>
        <v>30.284769011184022</v>
      </c>
      <c r="AC93" s="227">
        <f t="shared" si="45"/>
        <v>-3.0242883139787176</v>
      </c>
      <c r="AD93" s="229">
        <f t="shared" si="46"/>
        <v>5.0364851967737154</v>
      </c>
      <c r="AE93" s="229">
        <f t="shared" si="47"/>
        <v>95.555112479121433</v>
      </c>
      <c r="AF93" s="227">
        <f t="shared" si="35"/>
        <v>35.321254207957736</v>
      </c>
      <c r="AG93" s="227">
        <f t="shared" si="36"/>
        <v>92.530824165142718</v>
      </c>
      <c r="AH93" s="229" t="str">
        <f t="shared" si="37"/>
        <v>0.172867701121652-1.77737804187514i</v>
      </c>
    </row>
    <row r="94" spans="9:34" x14ac:dyDescent="0.2">
      <c r="I94" s="227">
        <v>90</v>
      </c>
      <c r="J94" s="227">
        <f t="shared" si="25"/>
        <v>1.877511027410506</v>
      </c>
      <c r="K94" s="227">
        <f t="shared" si="48"/>
        <v>75.42425469925638</v>
      </c>
      <c r="L94" s="227">
        <f t="shared" si="38"/>
        <v>473.90456893133853</v>
      </c>
      <c r="M94" s="227">
        <f t="shared" si="26"/>
        <v>8741.2887647884399</v>
      </c>
      <c r="N94" s="227">
        <f>SQRT((ABS(AC94)-171.5+'Small Signal'!C$59)^2)</f>
        <v>98.40716198780666</v>
      </c>
      <c r="O94" s="227">
        <f t="shared" si="39"/>
        <v>92.579477872505819</v>
      </c>
      <c r="P94" s="227">
        <f t="shared" si="40"/>
        <v>35.127525785945188</v>
      </c>
      <c r="Q94" s="227">
        <f t="shared" si="41"/>
        <v>75.42425469925638</v>
      </c>
      <c r="R94" s="227" t="str">
        <f t="shared" si="27"/>
        <v>0.0945666666666667+0.00222735147397729i</v>
      </c>
      <c r="S94" s="227" t="str">
        <f t="shared" si="28"/>
        <v>0.0085-224.481859213342i</v>
      </c>
      <c r="T94" s="227" t="str">
        <f t="shared" si="29"/>
        <v>23.72867766519-2.53689077469502i</v>
      </c>
      <c r="U94" s="227" t="str">
        <f t="shared" si="30"/>
        <v>96.0305365498687-1.26883596607829i</v>
      </c>
      <c r="V94" s="227">
        <f t="shared" si="42"/>
        <v>39.64894522916638</v>
      </c>
      <c r="W94" s="227">
        <f t="shared" si="43"/>
        <v>-0.75699582896585116</v>
      </c>
      <c r="X94" s="227" t="str">
        <f t="shared" si="31"/>
        <v>0.999999959546182-0.0000639533044051543i</v>
      </c>
      <c r="Y94" s="227" t="str">
        <f t="shared" si="32"/>
        <v>42.273316040249+1.79961184498578i</v>
      </c>
      <c r="Z94" s="227" t="str">
        <f t="shared" si="33"/>
        <v>23.7699535348425+1.01038468577496i</v>
      </c>
      <c r="AA94" s="227" t="str">
        <f t="shared" si="34"/>
        <v>32.6272242341121-1.76293695456908i</v>
      </c>
      <c r="AB94" s="227">
        <f t="shared" si="44"/>
        <v>30.284263449241475</v>
      </c>
      <c r="AC94" s="227">
        <f t="shared" si="45"/>
        <v>-3.0928380121933423</v>
      </c>
      <c r="AD94" s="229">
        <f t="shared" si="46"/>
        <v>4.8432623367037104</v>
      </c>
      <c r="AE94" s="229">
        <f t="shared" si="47"/>
        <v>95.672315884699159</v>
      </c>
      <c r="AF94" s="227">
        <f t="shared" si="35"/>
        <v>35.127525785945188</v>
      </c>
      <c r="AG94" s="227">
        <f t="shared" si="36"/>
        <v>92.579477872505819</v>
      </c>
      <c r="AH94" s="229" t="str">
        <f t="shared" si="37"/>
        <v>0.172620047684991-1.73792626111035i</v>
      </c>
    </row>
    <row r="95" spans="9:34" x14ac:dyDescent="0.2">
      <c r="I95" s="227">
        <v>91</v>
      </c>
      <c r="J95" s="227">
        <f t="shared" si="25"/>
        <v>1.8872611499372893</v>
      </c>
      <c r="K95" s="227">
        <f t="shared" si="48"/>
        <v>77.136716810370729</v>
      </c>
      <c r="L95" s="227">
        <f t="shared" si="38"/>
        <v>484.66428570699395</v>
      </c>
      <c r="M95" s="227">
        <f t="shared" si="26"/>
        <v>8739.5374222602277</v>
      </c>
      <c r="N95" s="227">
        <f>SQRT((ABS(AC95)-171.5+'Small Signal'!C$59)^2)</f>
        <v>98.337063900541494</v>
      </c>
      <c r="O95" s="227">
        <f t="shared" si="39"/>
        <v>92.629373158591974</v>
      </c>
      <c r="P95" s="227">
        <f t="shared" si="40"/>
        <v>34.93385498516551</v>
      </c>
      <c r="Q95" s="227">
        <f t="shared" si="41"/>
        <v>77.136716810370729</v>
      </c>
      <c r="R95" s="227" t="str">
        <f t="shared" si="27"/>
        <v>0.0945666666666667+0.00227792214282287i</v>
      </c>
      <c r="S95" s="227" t="str">
        <f t="shared" si="28"/>
        <v>0.0085-219.498283369942i</v>
      </c>
      <c r="T95" s="227" t="str">
        <f t="shared" si="29"/>
        <v>23.7163646916405-2.59314256567528i</v>
      </c>
      <c r="U95" s="227" t="str">
        <f t="shared" si="30"/>
        <v>96.0308265038575-1.29765984837003i</v>
      </c>
      <c r="V95" s="227">
        <f t="shared" si="42"/>
        <v>39.649006282672701</v>
      </c>
      <c r="W95" s="227">
        <f t="shared" si="43"/>
        <v>-0.77418793837864874</v>
      </c>
      <c r="X95" s="227" t="str">
        <f t="shared" si="31"/>
        <v>0.999999957688369-0.0000654053255237066i</v>
      </c>
      <c r="Y95" s="227" t="str">
        <f t="shared" si="32"/>
        <v>42.2746239166103+1.8404740907078i</v>
      </c>
      <c r="Z95" s="227" t="str">
        <f t="shared" si="33"/>
        <v>23.770691869373+1.03332657859583i</v>
      </c>
      <c r="AA95" s="227" t="str">
        <f t="shared" si="34"/>
        <v>32.6230571152522-1.80274341784863i</v>
      </c>
      <c r="AB95" s="227">
        <f t="shared" si="44"/>
        <v>30.283734732957601</v>
      </c>
      <c r="AC95" s="227">
        <f t="shared" si="45"/>
        <v>-3.1629360994585132</v>
      </c>
      <c r="AD95" s="229">
        <f t="shared" si="46"/>
        <v>4.6501202522079108</v>
      </c>
      <c r="AE95" s="229">
        <f t="shared" si="47"/>
        <v>95.792309258050494</v>
      </c>
      <c r="AF95" s="227">
        <f t="shared" si="35"/>
        <v>34.93385498516551</v>
      </c>
      <c r="AG95" s="227">
        <f t="shared" si="36"/>
        <v>92.629373158591974</v>
      </c>
      <c r="AH95" s="229" t="str">
        <f t="shared" si="37"/>
        <v>0.172383267551198-1.6993504068023i</v>
      </c>
    </row>
    <row r="96" spans="9:34" x14ac:dyDescent="0.2">
      <c r="I96" s="227">
        <v>92</v>
      </c>
      <c r="J96" s="227">
        <f t="shared" si="25"/>
        <v>1.8970112724640729</v>
      </c>
      <c r="K96" s="227">
        <f t="shared" si="48"/>
        <v>78.888059338582948</v>
      </c>
      <c r="L96" s="227">
        <f t="shared" si="38"/>
        <v>495.66829534809574</v>
      </c>
      <c r="M96" s="227">
        <f t="shared" si="26"/>
        <v>8737.7463165585505</v>
      </c>
      <c r="N96" s="227">
        <f>SQRT((ABS(AC96)-171.5+'Small Signal'!C$59)^2)</f>
        <v>98.265382823604909</v>
      </c>
      <c r="O96" s="227">
        <f t="shared" si="39"/>
        <v>92.680531145251052</v>
      </c>
      <c r="P96" s="227">
        <f t="shared" si="40"/>
        <v>34.740244392931885</v>
      </c>
      <c r="Q96" s="227">
        <f t="shared" si="41"/>
        <v>78.888059338582948</v>
      </c>
      <c r="R96" s="227" t="str">
        <f t="shared" si="27"/>
        <v>0.0945666666666667+0.00232964098813605i</v>
      </c>
      <c r="S96" s="227" t="str">
        <f t="shared" si="28"/>
        <v>0.0085-214.625344654522i</v>
      </c>
      <c r="T96" s="227" t="str">
        <f t="shared" si="29"/>
        <v>23.7034999234325-2.65057921666915i</v>
      </c>
      <c r="U96" s="227" t="str">
        <f t="shared" si="30"/>
        <v>96.0311297632763-1.32713925553475i</v>
      </c>
      <c r="V96" s="227">
        <f t="shared" si="42"/>
        <v>39.649070140040791</v>
      </c>
      <c r="W96" s="227">
        <f t="shared" si="43"/>
        <v>-0.79177073104139006</v>
      </c>
      <c r="X96" s="227" t="str">
        <f t="shared" si="31"/>
        <v>0.999999955745238-0.0000668903139040499i</v>
      </c>
      <c r="Y96" s="227" t="str">
        <f t="shared" si="32"/>
        <v>42.275991886498+1.88226430796806i</v>
      </c>
      <c r="Z96" s="227" t="str">
        <f t="shared" si="33"/>
        <v>23.7714641284003+1.0567894728523i</v>
      </c>
      <c r="AA96" s="227" t="str">
        <f t="shared" si="34"/>
        <v>32.6186997121305-1.84343839699178i</v>
      </c>
      <c r="AB96" s="227">
        <f t="shared" si="44"/>
        <v>30.283181804909695</v>
      </c>
      <c r="AC96" s="227">
        <f t="shared" si="45"/>
        <v>-3.2346171763950791</v>
      </c>
      <c r="AD96" s="229">
        <f t="shared" si="46"/>
        <v>4.4570625880221906</v>
      </c>
      <c r="AE96" s="229">
        <f t="shared" si="47"/>
        <v>95.915148321646129</v>
      </c>
      <c r="AF96" s="227">
        <f t="shared" si="35"/>
        <v>34.740244392931885</v>
      </c>
      <c r="AG96" s="227">
        <f t="shared" si="36"/>
        <v>92.680531145251052</v>
      </c>
      <c r="AH96" s="229" t="str">
        <f t="shared" si="37"/>
        <v>0.172156883295244-1.66163103936068i</v>
      </c>
    </row>
    <row r="97" spans="9:34" x14ac:dyDescent="0.2">
      <c r="I97" s="227">
        <v>93</v>
      </c>
      <c r="J97" s="227">
        <f t="shared" si="25"/>
        <v>1.9067613949908562</v>
      </c>
      <c r="K97" s="227">
        <f t="shared" si="48"/>
        <v>80.67916504026104</v>
      </c>
      <c r="L97" s="227">
        <f t="shared" si="38"/>
        <v>506.92214437648511</v>
      </c>
      <c r="M97" s="227">
        <f t="shared" si="26"/>
        <v>8735.9145448845884</v>
      </c>
      <c r="N97" s="227">
        <f>SQRT((ABS(AC97)-171.5+'Small Signal'!C$59)^2)</f>
        <v>98.192083409183823</v>
      </c>
      <c r="O97" s="227">
        <f t="shared" si="39"/>
        <v>92.732973316552474</v>
      </c>
      <c r="P97" s="227">
        <f t="shared" si="40"/>
        <v>34.546696708901102</v>
      </c>
      <c r="Q97" s="227">
        <f t="shared" si="41"/>
        <v>80.67916504026104</v>
      </c>
      <c r="R97" s="227" t="str">
        <f t="shared" si="27"/>
        <v>0.0945666666666667+0.00238253407856948i</v>
      </c>
      <c r="S97" s="227" t="str">
        <f t="shared" si="28"/>
        <v>0.0085-209.860586884117i</v>
      </c>
      <c r="T97" s="227" t="str">
        <f t="shared" si="29"/>
        <v>23.6900592798275-2.70922137720739i</v>
      </c>
      <c r="U97" s="227" t="str">
        <f t="shared" si="30"/>
        <v>96.0314469381783-1.35728914725678i</v>
      </c>
      <c r="V97" s="227">
        <f t="shared" si="42"/>
        <v>39.649136930038011</v>
      </c>
      <c r="W97" s="227">
        <f t="shared" si="43"/>
        <v>-0.80975310135064571</v>
      </c>
      <c r="X97" s="227" t="str">
        <f t="shared" si="31"/>
        <v>0.99999995371287-0.0000684090180479353i</v>
      </c>
      <c r="Y97" s="227" t="str">
        <f t="shared" si="32"/>
        <v>42.2774227125053+1.92500358102076i</v>
      </c>
      <c r="Z97" s="227" t="str">
        <f t="shared" si="33"/>
        <v>23.7722718714808+1.08078520588282i</v>
      </c>
      <c r="AA97" s="227" t="str">
        <f t="shared" si="34"/>
        <v>32.614143387819-1.88504100857336i</v>
      </c>
      <c r="AB97" s="227">
        <f t="shared" si="44"/>
        <v>30.282603559667916</v>
      </c>
      <c r="AC97" s="227">
        <f t="shared" si="45"/>
        <v>-3.3079165908161778</v>
      </c>
      <c r="AD97" s="229">
        <f t="shared" si="46"/>
        <v>4.2640931492331866</v>
      </c>
      <c r="AE97" s="229">
        <f t="shared" si="47"/>
        <v>96.040889907368651</v>
      </c>
      <c r="AF97" s="227">
        <f t="shared" si="35"/>
        <v>34.546696708901102</v>
      </c>
      <c r="AG97" s="227">
        <f t="shared" si="36"/>
        <v>92.732973316552474</v>
      </c>
      <c r="AH97" s="229" t="str">
        <f t="shared" si="37"/>
        <v>0.171940438452406-1.62474915061719i</v>
      </c>
    </row>
    <row r="98" spans="9:34" x14ac:dyDescent="0.2">
      <c r="I98" s="227">
        <v>94</v>
      </c>
      <c r="J98" s="227">
        <f t="shared" si="25"/>
        <v>1.9165115175176397</v>
      </c>
      <c r="K98" s="227">
        <f t="shared" si="48"/>
        <v>82.510936714222979</v>
      </c>
      <c r="L98" s="227">
        <f t="shared" si="38"/>
        <v>518.43150524443047</v>
      </c>
      <c r="M98" s="227">
        <f t="shared" si="26"/>
        <v>8734.0411839420231</v>
      </c>
      <c r="N98" s="227">
        <f>SQRT((ABS(AC98)-171.5+'Small Signal'!C$59)^2)</f>
        <v>98.117129547954079</v>
      </c>
      <c r="O98" s="227">
        <f t="shared" si="39"/>
        <v>92.786721511255138</v>
      </c>
      <c r="P98" s="227">
        <f t="shared" si="40"/>
        <v>34.353214749684312</v>
      </c>
      <c r="Q98" s="227">
        <f t="shared" si="41"/>
        <v>82.510936714222979</v>
      </c>
      <c r="R98" s="227" t="str">
        <f t="shared" si="27"/>
        <v>0.0945666666666667+0.00243662807464882i</v>
      </c>
      <c r="S98" s="227" t="str">
        <f t="shared" si="28"/>
        <v>0.0085-205.201608403885i</v>
      </c>
      <c r="T98" s="227" t="str">
        <f t="shared" si="29"/>
        <v>23.6760176891377-2.76908975085258i</v>
      </c>
      <c r="U98" s="227" t="str">
        <f t="shared" si="30"/>
        <v>96.0317786665439-1.38812482819616i</v>
      </c>
      <c r="V98" s="227">
        <f t="shared" si="42"/>
        <v>39.649206787345783</v>
      </c>
      <c r="W98" s="227">
        <f t="shared" si="43"/>
        <v>-0.82814414732971997</v>
      </c>
      <c r="X98" s="227" t="str">
        <f t="shared" si="31"/>
        <v>0.999999951587167-0.0000699622034513939i</v>
      </c>
      <c r="Y98" s="227" t="str">
        <f t="shared" si="32"/>
        <v>42.2789192843652+1.96871347388198i</v>
      </c>
      <c r="Z98" s="227" t="str">
        <f t="shared" si="33"/>
        <v>23.7731167299443+1.10532588436266i</v>
      </c>
      <c r="AA98" s="227" t="str">
        <f t="shared" si="34"/>
        <v>32.6093791182377-1.92757073040212i</v>
      </c>
      <c r="AB98" s="227">
        <f t="shared" si="44"/>
        <v>30.281998841641947</v>
      </c>
      <c r="AC98" s="227">
        <f t="shared" si="45"/>
        <v>-3.382870452045915</v>
      </c>
      <c r="AD98" s="229">
        <f t="shared" si="46"/>
        <v>4.071215908042368</v>
      </c>
      <c r="AE98" s="229">
        <f t="shared" si="47"/>
        <v>96.169591963301059</v>
      </c>
      <c r="AF98" s="227">
        <f t="shared" si="35"/>
        <v>34.353214749684312</v>
      </c>
      <c r="AG98" s="227">
        <f t="shared" si="36"/>
        <v>92.786721511255138</v>
      </c>
      <c r="AH98" s="229" t="str">
        <f t="shared" si="37"/>
        <v>0.171733496598031-1.58868615426322i</v>
      </c>
    </row>
    <row r="99" spans="9:34" x14ac:dyDescent="0.2">
      <c r="I99" s="227">
        <v>95</v>
      </c>
      <c r="J99" s="227">
        <f t="shared" si="25"/>
        <v>1.926261640044423</v>
      </c>
      <c r="K99" s="227">
        <f t="shared" si="48"/>
        <v>84.384297656787894</v>
      </c>
      <c r="L99" s="227">
        <f t="shared" si="38"/>
        <v>530.20217919379843</v>
      </c>
      <c r="M99" s="227">
        <f t="shared" si="26"/>
        <v>8732.1252894716508</v>
      </c>
      <c r="N99" s="227">
        <f>SQRT((ABS(AC99)-171.5+'Small Signal'!C$59)^2)</f>
        <v>98.040484354617462</v>
      </c>
      <c r="O99" s="227">
        <f t="shared" si="39"/>
        <v>92.84179791426331</v>
      </c>
      <c r="P99" s="227">
        <f t="shared" si="40"/>
        <v>34.159801453619053</v>
      </c>
      <c r="Q99" s="227">
        <f t="shared" si="41"/>
        <v>84.384297656787894</v>
      </c>
      <c r="R99" s="227" t="str">
        <f t="shared" si="27"/>
        <v>0.0945666666666667+0.00249195024221085i</v>
      </c>
      <c r="S99" s="227" t="str">
        <f t="shared" si="28"/>
        <v>0.0085-200.646060876561i</v>
      </c>
      <c r="T99" s="227" t="str">
        <f t="shared" si="29"/>
        <v>23.6613490535311-2.83020506991692i</v>
      </c>
      <c r="U99" s="227" t="str">
        <f t="shared" si="30"/>
        <v>96.0321256155472-1.41966195619241i</v>
      </c>
      <c r="V99" s="227">
        <f t="shared" si="42"/>
        <v>39.649279852830603</v>
      </c>
      <c r="W99" s="227">
        <f t="shared" si="43"/>
        <v>-0.84695317536938985</v>
      </c>
      <c r="X99" s="227" t="str">
        <f t="shared" si="31"/>
        <v>0.999999949363842-0.0000715506529905812i</v>
      </c>
      <c r="Y99" s="227" t="str">
        <f t="shared" si="32"/>
        <v>42.2804846248089+2.01341604129538i</v>
      </c>
      <c r="Z99" s="227" t="str">
        <f t="shared" si="33"/>
        <v>23.7740004102007+1.13042389045888i</v>
      </c>
      <c r="AA99" s="227" t="str">
        <f t="shared" si="34"/>
        <v>32.6043974752605-1.97104740474765i</v>
      </c>
      <c r="AB99" s="227">
        <f t="shared" si="44"/>
        <v>30.28136644283471</v>
      </c>
      <c r="AC99" s="227">
        <f t="shared" si="45"/>
        <v>-3.4595156453825511</v>
      </c>
      <c r="AD99" s="229">
        <f t="shared" si="46"/>
        <v>3.8784350107843437</v>
      </c>
      <c r="AE99" s="229">
        <f t="shared" si="47"/>
        <v>96.301313559645862</v>
      </c>
      <c r="AF99" s="227">
        <f t="shared" si="35"/>
        <v>34.159801453619053</v>
      </c>
      <c r="AG99" s="227">
        <f t="shared" si="36"/>
        <v>92.84179791426331</v>
      </c>
      <c r="AH99" s="229" t="str">
        <f t="shared" si="37"/>
        <v>0.171535640467702-1.55342387649893i</v>
      </c>
    </row>
    <row r="100" spans="9:34" x14ac:dyDescent="0.2">
      <c r="I100" s="227">
        <v>96</v>
      </c>
      <c r="J100" s="227">
        <f t="shared" si="25"/>
        <v>1.9360117625712063</v>
      </c>
      <c r="K100" s="227">
        <f t="shared" si="48"/>
        <v>86.300192127160031</v>
      </c>
      <c r="L100" s="227">
        <f t="shared" si="38"/>
        <v>542.24009918014735</v>
      </c>
      <c r="M100" s="227">
        <f t="shared" si="26"/>
        <v>8730.1658957754335</v>
      </c>
      <c r="N100" s="227">
        <f>SQRT((ABS(AC100)-171.5+'Small Signal'!C$59)^2)</f>
        <v>97.962110153303456</v>
      </c>
      <c r="O100" s="227">
        <f t="shared" si="39"/>
        <v>92.898225046990959</v>
      </c>
      <c r="P100" s="227">
        <f t="shared" si="40"/>
        <v>33.966459885702861</v>
      </c>
      <c r="Q100" s="227">
        <f t="shared" si="41"/>
        <v>86.300192127160031</v>
      </c>
      <c r="R100" s="227" t="str">
        <f t="shared" si="27"/>
        <v>0.0945666666666667+0.00254852846614669i</v>
      </c>
      <c r="S100" s="227" t="str">
        <f t="shared" si="28"/>
        <v>0.0085-196.19164809879i</v>
      </c>
      <c r="T100" s="227" t="str">
        <f t="shared" si="29"/>
        <v>23.6460262131223-2.89258806803024i</v>
      </c>
      <c r="U100" s="227" t="str">
        <f t="shared" si="30"/>
        <v>96.032488482893-1.45191655068049i</v>
      </c>
      <c r="V100" s="227">
        <f t="shared" si="42"/>
        <v>39.649356273828602</v>
      </c>
      <c r="W100" s="227">
        <f t="shared" si="43"/>
        <v>-0.86618970508438187</v>
      </c>
      <c r="X100" s="227" t="str">
        <f t="shared" si="31"/>
        <v>0.999999947038413-0.0000731751673163829i</v>
      </c>
      <c r="Y100" s="227" t="str">
        <f t="shared" si="32"/>
        <v>42.2821218957061+2.0591338399522i</v>
      </c>
      <c r="Z100" s="227" t="str">
        <f t="shared" si="33"/>
        <v>23.7749246972069+1.15609188812798i</v>
      </c>
      <c r="AA100" s="227" t="str">
        <f t="shared" si="34"/>
        <v>32.5991886091203-2.01549124130471i</v>
      </c>
      <c r="AB100" s="227">
        <f t="shared" si="44"/>
        <v>30.280705100496476</v>
      </c>
      <c r="AC100" s="227">
        <f t="shared" si="45"/>
        <v>-3.5378898466965474</v>
      </c>
      <c r="AD100" s="229">
        <f t="shared" si="46"/>
        <v>3.685754785206385</v>
      </c>
      <c r="AE100" s="229">
        <f t="shared" si="47"/>
        <v>96.436114893687503</v>
      </c>
      <c r="AF100" s="227">
        <f t="shared" si="35"/>
        <v>33.966459885702861</v>
      </c>
      <c r="AG100" s="227">
        <f t="shared" si="36"/>
        <v>92.898225046990959</v>
      </c>
      <c r="AH100" s="229" t="str">
        <f t="shared" si="37"/>
        <v>0.171346471116009-1.51894454688914i</v>
      </c>
    </row>
    <row r="101" spans="9:34" x14ac:dyDescent="0.2">
      <c r="I101" s="227">
        <v>97</v>
      </c>
      <c r="J101" s="227">
        <f t="shared" si="25"/>
        <v>1.9457618850979896</v>
      </c>
      <c r="K101" s="227">
        <f t="shared" si="48"/>
        <v>88.259585823377776</v>
      </c>
      <c r="L101" s="227">
        <f t="shared" si="38"/>
        <v>554.5513328632029</v>
      </c>
      <c r="M101" s="227">
        <f t="shared" si="26"/>
        <v>8728.1620152297419</v>
      </c>
      <c r="N101" s="227">
        <f>SQRT((ABS(AC101)-171.5+'Small Signal'!C$59)^2)</f>
        <v>97.881968462845748</v>
      </c>
      <c r="O101" s="227">
        <f t="shared" si="39"/>
        <v>92.956025756552719</v>
      </c>
      <c r="P101" s="227">
        <f t="shared" si="40"/>
        <v>33.773193242694205</v>
      </c>
      <c r="Q101" s="227">
        <f t="shared" si="41"/>
        <v>88.259585823377776</v>
      </c>
      <c r="R101" s="227" t="str">
        <f t="shared" si="27"/>
        <v>0.0945666666666667+0.00260639126445705i</v>
      </c>
      <c r="S101" s="227" t="str">
        <f t="shared" si="28"/>
        <v>0.0085-191.836124843733i</v>
      </c>
      <c r="T101" s="227" t="str">
        <f t="shared" si="29"/>
        <v>23.630020909391-2.95625945042978i</v>
      </c>
      <c r="U101" s="227" t="str">
        <f t="shared" si="30"/>
        <v>96.0328679982054-1.48490500132573i</v>
      </c>
      <c r="V101" s="227">
        <f t="shared" si="42"/>
        <v>39.649436204442431</v>
      </c>
      <c r="W101" s="227">
        <f t="shared" si="43"/>
        <v>-0.88586347428905476</v>
      </c>
      <c r="X101" s="227" t="str">
        <f t="shared" si="31"/>
        <v>0.99999994460619-0.0000748365652579789i</v>
      </c>
      <c r="Y101" s="227" t="str">
        <f t="shared" si="32"/>
        <v>42.2838344044826+2.10588993997114i</v>
      </c>
      <c r="Z101" s="227" t="str">
        <f t="shared" si="33"/>
        <v>23.7758914580889+1.18234282955934i</v>
      </c>
      <c r="AA101" s="227" t="str">
        <f t="shared" si="34"/>
        <v>32.5937422301013-2.06092281986814i</v>
      </c>
      <c r="AB101" s="227">
        <f t="shared" si="44"/>
        <v>30.280013494678553</v>
      </c>
      <c r="AC101" s="227">
        <f t="shared" si="45"/>
        <v>-3.6180315371542608</v>
      </c>
      <c r="AD101" s="229">
        <f t="shared" si="46"/>
        <v>3.4931797480156561</v>
      </c>
      <c r="AE101" s="229">
        <f t="shared" si="47"/>
        <v>96.574057293706986</v>
      </c>
      <c r="AF101" s="227">
        <f t="shared" si="35"/>
        <v>33.773193242694205</v>
      </c>
      <c r="AG101" s="227">
        <f t="shared" si="36"/>
        <v>92.956025756552719</v>
      </c>
      <c r="AH101" s="229" t="str">
        <f t="shared" si="37"/>
        <v>0.17116560711226-1.48523078942146i</v>
      </c>
    </row>
    <row r="102" spans="9:34" x14ac:dyDescent="0.2">
      <c r="I102" s="227">
        <v>98</v>
      </c>
      <c r="J102" s="227">
        <f t="shared" si="25"/>
        <v>1.9555120076247732</v>
      </c>
      <c r="K102" s="227">
        <f t="shared" si="48"/>
        <v>90.263466369070059</v>
      </c>
      <c r="L102" s="227">
        <f t="shared" si="38"/>
        <v>567.14208566523973</v>
      </c>
      <c r="M102" s="227">
        <f t="shared" si="26"/>
        <v>8726.112637787548</v>
      </c>
      <c r="N102" s="227">
        <f>SQRT((ABS(AC102)-171.5+'Small Signal'!C$59)^2)</f>
        <v>97.800019981944018</v>
      </c>
      <c r="O102" s="227">
        <f t="shared" si="39"/>
        <v>93.015223203694632</v>
      </c>
      <c r="P102" s="227">
        <f t="shared" si="40"/>
        <v>33.580004858380754</v>
      </c>
      <c r="Q102" s="227">
        <f t="shared" si="41"/>
        <v>90.263466369070059</v>
      </c>
      <c r="R102" s="227" t="str">
        <f t="shared" si="27"/>
        <v>0.0945666666666667+0.00266556780262663i</v>
      </c>
      <c r="S102" s="227" t="str">
        <f t="shared" si="28"/>
        <v>0.0085-187.577295729377i</v>
      </c>
      <c r="T102" s="227" t="str">
        <f t="shared" si="29"/>
        <v>23.6133037479782-3.02123986183782i</v>
      </c>
      <c r="U102" s="227" t="str">
        <f t="shared" si="30"/>
        <v>96.0332649244835-1.51864407688424i</v>
      </c>
      <c r="V102" s="227">
        <f t="shared" si="42"/>
        <v>39.64951980585213</v>
      </c>
      <c r="W102" s="227">
        <f t="shared" si="43"/>
        <v>-0.90598444409526047</v>
      </c>
      <c r="X102" s="227" t="str">
        <f t="shared" si="31"/>
        <v>0.999999942062269-0.0000765356842355707i</v>
      </c>
      <c r="Y102" s="227" t="str">
        <f t="shared" si="32"/>
        <v>42.2856256108374+2.15370793664478i</v>
      </c>
      <c r="Z102" s="227" t="str">
        <f t="shared" si="33"/>
        <v>23.7769026459343+1.20918996176817i</v>
      </c>
      <c r="AA102" s="227" t="str">
        <f t="shared" si="34"/>
        <v>32.5880475894844-2.10736309268765i</v>
      </c>
      <c r="AB102" s="227">
        <f t="shared" si="44"/>
        <v>30.279290245680105</v>
      </c>
      <c r="AC102" s="227">
        <f t="shared" si="45"/>
        <v>-3.6999800180559883</v>
      </c>
      <c r="AD102" s="229">
        <f t="shared" si="46"/>
        <v>3.3007146127006464</v>
      </c>
      <c r="AE102" s="229">
        <f t="shared" si="47"/>
        <v>96.715203221750613</v>
      </c>
      <c r="AF102" s="227">
        <f t="shared" si="35"/>
        <v>33.580004858380754</v>
      </c>
      <c r="AG102" s="227">
        <f t="shared" si="36"/>
        <v>93.015223203694632</v>
      </c>
      <c r="AH102" s="229" t="str">
        <f t="shared" si="37"/>
        <v>0.17099268377149-1.45226561376222i</v>
      </c>
    </row>
    <row r="103" spans="9:34" x14ac:dyDescent="0.2">
      <c r="I103" s="227">
        <v>99</v>
      </c>
      <c r="J103" s="227">
        <f t="shared" si="25"/>
        <v>1.9652621301515567</v>
      </c>
      <c r="K103" s="227">
        <f t="shared" si="48"/>
        <v>92.312843811263079</v>
      </c>
      <c r="L103" s="227">
        <f t="shared" si="38"/>
        <v>580.01870389889223</v>
      </c>
      <c r="M103" s="227">
        <f t="shared" si="26"/>
        <v>8724.0167304693205</v>
      </c>
      <c r="N103" s="227">
        <f>SQRT((ABS(AC103)-171.5+'Small Signal'!C$59)^2)</f>
        <v>97.716224574223929</v>
      </c>
      <c r="O103" s="227">
        <f t="shared" si="39"/>
        <v>93.075840849372298</v>
      </c>
      <c r="P103" s="227">
        <f t="shared" si="40"/>
        <v>33.386898209017751</v>
      </c>
      <c r="Q103" s="227">
        <f t="shared" si="41"/>
        <v>92.312843811263079</v>
      </c>
      <c r="R103" s="227" t="str">
        <f t="shared" si="27"/>
        <v>0.0945666666666667+0.00272608790832479i</v>
      </c>
      <c r="S103" s="227" t="str">
        <f t="shared" si="28"/>
        <v>0.0085-183.413014111953i</v>
      </c>
      <c r="T103" s="227" t="str">
        <f t="shared" si="29"/>
        <v>23.5958441609197-3.08754985178849i</v>
      </c>
      <c r="U103" s="227" t="str">
        <f t="shared" si="30"/>
        <v>96.0336800596188-1.55315093429631i</v>
      </c>
      <c r="V103" s="227">
        <f t="shared" si="42"/>
        <v>39.649607246639945</v>
      </c>
      <c r="W103" s="227">
        <f t="shared" si="43"/>
        <v>-0.92656280413607472</v>
      </c>
      <c r="X103" s="227" t="str">
        <f t="shared" si="31"/>
        <v>0.999999939401521-0.0000782733806824793i</v>
      </c>
      <c r="Y103" s="227" t="str">
        <f t="shared" si="32"/>
        <v>42.2874991337726+2.20261196245883i</v>
      </c>
      <c r="Z103" s="227" t="str">
        <f t="shared" si="33"/>
        <v>23.7779603037605+1.23664683334152i</v>
      </c>
      <c r="AA103" s="227" t="str">
        <f t="shared" si="34"/>
        <v>32.5820934597234-2.15483338647047i</v>
      </c>
      <c r="AB103" s="227">
        <f t="shared" si="44"/>
        <v>30.278533911384422</v>
      </c>
      <c r="AC103" s="227">
        <f t="shared" si="45"/>
        <v>-3.7837754257760761</v>
      </c>
      <c r="AD103" s="229">
        <f t="shared" si="46"/>
        <v>3.1083642976333263</v>
      </c>
      <c r="AE103" s="229">
        <f t="shared" si="47"/>
        <v>96.859616275148369</v>
      </c>
      <c r="AF103" s="227">
        <f t="shared" si="35"/>
        <v>33.386898209017751</v>
      </c>
      <c r="AG103" s="227">
        <f t="shared" si="36"/>
        <v>93.075840849372298</v>
      </c>
      <c r="AH103" s="229" t="str">
        <f t="shared" si="37"/>
        <v>0.170827352419216-1.4200324067059i</v>
      </c>
    </row>
    <row r="104" spans="9:34" x14ac:dyDescent="0.2">
      <c r="I104" s="227">
        <v>100</v>
      </c>
      <c r="J104" s="227">
        <f t="shared" si="25"/>
        <v>1.97501225267834</v>
      </c>
      <c r="K104" s="227">
        <f t="shared" si="48"/>
        <v>94.408751129490213</v>
      </c>
      <c r="L104" s="227">
        <f t="shared" si="38"/>
        <v>593.18767796598706</v>
      </c>
      <c r="M104" s="227">
        <f t="shared" si="26"/>
        <v>8721.8732368423498</v>
      </c>
      <c r="N104" s="227">
        <f>SQRT((ABS(AC104)-171.5+'Small Signal'!C$59)^2)</f>
        <v>97.630541253208179</v>
      </c>
      <c r="O104" s="227">
        <f t="shared" si="39"/>
        <v>93.137902439881131</v>
      </c>
      <c r="P104" s="227">
        <f t="shared" si="40"/>
        <v>33.193876918939097</v>
      </c>
      <c r="Q104" s="227">
        <f t="shared" si="41"/>
        <v>94.408751129490213</v>
      </c>
      <c r="R104" s="227" t="str">
        <f t="shared" si="27"/>
        <v>0.0945666666666667+0.00278798208644014i</v>
      </c>
      <c r="S104" s="227" t="str">
        <f t="shared" si="28"/>
        <v>0.0085-179.341181003939i</v>
      </c>
      <c r="T104" s="227" t="str">
        <f t="shared" si="29"/>
        <v>23.577610368384-3.1552098372594i</v>
      </c>
      <c r="U104" s="227" t="str">
        <f t="shared" si="30"/>
        <v>96.0341142379878-1.58844312802039i</v>
      </c>
      <c r="V104" s="227">
        <f t="shared" si="42"/>
        <v>39.649698703130632</v>
      </c>
      <c r="W104" s="227">
        <f t="shared" si="43"/>
        <v>-0.94760897791891174</v>
      </c>
      <c r="X104" s="227" t="str">
        <f t="shared" si="31"/>
        <v>0.999999936618579-0.0000800505304768264i</v>
      </c>
      <c r="Y104" s="227" t="str">
        <f t="shared" si="32"/>
        <v>42.2894587589479+2.25262669939075i</v>
      </c>
      <c r="Z104" s="227" t="str">
        <f t="shared" si="33"/>
        <v>23.7790665686662+1.26472730134091i</v>
      </c>
      <c r="AA104" s="227" t="str">
        <f t="shared" si="34"/>
        <v>32.5758681138297-2.20335540399774i</v>
      </c>
      <c r="AB104" s="227">
        <f t="shared" si="44"/>
        <v>30.277742984481179</v>
      </c>
      <c r="AC104" s="227">
        <f t="shared" si="45"/>
        <v>-3.8694587467918091</v>
      </c>
      <c r="AD104" s="229">
        <f t="shared" si="46"/>
        <v>2.9161339344579167</v>
      </c>
      <c r="AE104" s="229">
        <f t="shared" si="47"/>
        <v>97.007361186672938</v>
      </c>
      <c r="AF104" s="227">
        <f t="shared" si="35"/>
        <v>33.193876918939097</v>
      </c>
      <c r="AG104" s="227">
        <f t="shared" si="36"/>
        <v>93.137902439881131</v>
      </c>
      <c r="AH104" s="229" t="str">
        <f t="shared" si="37"/>
        <v>0.170669279688482-1.38851492381377i</v>
      </c>
    </row>
    <row r="105" spans="9:34" x14ac:dyDescent="0.2">
      <c r="I105" s="227">
        <v>101</v>
      </c>
      <c r="J105" s="227">
        <f t="shared" si="25"/>
        <v>1.9847623752051233</v>
      </c>
      <c r="K105" s="227">
        <f t="shared" si="48"/>
        <v>96.552244756460979</v>
      </c>
      <c r="L105" s="227">
        <f t="shared" si="38"/>
        <v>606.65564562900283</v>
      </c>
      <c r="M105" s="227">
        <f t="shared" si="26"/>
        <v>8719.6810764882612</v>
      </c>
      <c r="N105" s="227">
        <f>SQRT((ABS(AC105)-171.5+'Small Signal'!C$59)^2)</f>
        <v>97.542928167213518</v>
      </c>
      <c r="O105" s="227">
        <f t="shared" si="39"/>
        <v>93.20143199043487</v>
      </c>
      <c r="P105" s="227">
        <f t="shared" si="40"/>
        <v>33.00094476634024</v>
      </c>
      <c r="Q105" s="227">
        <f t="shared" si="41"/>
        <v>96.552244756460979</v>
      </c>
      <c r="R105" s="227" t="str">
        <f t="shared" si="27"/>
        <v>0.0945666666666667+0.00285128153445631i</v>
      </c>
      <c r="S105" s="227" t="str">
        <f t="shared" si="28"/>
        <v>0.0085-175.359744016068i</v>
      </c>
      <c r="T105" s="227" t="str">
        <f t="shared" si="29"/>
        <v>23.5585693399936-3.22424006245943i</v>
      </c>
      <c r="U105" s="227" t="str">
        <f t="shared" si="30"/>
        <v>96.0345683321121-1.62453861961512i</v>
      </c>
      <c r="V105" s="227">
        <f t="shared" si="42"/>
        <v>39.64979435974702</v>
      </c>
      <c r="W105" s="227">
        <f t="shared" si="43"/>
        <v>-0.96913362831158434</v>
      </c>
      <c r="X105" s="227" t="str">
        <f t="shared" si="31"/>
        <v>0.999999933707833-0.0000818680293830174i</v>
      </c>
      <c r="Y105" s="227" t="str">
        <f t="shared" si="32"/>
        <v>42.2915084463791+2.30377739149474i</v>
      </c>
      <c r="Z105" s="227" t="str">
        <f t="shared" si="33"/>
        <v>23.7802236761776+1.29344553836571i</v>
      </c>
      <c r="AA105" s="227" t="str">
        <f t="shared" si="34"/>
        <v>32.5693593039324-2.25295122531746i</v>
      </c>
      <c r="AB105" s="227">
        <f t="shared" si="44"/>
        <v>30.276915889568258</v>
      </c>
      <c r="AC105" s="227">
        <f t="shared" si="45"/>
        <v>-3.9570718327864691</v>
      </c>
      <c r="AD105" s="229">
        <f t="shared" si="46"/>
        <v>2.724028876771984</v>
      </c>
      <c r="AE105" s="229">
        <f t="shared" si="47"/>
        <v>97.158503823221338</v>
      </c>
      <c r="AF105" s="227">
        <f t="shared" si="35"/>
        <v>33.00094476634024</v>
      </c>
      <c r="AG105" s="227">
        <f t="shared" si="36"/>
        <v>93.20143199043487</v>
      </c>
      <c r="AH105" s="229" t="str">
        <f t="shared" si="37"/>
        <v>0.170518146847747-1.35769728123758i</v>
      </c>
    </row>
    <row r="106" spans="9:34" x14ac:dyDescent="0.2">
      <c r="I106" s="227">
        <v>102</v>
      </c>
      <c r="J106" s="227">
        <f t="shared" si="25"/>
        <v>1.9945124977319069</v>
      </c>
      <c r="K106" s="227">
        <f t="shared" si="48"/>
        <v>98.744405110550744</v>
      </c>
      <c r="L106" s="227">
        <f t="shared" si="38"/>
        <v>620.42939535680125</v>
      </c>
      <c r="M106" s="227">
        <f t="shared" si="26"/>
        <v>8717.4391444584307</v>
      </c>
      <c r="N106" s="227">
        <f>SQRT((ABS(AC106)-171.5+'Small Signal'!C$59)^2)</f>
        <v>97.453342584189755</v>
      </c>
      <c r="O106" s="227">
        <f t="shared" si="39"/>
        <v>93.26645376708602</v>
      </c>
      <c r="P106" s="227">
        <f t="shared" si="40"/>
        <v>32.808105689235511</v>
      </c>
      <c r="Q106" s="227">
        <f t="shared" si="41"/>
        <v>98.744405110550744</v>
      </c>
      <c r="R106" s="227" t="str">
        <f t="shared" si="27"/>
        <v>0.0945666666666667+0.00291601815817697i</v>
      </c>
      <c r="S106" s="227" t="str">
        <f t="shared" si="28"/>
        <v>0.0085-171.466696322834i</v>
      </c>
      <c r="T106" s="227" t="str">
        <f t="shared" si="29"/>
        <v>23.5386867558197-3.29466055561873i</v>
      </c>
      <c r="U106" s="227" t="str">
        <f t="shared" si="30"/>
        <v>96.0350432543895-1.66145578757778i</v>
      </c>
      <c r="V106" s="227">
        <f t="shared" si="42"/>
        <v>39.649894409381581</v>
      </c>
      <c r="W106" s="227">
        <f t="shared" si="43"/>
        <v>-0.9911476631652606</v>
      </c>
      <c r="X106" s="227" t="str">
        <f t="shared" si="31"/>
        <v>0.999999930663413-0.0000837267935032467i</v>
      </c>
      <c r="Y106" s="227" t="str">
        <f t="shared" si="32"/>
        <v>42.2936523384892+2.35608985777982i</v>
      </c>
      <c r="Z106" s="227" t="str">
        <f t="shared" si="33"/>
        <v>23.7814339647932+1.32281603978077i</v>
      </c>
      <c r="AA106" s="227" t="str">
        <f t="shared" si="34"/>
        <v>32.5625542389947-2.30364330847499i</v>
      </c>
      <c r="AB106" s="227">
        <f t="shared" si="44"/>
        <v>30.276050980130126</v>
      </c>
      <c r="AC106" s="227">
        <f t="shared" si="45"/>
        <v>-4.0466574158102411</v>
      </c>
      <c r="AD106" s="229">
        <f t="shared" si="46"/>
        <v>2.532054709105382</v>
      </c>
      <c r="AE106" s="229">
        <f t="shared" si="47"/>
        <v>97.313111182896264</v>
      </c>
      <c r="AF106" s="227">
        <f t="shared" si="35"/>
        <v>32.808105689235511</v>
      </c>
      <c r="AG106" s="227">
        <f t="shared" si="36"/>
        <v>93.26645376708602</v>
      </c>
      <c r="AH106" s="229" t="str">
        <f t="shared" si="37"/>
        <v>0.170373649158284-1.32756394772425i</v>
      </c>
    </row>
    <row r="107" spans="9:34" x14ac:dyDescent="0.2">
      <c r="I107" s="227">
        <v>103</v>
      </c>
      <c r="J107" s="227">
        <f t="shared" si="25"/>
        <v>2.0042626202586904</v>
      </c>
      <c r="K107" s="227">
        <f t="shared" si="48"/>
        <v>100.98633714038108</v>
      </c>
      <c r="L107" s="227">
        <f t="shared" si="38"/>
        <v>634.51586974632653</v>
      </c>
      <c r="M107" s="227">
        <f t="shared" si="26"/>
        <v>8715.1463107170475</v>
      </c>
      <c r="N107" s="227">
        <f>SQRT((ABS(AC107)-171.5+'Small Signal'!C$59)^2)</f>
        <v>97.361740876518809</v>
      </c>
      <c r="O107" s="227">
        <f t="shared" si="39"/>
        <v>93.332992266873703</v>
      </c>
      <c r="P107" s="227">
        <f t="shared" si="40"/>
        <v>32.615363791589346</v>
      </c>
      <c r="Q107" s="227">
        <f t="shared" si="41"/>
        <v>100.98633714038108</v>
      </c>
      <c r="R107" s="227" t="str">
        <f t="shared" si="27"/>
        <v>0.0945666666666667+0.00298222458780773i</v>
      </c>
      <c r="S107" s="227" t="str">
        <f t="shared" si="28"/>
        <v>0.0085-167.660075650961i</v>
      </c>
      <c r="T107" s="227" t="str">
        <f t="shared" si="29"/>
        <v>23.5179269671486-3.36649108262258i</v>
      </c>
      <c r="U107" s="227" t="str">
        <f t="shared" si="30"/>
        <v>96.0355399589126-1.69921343744782i</v>
      </c>
      <c r="V107" s="227">
        <f t="shared" si="42"/>
        <v>39.649999053785862</v>
      </c>
      <c r="W107" s="227">
        <f t="shared" si="43"/>
        <v>-1.0136622410782172</v>
      </c>
      <c r="X107" s="227" t="str">
        <f t="shared" si="31"/>
        <v>0.99999992747918-0.0000856277597392554i</v>
      </c>
      <c r="Y107" s="227" t="str">
        <f t="shared" si="32"/>
        <v>42.29589476854+2.40959050538837i</v>
      </c>
      <c r="Z107" s="227" t="str">
        <f t="shared" si="33"/>
        <v>23.7826998807433+1.35285363111264i</v>
      </c>
      <c r="AA107" s="227" t="str">
        <f t="shared" si="34"/>
        <v>32.5554395616561-2.35545448973874i</v>
      </c>
      <c r="AB107" s="227">
        <f t="shared" si="44"/>
        <v>30.275146535386895</v>
      </c>
      <c r="AC107" s="227">
        <f t="shared" si="45"/>
        <v>-4.138259123481201</v>
      </c>
      <c r="AD107" s="229">
        <f t="shared" si="46"/>
        <v>2.3402172562024499</v>
      </c>
      <c r="AE107" s="229">
        <f t="shared" si="47"/>
        <v>97.471251390354908</v>
      </c>
      <c r="AF107" s="227">
        <f t="shared" si="35"/>
        <v>32.615363791589346</v>
      </c>
      <c r="AG107" s="227">
        <f t="shared" si="36"/>
        <v>93.332992266873703</v>
      </c>
      <c r="AH107" s="229" t="str">
        <f t="shared" si="37"/>
        <v>0.170235495259777-1.29809973679764i</v>
      </c>
    </row>
    <row r="108" spans="9:34" x14ac:dyDescent="0.2">
      <c r="I108" s="227">
        <v>104</v>
      </c>
      <c r="J108" s="227">
        <f t="shared" si="25"/>
        <v>2.0140127427854737</v>
      </c>
      <c r="K108" s="227">
        <f t="shared" si="48"/>
        <v>103.27917088176403</v>
      </c>
      <c r="L108" s="227">
        <f t="shared" si="38"/>
        <v>648.92216902198948</v>
      </c>
      <c r="M108" s="227">
        <f t="shared" si="26"/>
        <v>8712.8014195715205</v>
      </c>
      <c r="N108" s="227">
        <f>SQRT((ABS(AC108)-171.5+'Small Signal'!C$59)^2)</f>
        <v>97.268078505792403</v>
      </c>
      <c r="O108" s="227">
        <f t="shared" si="39"/>
        <v>93.40107219608123</v>
      </c>
      <c r="P108" s="227">
        <f t="shared" si="40"/>
        <v>32.422723349620298</v>
      </c>
      <c r="Q108" s="227">
        <f t="shared" si="41"/>
        <v>103.27917088176403</v>
      </c>
      <c r="R108" s="227" t="str">
        <f t="shared" si="27"/>
        <v>0.0945666666666667+0.00304993419440335i</v>
      </c>
      <c r="S108" s="227" t="str">
        <f t="shared" si="28"/>
        <v>0.0085-163.937963290324i</v>
      </c>
      <c r="T108" s="227" t="str">
        <f t="shared" si="29"/>
        <v>23.4962529571389-3.43975109732714i</v>
      </c>
      <c r="U108" s="227" t="str">
        <f t="shared" si="30"/>
        <v>96.0360594433608-1.73783081218424i</v>
      </c>
      <c r="V108" s="227">
        <f t="shared" si="42"/>
        <v>39.650108503977144</v>
      </c>
      <c r="W108" s="227">
        <f t="shared" si="43"/>
        <v>-1.0366887773045892</v>
      </c>
      <c r="X108" s="227" t="str">
        <f t="shared" si="31"/>
        <v>0.999999924148714-0.0000875718862645722i</v>
      </c>
      <c r="Y108" s="227" t="str">
        <f t="shared" si="32"/>
        <v>42.2982402694501+2.46430634308246i</v>
      </c>
      <c r="Z108" s="227" t="str">
        <f t="shared" si="33"/>
        <v>23.7840239829681+1.38357347561835i</v>
      </c>
      <c r="AA108" s="227" t="str">
        <f t="shared" si="34"/>
        <v>32.5480013241758-2.40840798327655i</v>
      </c>
      <c r="AB108" s="227">
        <f t="shared" si="44"/>
        <v>30.27420075700951</v>
      </c>
      <c r="AC108" s="227">
        <f t="shared" si="45"/>
        <v>-4.2319214942076027</v>
      </c>
      <c r="AD108" s="229">
        <f t="shared" si="46"/>
        <v>2.1485225926107914</v>
      </c>
      <c r="AE108" s="229">
        <f t="shared" si="47"/>
        <v>97.632993690288828</v>
      </c>
      <c r="AF108" s="227">
        <f t="shared" si="35"/>
        <v>32.422723349620298</v>
      </c>
      <c r="AG108" s="227">
        <f t="shared" si="36"/>
        <v>93.40107219608123</v>
      </c>
      <c r="AH108" s="229" t="str">
        <f t="shared" si="37"/>
        <v>0.170103406582899-1.26928979911332i</v>
      </c>
    </row>
    <row r="109" spans="9:34" x14ac:dyDescent="0.2">
      <c r="I109" s="227">
        <v>105</v>
      </c>
      <c r="J109" s="227">
        <f t="shared" si="25"/>
        <v>2.023762865312257</v>
      </c>
      <c r="K109" s="227">
        <f t="shared" si="48"/>
        <v>105.6240620272918</v>
      </c>
      <c r="L109" s="227">
        <f t="shared" si="38"/>
        <v>663.65555461450515</v>
      </c>
      <c r="M109" s="227">
        <f t="shared" si="26"/>
        <v>8710.4032890899525</v>
      </c>
      <c r="N109" s="227">
        <f>SQRT((ABS(AC109)-171.5+'Small Signal'!C$59)^2)</f>
        <v>97.172310007590369</v>
      </c>
      <c r="O109" s="227">
        <f t="shared" si="39"/>
        <v>93.470718446476624</v>
      </c>
      <c r="P109" s="227">
        <f t="shared" si="40"/>
        <v>32.230188818276766</v>
      </c>
      <c r="Q109" s="227">
        <f t="shared" si="41"/>
        <v>105.6240620272918</v>
      </c>
      <c r="R109" s="227" t="str">
        <f t="shared" si="27"/>
        <v>0.0945666666666667+0.00311918110668817i</v>
      </c>
      <c r="S109" s="227" t="str">
        <f t="shared" si="28"/>
        <v>0.0085-160.298483126836i</v>
      </c>
      <c r="T109" s="227" t="str">
        <f t="shared" si="29"/>
        <v>23.4736263014918-3.51445968839023i</v>
      </c>
      <c r="U109" s="227" t="str">
        <f t="shared" si="30"/>
        <v>96.0366027509818-1.77732760282614i</v>
      </c>
      <c r="V109" s="227">
        <f t="shared" si="42"/>
        <v>39.650222980664076</v>
      </c>
      <c r="W109" s="227">
        <f t="shared" si="43"/>
        <v>-1.0602389498122646</v>
      </c>
      <c r="X109" s="227" t="str">
        <f t="shared" si="31"/>
        <v>0.999999920665298-0.0000895601530074767i</v>
      </c>
      <c r="Y109" s="227" t="str">
        <f t="shared" si="32"/>
        <v>42.3006935830291+2.52026499504537i</v>
      </c>
      <c r="Z109" s="227" t="str">
        <f t="shared" si="33"/>
        <v>23.7854089483303+1.41499108203099i</v>
      </c>
      <c r="AA109" s="227" t="str">
        <f t="shared" si="34"/>
        <v>32.5402249634474-2.46252738023411i</v>
      </c>
      <c r="AB109" s="227">
        <f t="shared" si="44"/>
        <v>30.27321176569497</v>
      </c>
      <c r="AC109" s="227">
        <f t="shared" si="45"/>
        <v>-4.3276899924096259</v>
      </c>
      <c r="AD109" s="229">
        <f t="shared" si="46"/>
        <v>1.9569770525817944</v>
      </c>
      <c r="AE109" s="229">
        <f t="shared" si="47"/>
        <v>97.798408438886256</v>
      </c>
      <c r="AF109" s="227">
        <f t="shared" si="35"/>
        <v>32.230188818276766</v>
      </c>
      <c r="AG109" s="227">
        <f t="shared" si="36"/>
        <v>93.470718446476624</v>
      </c>
      <c r="AH109" s="229" t="str">
        <f t="shared" si="37"/>
        <v>0.169977116787663-1.24111961498273i</v>
      </c>
    </row>
    <row r="110" spans="9:34" x14ac:dyDescent="0.2">
      <c r="I110" s="227">
        <v>106</v>
      </c>
      <c r="J110" s="227">
        <f t="shared" si="25"/>
        <v>2.0335129878390403</v>
      </c>
      <c r="K110" s="227">
        <f t="shared" si="48"/>
        <v>108.0221925088584</v>
      </c>
      <c r="L110" s="227">
        <f t="shared" si="38"/>
        <v>678.72345282098388</v>
      </c>
      <c r="M110" s="227">
        <f t="shared" si="26"/>
        <v>8707.9507105054054</v>
      </c>
      <c r="N110" s="227">
        <f>SQRT((ABS(AC110)-171.5+'Small Signal'!C$59)^2)</f>
        <v>97.074388976281114</v>
      </c>
      <c r="O110" s="227">
        <f t="shared" si="39"/>
        <v>93.541956069405344</v>
      </c>
      <c r="P110" s="227">
        <f t="shared" si="40"/>
        <v>32.037764837884595</v>
      </c>
      <c r="Q110" s="227">
        <f t="shared" si="41"/>
        <v>108.0221925088584</v>
      </c>
      <c r="R110" s="227" t="str">
        <f t="shared" si="27"/>
        <v>0.0945666666666667+0.00319000022825862i</v>
      </c>
      <c r="S110" s="227" t="str">
        <f t="shared" si="28"/>
        <v>0.0085-156.739800696799i</v>
      </c>
      <c r="T110" s="227" t="str">
        <f t="shared" si="29"/>
        <v>23.4500071292839-3.59063552244843i</v>
      </c>
      <c r="U110" s="227" t="str">
        <f t="shared" si="30"/>
        <v>96.0371709726604-1.81772395944632i</v>
      </c>
      <c r="V110" s="227">
        <f t="shared" si="42"/>
        <v>39.65034271469181</v>
      </c>
      <c r="W110" s="227">
        <f t="shared" si="43"/>
        <v>-1.0843247054944896</v>
      </c>
      <c r="X110" s="227" t="str">
        <f t="shared" si="31"/>
        <v>0.999999917021909-0.0000915935621449278i</v>
      </c>
      <c r="Y110" s="227" t="str">
        <f t="shared" si="32"/>
        <v>42.3032596696331+2.57749471500636i</v>
      </c>
      <c r="Z110" s="227" t="str">
        <f t="shared" si="33"/>
        <v>23.7868575770655+1.44712231248647i</v>
      </c>
      <c r="AA110" s="227" t="str">
        <f t="shared" si="34"/>
        <v>32.5320952750677-2.51783664716566i</v>
      </c>
      <c r="AB110" s="227">
        <f t="shared" si="44"/>
        <v>30.272177597598628</v>
      </c>
      <c r="AC110" s="227">
        <f t="shared" si="45"/>
        <v>-4.4256110237188944</v>
      </c>
      <c r="AD110" s="229">
        <f t="shared" si="46"/>
        <v>1.7655872402859649</v>
      </c>
      <c r="AE110" s="229">
        <f t="shared" si="47"/>
        <v>97.967567093124245</v>
      </c>
      <c r="AF110" s="227">
        <f t="shared" si="35"/>
        <v>32.037764837884595</v>
      </c>
      <c r="AG110" s="227">
        <f t="shared" si="36"/>
        <v>93.541956069405344</v>
      </c>
      <c r="AH110" s="229" t="str">
        <f t="shared" si="37"/>
        <v>0.169856371226441-1.21357498706295i</v>
      </c>
    </row>
    <row r="111" spans="9:34" x14ac:dyDescent="0.2">
      <c r="I111" s="227">
        <v>107</v>
      </c>
      <c r="J111" s="227">
        <f t="shared" si="25"/>
        <v>2.0432631103658236</v>
      </c>
      <c r="K111" s="227">
        <f t="shared" si="48"/>
        <v>110.4747710934067</v>
      </c>
      <c r="L111" s="227">
        <f t="shared" si="38"/>
        <v>694.1334585481211</v>
      </c>
      <c r="M111" s="227">
        <f t="shared" si="26"/>
        <v>8705.4424476066088</v>
      </c>
      <c r="N111" s="227">
        <f>SQRT((ABS(AC111)-171.5+'Small Signal'!C$59)^2)</f>
        <v>96.974268049870801</v>
      </c>
      <c r="O111" s="227">
        <f t="shared" si="39"/>
        <v>93.614810247598228</v>
      </c>
      <c r="P111" s="227">
        <f t="shared" si="40"/>
        <v>31.845456240958541</v>
      </c>
      <c r="Q111" s="227">
        <f t="shared" si="41"/>
        <v>110.4747710934067</v>
      </c>
      <c r="R111" s="227" t="str">
        <f t="shared" si="27"/>
        <v>0.0945666666666667+0.00326242725517617i</v>
      </c>
      <c r="S111" s="227" t="str">
        <f t="shared" si="28"/>
        <v>0.0085-153.260122262251i</v>
      </c>
      <c r="T111" s="227" t="str">
        <f t="shared" si="29"/>
        <v>23.425354084116-3.66829678346781i</v>
      </c>
      <c r="U111" s="227" t="str">
        <f t="shared" si="30"/>
        <v>96.0377652490791-1.85904050240791i</v>
      </c>
      <c r="V111" s="227">
        <f t="shared" si="42"/>
        <v>39.650467947507394</v>
      </c>
      <c r="W111" s="227">
        <f t="shared" si="43"/>
        <v>-1.1089582665396609</v>
      </c>
      <c r="X111" s="227" t="str">
        <f t="shared" si="31"/>
        <v>0.9999999132112-0.0000936731386077062i</v>
      </c>
      <c r="Y111" s="227" t="str">
        <f t="shared" si="32"/>
        <v>42.3059437182803+2.63602440069632i</v>
      </c>
      <c r="Z111" s="227" t="str">
        <f t="shared" si="33"/>
        <v>23.788372798493+1.4799833906359i</v>
      </c>
      <c r="AA111" s="227" t="str">
        <f t="shared" si="34"/>
        <v>32.5235963864178-2.57436012376033i</v>
      </c>
      <c r="AB111" s="227">
        <f t="shared" si="44"/>
        <v>30.271096200614018</v>
      </c>
      <c r="AC111" s="227">
        <f t="shared" si="45"/>
        <v>-4.5257319501291917</v>
      </c>
      <c r="AD111" s="229">
        <f t="shared" si="46"/>
        <v>1.5743600403445241</v>
      </c>
      <c r="AE111" s="229">
        <f t="shared" si="47"/>
        <v>98.140542197727413</v>
      </c>
      <c r="AF111" s="227">
        <f t="shared" si="35"/>
        <v>31.845456240958541</v>
      </c>
      <c r="AG111" s="227">
        <f t="shared" si="36"/>
        <v>93.614810247598228</v>
      </c>
      <c r="AH111" s="229" t="str">
        <f t="shared" si="37"/>
        <v>0.169740926430532-1.18664203320829i</v>
      </c>
    </row>
    <row r="112" spans="9:34" x14ac:dyDescent="0.2">
      <c r="I112" s="227">
        <v>108</v>
      </c>
      <c r="J112" s="227">
        <f t="shared" si="25"/>
        <v>2.0530132328926074</v>
      </c>
      <c r="K112" s="227">
        <f t="shared" si="48"/>
        <v>112.98303399220288</v>
      </c>
      <c r="L112" s="227">
        <f t="shared" si="38"/>
        <v>709.89333914038082</v>
      </c>
      <c r="M112" s="227">
        <f t="shared" si="26"/>
        <v>8702.8772361148694</v>
      </c>
      <c r="N112" s="227">
        <f>SQRT((ABS(AC112)-171.5+'Small Signal'!C$59)^2)</f>
        <v>96.871898894926289</v>
      </c>
      <c r="O112" s="227">
        <f t="shared" si="39"/>
        <v>93.689306264548719</v>
      </c>
      <c r="P112" s="227">
        <f t="shared" si="40"/>
        <v>31.653268059180252</v>
      </c>
      <c r="Q112" s="227">
        <f t="shared" si="41"/>
        <v>112.98303399220288</v>
      </c>
      <c r="R112" s="227" t="str">
        <f t="shared" si="27"/>
        <v>0.0945666666666667+0.00333649869395979i</v>
      </c>
      <c r="S112" s="227" t="str">
        <f t="shared" si="28"/>
        <v>0.0085-149.857693906841i</v>
      </c>
      <c r="T112" s="227" t="str">
        <f t="shared" si="29"/>
        <v>23.3996242857599-3.74746110809483i</v>
      </c>
      <c r="U112" s="227" t="str">
        <f t="shared" si="30"/>
        <v>96.0383867729796-1.90129833393522i</v>
      </c>
      <c r="V112" s="227">
        <f t="shared" si="42"/>
        <v>39.650598931647011</v>
      </c>
      <c r="W112" s="227">
        <f t="shared" si="43"/>
        <v>-1.1341521369643359</v>
      </c>
      <c r="X112" s="227" t="str">
        <f t="shared" si="31"/>
        <v>0.999999909225486-0.000095799930597027i</v>
      </c>
      <c r="Y112" s="227" t="str">
        <f t="shared" si="32"/>
        <v>42.3087511572293+2.69588360864298i</v>
      </c>
      <c r="Z112" s="227" t="str">
        <f t="shared" si="33"/>
        <v>23.7899576769864+1.51359090994829i</v>
      </c>
      <c r="AA112" s="227" t="str">
        <f t="shared" si="34"/>
        <v>32.5147117287496-2.63212251980879i</v>
      </c>
      <c r="AB112" s="227">
        <f t="shared" si="44"/>
        <v>30.269965430499482</v>
      </c>
      <c r="AC112" s="227">
        <f t="shared" si="45"/>
        <v>-4.6281011050737115</v>
      </c>
      <c r="AD112" s="229">
        <f t="shared" si="46"/>
        <v>1.3833026286807713</v>
      </c>
      <c r="AE112" s="229">
        <f t="shared" si="47"/>
        <v>98.31740736962243</v>
      </c>
      <c r="AF112" s="227">
        <f t="shared" si="35"/>
        <v>31.653268059180252</v>
      </c>
      <c r="AG112" s="227">
        <f t="shared" si="36"/>
        <v>93.689306264548719</v>
      </c>
      <c r="AH112" s="229" t="str">
        <f t="shared" si="37"/>
        <v>0.169630549619293-1.16030717948038i</v>
      </c>
    </row>
    <row r="113" spans="9:34" x14ac:dyDescent="0.2">
      <c r="I113" s="227">
        <v>109</v>
      </c>
      <c r="J113" s="227">
        <f t="shared" si="25"/>
        <v>2.0627633554193903</v>
      </c>
      <c r="K113" s="227">
        <f t="shared" si="48"/>
        <v>115.54824548394181</v>
      </c>
      <c r="L113" s="227">
        <f t="shared" si="38"/>
        <v>726.01103829508315</v>
      </c>
      <c r="M113" s="227">
        <f t="shared" si="26"/>
        <v>8700.2537830468082</v>
      </c>
      <c r="N113" s="227">
        <f>SQRT((ABS(AC113)-171.5+'Small Signal'!C$59)^2)</f>
        <v>96.767232191602659</v>
      </c>
      <c r="O113" s="227">
        <f t="shared" si="39"/>
        <v>93.765469471310666</v>
      </c>
      <c r="P113" s="227">
        <f t="shared" si="40"/>
        <v>31.461205530532069</v>
      </c>
      <c r="Q113" s="227">
        <f t="shared" si="41"/>
        <v>115.54824548394181</v>
      </c>
      <c r="R113" s="227" t="str">
        <f t="shared" si="27"/>
        <v>0.0945666666666667+0.00341225187998689i</v>
      </c>
      <c r="S113" s="227" t="str">
        <f t="shared" si="28"/>
        <v>0.0085-146.530800651774i</v>
      </c>
      <c r="T113" s="227" t="str">
        <f t="shared" si="29"/>
        <v>23.3727732924952-3.82814551683186i</v>
      </c>
      <c r="U113" s="227" t="str">
        <f t="shared" si="30"/>
        <v>96.0390367915197-1.94451905000927i</v>
      </c>
      <c r="V113" s="227">
        <f t="shared" si="42"/>
        <v>39.650735931244995</v>
      </c>
      <c r="W113" s="227">
        <f t="shared" si="43"/>
        <v>-1.1599191093141223</v>
      </c>
      <c r="X113" s="227" t="str">
        <f t="shared" si="31"/>
        <v>0.999999905056732-0.0000979750101128793i</v>
      </c>
      <c r="Y113" s="227" t="str">
        <f t="shared" si="32"/>
        <v>42.3116876650558+2.75710256931364i</v>
      </c>
      <c r="Z113" s="227" t="str">
        <f t="shared" si="33"/>
        <v>23.7916154182275+1.54796184220808i</v>
      </c>
      <c r="AA113" s="227" t="str">
        <f t="shared" si="34"/>
        <v>32.5054240082351-2.69114891134582i</v>
      </c>
      <c r="AB113" s="227">
        <f t="shared" si="44"/>
        <v>30.268783046841364</v>
      </c>
      <c r="AC113" s="227">
        <f t="shared" si="45"/>
        <v>-4.7327678083973526</v>
      </c>
      <c r="AD113" s="229">
        <f t="shared" si="46"/>
        <v>1.1924224836907056</v>
      </c>
      <c r="AE113" s="229">
        <f t="shared" si="47"/>
        <v>98.498237279708022</v>
      </c>
      <c r="AF113" s="227">
        <f t="shared" si="35"/>
        <v>31.461205530532069</v>
      </c>
      <c r="AG113" s="227">
        <f t="shared" si="36"/>
        <v>93.765469471310666</v>
      </c>
      <c r="AH113" s="229" t="str">
        <f t="shared" si="37"/>
        <v>0.169525018230795-1.13455715331309i</v>
      </c>
    </row>
    <row r="114" spans="9:34" x14ac:dyDescent="0.2">
      <c r="I114" s="227">
        <v>110</v>
      </c>
      <c r="J114" s="227">
        <f t="shared" si="25"/>
        <v>2.072513477946174</v>
      </c>
      <c r="K114" s="227">
        <f t="shared" si="48"/>
        <v>118.17169855200297</v>
      </c>
      <c r="L114" s="227">
        <f t="shared" si="38"/>
        <v>742.49468006640018</v>
      </c>
      <c r="M114" s="227">
        <f t="shared" si="26"/>
        <v>8697.5707660626394</v>
      </c>
      <c r="N114" s="227">
        <f>SQRT((ABS(AC114)-171.5+'Small Signal'!C$59)^2)</f>
        <v>96.660217618805888</v>
      </c>
      <c r="O114" s="227">
        <f t="shared" si="39"/>
        <v>93.843325250558792</v>
      </c>
      <c r="P114" s="227">
        <f t="shared" si="40"/>
        <v>31.269274106583293</v>
      </c>
      <c r="Q114" s="227">
        <f t="shared" si="41"/>
        <v>118.17169855200297</v>
      </c>
      <c r="R114" s="227" t="str">
        <f t="shared" si="27"/>
        <v>0.0945666666666667+0.00348972499631208i</v>
      </c>
      <c r="S114" s="227" t="str">
        <f t="shared" si="28"/>
        <v>0.0085-143.277765591385i</v>
      </c>
      <c r="T114" s="227" t="str">
        <f t="shared" si="29"/>
        <v>23.3447550643529-3.91036634086234i</v>
      </c>
      <c r="U114" s="227" t="str">
        <f t="shared" si="30"/>
        <v>96.0397166087426-1.9887247526006i</v>
      </c>
      <c r="V114" s="227">
        <f t="shared" si="42"/>
        <v>39.650879222566928</v>
      </c>
      <c r="W114" s="227">
        <f t="shared" si="43"/>
        <v>-1.1862722715380045</v>
      </c>
      <c r="X114" s="227" t="str">
        <f t="shared" si="31"/>
        <v>0.999999900696531-0.000100199473494365i</v>
      </c>
      <c r="Y114" s="227" t="str">
        <f t="shared" si="32"/>
        <v>42.3147591822471+2.81971220261453i</v>
      </c>
      <c r="Z114" s="227" t="str">
        <f t="shared" si="33"/>
        <v>23.7933493757502+1.58311354621266i</v>
      </c>
      <c r="AA114" s="227" t="str">
        <f t="shared" si="34"/>
        <v>32.4957151759661-2.75146473590492i</v>
      </c>
      <c r="AB114" s="227">
        <f t="shared" si="44"/>
        <v>30.267546708850976</v>
      </c>
      <c r="AC114" s="227">
        <f t="shared" si="45"/>
        <v>-4.8397823811941185</v>
      </c>
      <c r="AD114" s="229">
        <f t="shared" si="46"/>
        <v>1.0017273977323182</v>
      </c>
      <c r="AE114" s="229">
        <f t="shared" si="47"/>
        <v>98.683107631752904</v>
      </c>
      <c r="AF114" s="227">
        <f t="shared" si="35"/>
        <v>31.269274106583293</v>
      </c>
      <c r="AG114" s="227">
        <f t="shared" si="36"/>
        <v>93.843325250558792</v>
      </c>
      <c r="AH114" s="229" t="str">
        <f t="shared" si="37"/>
        <v>0.16942411947309-1.10937897682883i</v>
      </c>
    </row>
    <row r="115" spans="9:34" x14ac:dyDescent="0.2">
      <c r="I115" s="227">
        <v>111</v>
      </c>
      <c r="J115" s="227">
        <f t="shared" si="25"/>
        <v>2.0822636004729578</v>
      </c>
      <c r="K115" s="227">
        <f t="shared" si="48"/>
        <v>120.85471553617126</v>
      </c>
      <c r="L115" s="227">
        <f t="shared" si="38"/>
        <v>759.35257296023974</v>
      </c>
      <c r="M115" s="227">
        <f t="shared" si="26"/>
        <v>8694.8268327996557</v>
      </c>
      <c r="N115" s="227">
        <f>SQRT((ABS(AC115)-171.5+'Small Signal'!C$59)^2)</f>
        <v>96.55080383952486</v>
      </c>
      <c r="O115" s="227">
        <f t="shared" si="39"/>
        <v>93.922898977747394</v>
      </c>
      <c r="P115" s="227">
        <f t="shared" si="40"/>
        <v>31.07747945992136</v>
      </c>
      <c r="Q115" s="227">
        <f t="shared" si="41"/>
        <v>120.85471553617126</v>
      </c>
      <c r="R115" s="227" t="str">
        <f t="shared" si="27"/>
        <v>0.0945666666666667+0.00356895709291313i</v>
      </c>
      <c r="S115" s="227" t="str">
        <f t="shared" si="28"/>
        <v>0.0085-140.096949047902i</v>
      </c>
      <c r="T115" s="227" t="str">
        <f t="shared" si="29"/>
        <v>23.315521927502-3.99413914435142i</v>
      </c>
      <c r="U115" s="227" t="str">
        <f t="shared" si="30"/>
        <v>96.0404275881469-2.03393806225086i</v>
      </c>
      <c r="V115" s="227">
        <f t="shared" si="42"/>
        <v>39.651029094566326</v>
      </c>
      <c r="W115" s="227">
        <f t="shared" si="43"/>
        <v>-1.2132250140412146</v>
      </c>
      <c r="X115" s="227" t="str">
        <f t="shared" si="31"/>
        <v>0.999999896136091-0.000102474441972302i</v>
      </c>
      <c r="Y115" s="227" t="str">
        <f t="shared" si="32"/>
        <v>42.3179719233303+2.88374413375534i</v>
      </c>
      <c r="Z115" s="227" t="str">
        <f t="shared" si="33"/>
        <v>23.7951630577878+1.61906377667452i</v>
      </c>
      <c r="AA115" s="227" t="str">
        <f t="shared" si="34"/>
        <v>32.4855663968751-2.8130957868145i</v>
      </c>
      <c r="AB115" s="227">
        <f t="shared" si="44"/>
        <v>30.266253970987901</v>
      </c>
      <c r="AC115" s="227">
        <f t="shared" si="45"/>
        <v>-4.9491961604751467</v>
      </c>
      <c r="AD115" s="229">
        <f t="shared" si="46"/>
        <v>0.81122548893345814</v>
      </c>
      <c r="AE115" s="229">
        <f t="shared" si="47"/>
        <v>98.872095138222534</v>
      </c>
      <c r="AF115" s="227">
        <f t="shared" si="35"/>
        <v>31.07747945992136</v>
      </c>
      <c r="AG115" s="227">
        <f t="shared" si="36"/>
        <v>93.922898977747394</v>
      </c>
      <c r="AH115" s="229" t="str">
        <f t="shared" si="37"/>
        <v>0.169327649895175-1.08475996030308i</v>
      </c>
    </row>
    <row r="116" spans="9:34" x14ac:dyDescent="0.2">
      <c r="I116" s="227">
        <v>112</v>
      </c>
      <c r="J116" s="227">
        <f t="shared" si="25"/>
        <v>2.0920137229997406</v>
      </c>
      <c r="K116" s="227">
        <f t="shared" si="48"/>
        <v>123.59864879915676</v>
      </c>
      <c r="L116" s="227">
        <f t="shared" si="38"/>
        <v>776.59321412211159</v>
      </c>
      <c r="M116" s="227">
        <f t="shared" si="26"/>
        <v>8692.0206001905626</v>
      </c>
      <c r="N116" s="227">
        <f>SQRT((ABS(AC116)-171.5+'Small Signal'!C$59)^2)</f>
        <v>96.43893848637029</v>
      </c>
      <c r="O116" s="227">
        <f t="shared" si="39"/>
        <v>94.004215979198023</v>
      </c>
      <c r="P116" s="227">
        <f t="shared" si="40"/>
        <v>30.885827491718107</v>
      </c>
      <c r="Q116" s="227">
        <f t="shared" si="41"/>
        <v>123.59864879915676</v>
      </c>
      <c r="R116" s="227" t="str">
        <f t="shared" si="27"/>
        <v>0.0945666666666667+0.00364998810637392i</v>
      </c>
      <c r="S116" s="227" t="str">
        <f t="shared" si="28"/>
        <v>0.0085-136.986747744974i</v>
      </c>
      <c r="T116" s="227" t="str">
        <f t="shared" si="29"/>
        <v>23.2850245400381-4.07947864204994i</v>
      </c>
      <c r="U116" s="227" t="str">
        <f t="shared" si="30"/>
        <v>96.041171155382-2.0801821310168i</v>
      </c>
      <c r="V116" s="227">
        <f t="shared" si="42"/>
        <v>39.651185849467893</v>
      </c>
      <c r="W116" s="227">
        <f t="shared" si="43"/>
        <v>-1.2407910369224715</v>
      </c>
      <c r="X116" s="227" t="str">
        <f t="shared" si="31"/>
        <v>0.999999891366215-0.000104801062234376i</v>
      </c>
      <c r="Y116" s="227" t="str">
        <f t="shared" si="32"/>
        <v>42.32133238958+2.9492307094886i</v>
      </c>
      <c r="Z116" s="227" t="str">
        <f t="shared" si="33"/>
        <v>23.7970601344457+1.65583069333354i</v>
      </c>
      <c r="AA116" s="227" t="str">
        <f t="shared" si="34"/>
        <v>32.4749580175541-2.87606820646085i</v>
      </c>
      <c r="AB116" s="227">
        <f t="shared" si="44"/>
        <v>30.264902278403273</v>
      </c>
      <c r="AC116" s="227">
        <f t="shared" si="45"/>
        <v>-5.061061513629709</v>
      </c>
      <c r="AD116" s="229">
        <f t="shared" si="46"/>
        <v>0.62092521331483252</v>
      </c>
      <c r="AE116" s="229">
        <f t="shared" si="47"/>
        <v>99.065277492827732</v>
      </c>
      <c r="AF116" s="227">
        <f t="shared" si="35"/>
        <v>30.885827491718107</v>
      </c>
      <c r="AG116" s="227">
        <f t="shared" si="36"/>
        <v>94.004215979198023</v>
      </c>
      <c r="AH116" s="229" t="str">
        <f t="shared" si="37"/>
        <v>0.169235414976785-1.06068769577379i</v>
      </c>
    </row>
    <row r="117" spans="9:34" x14ac:dyDescent="0.2">
      <c r="I117" s="227">
        <v>113</v>
      </c>
      <c r="J117" s="227">
        <f t="shared" si="25"/>
        <v>2.1017638455265244</v>
      </c>
      <c r="K117" s="227">
        <f t="shared" si="48"/>
        <v>126.40488140824849</v>
      </c>
      <c r="L117" s="227">
        <f t="shared" si="38"/>
        <v>794.22529362008493</v>
      </c>
      <c r="M117" s="227">
        <f t="shared" si="26"/>
        <v>8689.1506537663699</v>
      </c>
      <c r="N117" s="227">
        <f>SQRT((ABS(AC117)-171.5+'Small Signal'!C$59)^2)</f>
        <v>96.324568147358519</v>
      </c>
      <c r="O117" s="227">
        <f t="shared" si="39"/>
        <v>94.087301486938898</v>
      </c>
      <c r="P117" s="227">
        <f t="shared" si="40"/>
        <v>30.694324339420341</v>
      </c>
      <c r="Q117" s="227">
        <f t="shared" si="41"/>
        <v>126.40488140824849</v>
      </c>
      <c r="R117" s="227" t="str">
        <f t="shared" si="27"/>
        <v>0.0945666666666667+0.0037328588800144i</v>
      </c>
      <c r="S117" s="227" t="str">
        <f t="shared" si="28"/>
        <v>0.0085-133.945593999544i</v>
      </c>
      <c r="T117" s="227" t="str">
        <f t="shared" si="29"/>
        <v>23.2532118594558-4.16639861203381i</v>
      </c>
      <c r="U117" s="227" t="str">
        <f t="shared" si="30"/>
        <v>96.041948801054-2.12748065578982i</v>
      </c>
      <c r="V117" s="227">
        <f t="shared" si="42"/>
        <v>39.651349803376718</v>
      </c>
      <c r="W117" s="227">
        <f t="shared" si="43"/>
        <v>-1.2689843574014432</v>
      </c>
      <c r="X117" s="227" t="str">
        <f t="shared" si="31"/>
        <v>0.999999886377287-0.000107180507003125i</v>
      </c>
      <c r="Y117" s="227" t="str">
        <f t="shared" si="32"/>
        <v>42.3248473823075+3.01620501473296i</v>
      </c>
      <c r="Z117" s="227" t="str">
        <f t="shared" si="33"/>
        <v>23.7990444452038+1.69343287028451i</v>
      </c>
      <c r="AA117" s="227" t="str">
        <f t="shared" si="34"/>
        <v>32.4638695329534-2.94040847844055i</v>
      </c>
      <c r="AB117" s="227">
        <f t="shared" si="44"/>
        <v>30.263488962197741</v>
      </c>
      <c r="AC117" s="227">
        <f t="shared" si="45"/>
        <v>-5.1754318526414673</v>
      </c>
      <c r="AD117" s="229">
        <f t="shared" si="46"/>
        <v>0.4308353772226009</v>
      </c>
      <c r="AE117" s="229">
        <f t="shared" si="47"/>
        <v>99.262733339580365</v>
      </c>
      <c r="AF117" s="227">
        <f t="shared" si="35"/>
        <v>30.694324339420341</v>
      </c>
      <c r="AG117" s="227">
        <f t="shared" si="36"/>
        <v>94.087301486938898</v>
      </c>
      <c r="AH117" s="229" t="str">
        <f t="shared" si="37"/>
        <v>0.16914722873619-1.03715005079229i</v>
      </c>
    </row>
    <row r="118" spans="9:34" x14ac:dyDescent="0.2">
      <c r="I118" s="227">
        <v>114</v>
      </c>
      <c r="J118" s="227">
        <f t="shared" si="25"/>
        <v>2.1115139680533073</v>
      </c>
      <c r="K118" s="227">
        <f t="shared" si="48"/>
        <v>129.27482783244093</v>
      </c>
      <c r="L118" s="227">
        <f t="shared" si="38"/>
        <v>812.25769882496354</v>
      </c>
      <c r="M118" s="227">
        <f t="shared" si="26"/>
        <v>8686.2155469434183</v>
      </c>
      <c r="N118" s="227">
        <f>SQRT((ABS(AC118)-171.5+'Small Signal'!C$59)^2)</f>
        <v>96.207638351985253</v>
      </c>
      <c r="O118" s="227">
        <f t="shared" si="39"/>
        <v>94.172180590112788</v>
      </c>
      <c r="P118" s="227">
        <f t="shared" si="40"/>
        <v>30.502976384554174</v>
      </c>
      <c r="Q118" s="227">
        <f t="shared" si="41"/>
        <v>129.27482783244093</v>
      </c>
      <c r="R118" s="227" t="str">
        <f t="shared" si="27"/>
        <v>0.0945666666666667+0.00381761118447733i</v>
      </c>
      <c r="S118" s="227" t="str">
        <f t="shared" si="28"/>
        <v>0.0085-130.971954931669i</v>
      </c>
      <c r="T118" s="227" t="str">
        <f t="shared" si="29"/>
        <v>23.2200311121141-4.25491180341572i</v>
      </c>
      <c r="U118" s="227" t="str">
        <f t="shared" si="30"/>
        <v>96.0427620836625-2.17585789200544i</v>
      </c>
      <c r="V118" s="227">
        <f t="shared" si="42"/>
        <v>39.651521286916015</v>
      </c>
      <c r="W118" s="227">
        <f t="shared" si="43"/>
        <v>-1.2978193174424466</v>
      </c>
      <c r="X118" s="227" t="str">
        <f t="shared" si="31"/>
        <v>0.999999881159245-0.000109613975627041i</v>
      </c>
      <c r="Y118" s="227" t="str">
        <f t="shared" si="32"/>
        <v>42.3285240167828+3.08470088959022i</v>
      </c>
      <c r="Z118" s="227" t="str">
        <f t="shared" si="33"/>
        <v>23.8011200067745+1.73188930552521i</v>
      </c>
      <c r="AA118" s="227" t="str">
        <f t="shared" si="34"/>
        <v>32.4522795519374-3.00614341851704i</v>
      </c>
      <c r="AB118" s="227">
        <f t="shared" si="44"/>
        <v>30.262011234486714</v>
      </c>
      <c r="AC118" s="227">
        <f t="shared" si="45"/>
        <v>-5.2923616480147508</v>
      </c>
      <c r="AD118" s="229">
        <f t="shared" si="46"/>
        <v>0.24096515006746055</v>
      </c>
      <c r="AE118" s="229">
        <f t="shared" si="47"/>
        <v>99.464542238127535</v>
      </c>
      <c r="AF118" s="227">
        <f t="shared" si="35"/>
        <v>30.502976384554174</v>
      </c>
      <c r="AG118" s="227">
        <f t="shared" si="36"/>
        <v>94.172180590112788</v>
      </c>
      <c r="AH118" s="229" t="str">
        <f t="shared" si="37"/>
        <v>0.169062913355209-1.01413516231294i</v>
      </c>
    </row>
    <row r="119" spans="9:34" x14ac:dyDescent="0.2">
      <c r="I119" s="227">
        <v>115</v>
      </c>
      <c r="J119" s="227">
        <f t="shared" si="25"/>
        <v>2.121264090580091</v>
      </c>
      <c r="K119" s="227">
        <f t="shared" si="48"/>
        <v>132.20993465539331</v>
      </c>
      <c r="L119" s="227">
        <f t="shared" si="38"/>
        <v>830.69951888994046</v>
      </c>
      <c r="M119" s="227">
        <f t="shared" si="26"/>
        <v>8683.2138002942393</v>
      </c>
      <c r="N119" s="227">
        <f>SQRT((ABS(AC119)-171.5+'Small Signal'!C$59)^2)</f>
        <v>96.088093557632561</v>
      </c>
      <c r="O119" s="227">
        <f t="shared" si="39"/>
        <v>94.258878182764931</v>
      </c>
      <c r="P119" s="227">
        <f t="shared" si="40"/>
        <v>30.311790260625997</v>
      </c>
      <c r="Q119" s="227">
        <f t="shared" si="41"/>
        <v>132.20993465539331</v>
      </c>
      <c r="R119" s="227" t="str">
        <f t="shared" si="27"/>
        <v>0.0945666666666667+0.00390428773878272i</v>
      </c>
      <c r="S119" s="227" t="str">
        <f t="shared" si="28"/>
        <v>0.0085-128.064331691877i</v>
      </c>
      <c r="T119" s="227" t="str">
        <f t="shared" si="29"/>
        <v>23.1854277650268-4.34502983887387i</v>
      </c>
      <c r="U119" s="227" t="str">
        <f t="shared" si="30"/>
        <v>96.0436126326652-2.22533866775781i</v>
      </c>
      <c r="V119" s="227">
        <f t="shared" si="42"/>
        <v>39.651700645893932</v>
      </c>
      <c r="W119" s="227">
        <f t="shared" si="43"/>
        <v>-1.3273105915809567</v>
      </c>
      <c r="X119" s="227" t="str">
        <f t="shared" si="31"/>
        <v>0.999999875701569-0.0001121026946851i</v>
      </c>
      <c r="Y119" s="227" t="str">
        <f t="shared" si="32"/>
        <v>42.332369736802+3.15475294676631i</v>
      </c>
      <c r="Z119" s="227" t="str">
        <f t="shared" si="33"/>
        <v>23.8032910213265+1.77121943073096i</v>
      </c>
      <c r="AA119" s="227" t="str">
        <f t="shared" si="34"/>
        <v>32.4401657616805-3.07330016429431i</v>
      </c>
      <c r="AB119" s="227">
        <f t="shared" si="44"/>
        <v>30.260466183266818</v>
      </c>
      <c r="AC119" s="227">
        <f t="shared" si="45"/>
        <v>-5.4119064423674343</v>
      </c>
      <c r="AD119" s="229">
        <f t="shared" si="46"/>
        <v>5.132407735917905E-2</v>
      </c>
      <c r="AE119" s="229">
        <f t="shared" si="47"/>
        <v>99.67078462513237</v>
      </c>
      <c r="AF119" s="227">
        <f t="shared" si="35"/>
        <v>30.311790260625997</v>
      </c>
      <c r="AG119" s="227">
        <f t="shared" si="36"/>
        <v>94.258878182764931</v>
      </c>
      <c r="AH119" s="229" t="str">
        <f t="shared" si="37"/>
        <v>0.16898229882068-0.991631430718038i</v>
      </c>
    </row>
    <row r="120" spans="9:34" x14ac:dyDescent="0.2">
      <c r="I120" s="227">
        <v>116</v>
      </c>
      <c r="J120" s="227">
        <f t="shared" si="25"/>
        <v>2.1310142131068743</v>
      </c>
      <c r="K120" s="227">
        <f t="shared" si="48"/>
        <v>135.21168130457164</v>
      </c>
      <c r="L120" s="227">
        <f t="shared" si="38"/>
        <v>849.56004933193333</v>
      </c>
      <c r="M120" s="227">
        <f t="shared" si="26"/>
        <v>8680.1439008018624</v>
      </c>
      <c r="N120" s="227">
        <f>SQRT((ABS(AC120)-171.5+'Small Signal'!C$59)^2)</f>
        <v>95.965877136360717</v>
      </c>
      <c r="O120" s="227">
        <f t="shared" si="39"/>
        <v>94.34741890781423</v>
      </c>
      <c r="P120" s="227">
        <f t="shared" si="40"/>
        <v>30.120772861107245</v>
      </c>
      <c r="Q120" s="227">
        <f t="shared" si="41"/>
        <v>135.21168130457164</v>
      </c>
      <c r="R120" s="227" t="str">
        <f t="shared" si="27"/>
        <v>0.0945666666666667+0.00399293223186009i</v>
      </c>
      <c r="S120" s="227" t="str">
        <f t="shared" si="28"/>
        <v>0.0085-125.22125870568i</v>
      </c>
      <c r="T120" s="227" t="str">
        <f t="shared" si="29"/>
        <v>23.1493455003415-4.4367631118513i</v>
      </c>
      <c r="U120" s="227" t="str">
        <f t="shared" si="30"/>
        <v>96.0445021516789-2.27594839833488i</v>
      </c>
      <c r="V120" s="227">
        <f t="shared" si="42"/>
        <v>39.651888242001057</v>
      </c>
      <c r="W120" s="227">
        <f t="shared" si="43"/>
        <v>-1.3574731949594847</v>
      </c>
      <c r="X120" s="227" t="str">
        <f t="shared" si="31"/>
        <v>0.999999869993253-0.000114647918605011i</v>
      </c>
      <c r="Y120" s="227" t="str">
        <f t="shared" si="32"/>
        <v>42.3363923299427+3.22639658940636i</v>
      </c>
      <c r="Z120" s="227" t="str">
        <f t="shared" si="33"/>
        <v>23.8055618850962+1.81144312126118i</v>
      </c>
      <c r="AA120" s="227" t="str">
        <f t="shared" si="34"/>
        <v>32.4275048908863-3.14190616351282i</v>
      </c>
      <c r="AB120" s="227">
        <f t="shared" si="44"/>
        <v>30.258850767076705</v>
      </c>
      <c r="AC120" s="227">
        <f t="shared" si="45"/>
        <v>-5.5341228636392943</v>
      </c>
      <c r="AD120" s="229">
        <f t="shared" si="46"/>
        <v>-0.13807790596946198</v>
      </c>
      <c r="AE120" s="229">
        <f t="shared" si="47"/>
        <v>99.881541771453527</v>
      </c>
      <c r="AF120" s="227">
        <f t="shared" si="35"/>
        <v>30.120772861107245</v>
      </c>
      <c r="AG120" s="227">
        <f t="shared" si="36"/>
        <v>94.34741890781423</v>
      </c>
      <c r="AH120" s="229" t="str">
        <f t="shared" si="37"/>
        <v>0.168905222581668-0.969627513975424i</v>
      </c>
    </row>
    <row r="121" spans="9:34" x14ac:dyDescent="0.2">
      <c r="I121" s="227">
        <v>117</v>
      </c>
      <c r="J121" s="227">
        <f t="shared" si="25"/>
        <v>2.1407643356336576</v>
      </c>
      <c r="K121" s="227">
        <f t="shared" si="48"/>
        <v>138.28158079694836</v>
      </c>
      <c r="L121" s="227">
        <f t="shared" si="38"/>
        <v>868.84879671695273</v>
      </c>
      <c r="M121" s="227">
        <f t="shared" si="26"/>
        <v>8677.0043010971785</v>
      </c>
      <c r="N121" s="227">
        <f>SQRT((ABS(AC121)-171.5+'Small Signal'!C$59)^2)</f>
        <v>95.840931362135422</v>
      </c>
      <c r="O121" s="227">
        <f t="shared" si="39"/>
        <v>94.437827097008352</v>
      </c>
      <c r="P121" s="227">
        <f t="shared" si="40"/>
        <v>29.92993134748227</v>
      </c>
      <c r="Q121" s="227">
        <f t="shared" si="41"/>
        <v>138.28158079694836</v>
      </c>
      <c r="R121" s="227" t="str">
        <f t="shared" si="27"/>
        <v>0.0945666666666667+0.00408358934456968i</v>
      </c>
      <c r="S121" s="227" t="str">
        <f t="shared" si="28"/>
        <v>0.0085-122.441302934854i</v>
      </c>
      <c r="T121" s="227" t="str">
        <f t="shared" si="29"/>
        <v>23.1117261928957-4.5301206782915i</v>
      </c>
      <c r="U121" s="227" t="str">
        <f t="shared" si="30"/>
        <v>96.0454324218187-2.32771310119064i</v>
      </c>
      <c r="V121" s="227">
        <f t="shared" si="42"/>
        <v>39.652084453539636</v>
      </c>
      <c r="W121" s="227">
        <f t="shared" si="43"/>
        <v>-1.388322491579759</v>
      </c>
      <c r="X121" s="227" t="str">
        <f t="shared" si="31"/>
        <v>0.999999864022787-0.000117250930295508i</v>
      </c>
      <c r="Y121" s="227" t="str">
        <f t="shared" si="32"/>
        <v>42.3405999435289+3.29966802935464i</v>
      </c>
      <c r="Z121" s="227" t="str">
        <f t="shared" si="33"/>
        <v>23.8079371973994+1.85258070640401i</v>
      </c>
      <c r="AA121" s="227" t="str">
        <f t="shared" si="34"/>
        <v>32.4142726718209-3.21198916086979i</v>
      </c>
      <c r="AB121" s="227">
        <f t="shared" si="44"/>
        <v>30.257161809446536</v>
      </c>
      <c r="AC121" s="227">
        <f t="shared" si="45"/>
        <v>-5.6590686378645696</v>
      </c>
      <c r="AD121" s="229">
        <f t="shared" si="46"/>
        <v>-0.32723046196426769</v>
      </c>
      <c r="AE121" s="229">
        <f t="shared" si="47"/>
        <v>100.09689573487292</v>
      </c>
      <c r="AF121" s="227">
        <f t="shared" si="35"/>
        <v>29.92993134748227</v>
      </c>
      <c r="AG121" s="227">
        <f t="shared" si="36"/>
        <v>94.437827097008352</v>
      </c>
      <c r="AH121" s="229" t="str">
        <f t="shared" si="37"/>
        <v>0.168831529221718-0.948112321925476i</v>
      </c>
    </row>
    <row r="122" spans="9:34" x14ac:dyDescent="0.2">
      <c r="I122" s="227">
        <v>118</v>
      </c>
      <c r="J122" s="227">
        <f t="shared" si="25"/>
        <v>2.1505144581604414</v>
      </c>
      <c r="K122" s="227">
        <f t="shared" si="48"/>
        <v>141.42118050163216</v>
      </c>
      <c r="L122" s="227">
        <f t="shared" si="38"/>
        <v>888.57548345184739</v>
      </c>
      <c r="M122" s="227">
        <f t="shared" si="26"/>
        <v>8673.7934186790008</v>
      </c>
      <c r="N122" s="227">
        <f>SQRT((ABS(AC122)-171.5+'Small Signal'!C$59)^2)</f>
        <v>95.713197398550165</v>
      </c>
      <c r="O122" s="227">
        <f t="shared" si="39"/>
        <v>94.530126706656475</v>
      </c>
      <c r="P122" s="227">
        <f t="shared" si="40"/>
        <v>29.739273157338374</v>
      </c>
      <c r="Q122" s="227">
        <f t="shared" si="41"/>
        <v>141.42118050163216</v>
      </c>
      <c r="R122" s="227" t="str">
        <f t="shared" si="27"/>
        <v>0.0945666666666667+0.00417630477222368i</v>
      </c>
      <c r="S122" s="227" t="str">
        <f t="shared" si="28"/>
        <v>0.0085-119.723063155128i</v>
      </c>
      <c r="T122" s="227" t="str">
        <f t="shared" si="29"/>
        <v>23.0725098912707-4.62511014278918i</v>
      </c>
      <c r="U122" s="227" t="str">
        <f t="shared" si="30"/>
        <v>96.0464053051933-2.38065941137265i</v>
      </c>
      <c r="V122" s="227">
        <f t="shared" si="42"/>
        <v>39.652289676187166</v>
      </c>
      <c r="W122" s="227">
        <f t="shared" si="43"/>
        <v>-1.4198742027787798</v>
      </c>
      <c r="X122" s="227" t="str">
        <f t="shared" si="31"/>
        <v>0.999999857778131-0.000119913041792991i</v>
      </c>
      <c r="Y122" s="227" t="str">
        <f t="shared" si="32"/>
        <v>42.3450011013567+3.37460430585013i</v>
      </c>
      <c r="Z122" s="227" t="str">
        <f t="shared" si="33"/>
        <v>23.8104217700728+1.89465297986495i</v>
      </c>
      <c r="AA122" s="227" t="str">
        <f t="shared" si="34"/>
        <v>32.40044380114-3.2835771832568i</v>
      </c>
      <c r="AB122" s="227">
        <f t="shared" si="44"/>
        <v>30.255395993126989</v>
      </c>
      <c r="AC122" s="227">
        <f t="shared" si="45"/>
        <v>-5.7868026014498444</v>
      </c>
      <c r="AD122" s="229">
        <f t="shared" si="46"/>
        <v>-0.51612283578861295</v>
      </c>
      <c r="AE122" s="229">
        <f t="shared" si="47"/>
        <v>100.31692930810632</v>
      </c>
      <c r="AF122" s="227">
        <f t="shared" si="35"/>
        <v>29.739273157338374</v>
      </c>
      <c r="AG122" s="227">
        <f t="shared" si="36"/>
        <v>94.530126706656475</v>
      </c>
      <c r="AH122" s="229" t="str">
        <f t="shared" si="37"/>
        <v>0.168761070145488-0.927075010694891i</v>
      </c>
    </row>
    <row r="123" spans="9:34" x14ac:dyDescent="0.2">
      <c r="I123" s="227">
        <v>119</v>
      </c>
      <c r="J123" s="227">
        <f t="shared" si="25"/>
        <v>2.1602645806872247</v>
      </c>
      <c r="K123" s="227">
        <f t="shared" si="48"/>
        <v>144.63206291981118</v>
      </c>
      <c r="L123" s="227">
        <f t="shared" si="38"/>
        <v>908.75005268483108</v>
      </c>
      <c r="M123" s="227">
        <f t="shared" si="26"/>
        <v>8670.5096351164048</v>
      </c>
      <c r="N123" s="227">
        <f>SQRT((ABS(AC123)-171.5+'Small Signal'!C$59)^2)</f>
        <v>95.582615287101106</v>
      </c>
      <c r="O123" s="227">
        <f t="shared" si="39"/>
        <v>94.62434124892836</v>
      </c>
      <c r="P123" s="227">
        <f t="shared" si="40"/>
        <v>29.548806012476298</v>
      </c>
      <c r="Q123" s="227">
        <f t="shared" si="41"/>
        <v>144.63206291981118</v>
      </c>
      <c r="R123" s="227" t="str">
        <f t="shared" si="27"/>
        <v>0.0945666666666667+0.00427112524761871i</v>
      </c>
      <c r="S123" s="227" t="str">
        <f t="shared" si="28"/>
        <v>0.0085-117.065169249899i</v>
      </c>
      <c r="T123" s="227" t="str">
        <f t="shared" si="29"/>
        <v>23.0316348027963-4.72173753905379i</v>
      </c>
      <c r="U123" s="227" t="str">
        <f t="shared" si="30"/>
        <v>96.0474227485431-2.43481459742203i</v>
      </c>
      <c r="V123" s="227">
        <f t="shared" si="42"/>
        <v>39.652504323793977</v>
      </c>
      <c r="W123" s="227">
        <f t="shared" si="43"/>
        <v>-1.4521444159359393</v>
      </c>
      <c r="X123" s="227" t="str">
        <f t="shared" si="31"/>
        <v>0.999999851246694-0.000122635594922853i</v>
      </c>
      <c r="Y123" s="227" t="str">
        <f t="shared" si="32"/>
        <v>42.3496047211963+3.45124330466921i</v>
      </c>
      <c r="Z123" s="227" t="str">
        <f t="shared" si="33"/>
        <v>23.8130206373537+1.93768121050608i</v>
      </c>
      <c r="AA123" s="227" t="str">
        <f t="shared" si="34"/>
        <v>32.385991899513-3.35669852330632i</v>
      </c>
      <c r="AB123" s="227">
        <f t="shared" si="44"/>
        <v>30.253549854093691</v>
      </c>
      <c r="AC123" s="227">
        <f t="shared" si="45"/>
        <v>-5.9173847128988921</v>
      </c>
      <c r="AD123" s="229">
        <f t="shared" si="46"/>
        <v>-0.70474384161739478</v>
      </c>
      <c r="AE123" s="229">
        <f t="shared" si="47"/>
        <v>100.54172596182725</v>
      </c>
      <c r="AF123" s="227">
        <f t="shared" si="35"/>
        <v>29.548806012476298</v>
      </c>
      <c r="AG123" s="227">
        <f t="shared" si="36"/>
        <v>94.62434124892836</v>
      </c>
      <c r="AH123" s="229" t="str">
        <f t="shared" si="37"/>
        <v>0.168693703279136-0.906504977234343i</v>
      </c>
    </row>
    <row r="124" spans="9:34" x14ac:dyDescent="0.2">
      <c r="I124" s="227">
        <v>120</v>
      </c>
      <c r="J124" s="227">
        <f t="shared" si="25"/>
        <v>2.170014703214008</v>
      </c>
      <c r="K124" s="227">
        <f t="shared" si="48"/>
        <v>147.9158464824072</v>
      </c>
      <c r="L124" s="227">
        <f t="shared" si="38"/>
        <v>929.38267331729219</v>
      </c>
      <c r="M124" s="227">
        <f t="shared" si="26"/>
        <v>8667.151295232974</v>
      </c>
      <c r="N124" s="227">
        <f>SQRT((ABS(AC124)-171.5+'Small Signal'!C$59)^2)</f>
        <v>95.449123936082202</v>
      </c>
      <c r="O124" s="227">
        <f t="shared" si="39"/>
        <v>94.720493718506347</v>
      </c>
      <c r="P124" s="227">
        <f t="shared" si="40"/>
        <v>29.358537927013227</v>
      </c>
      <c r="Q124" s="227">
        <f t="shared" si="41"/>
        <v>147.9158464824072</v>
      </c>
      <c r="R124" s="227" t="str">
        <f t="shared" si="27"/>
        <v>0.0945666666666667+0.00436809856459127i</v>
      </c>
      <c r="S124" s="227" t="str">
        <f t="shared" si="28"/>
        <v>0.0085-114.466281519631i</v>
      </c>
      <c r="T124" s="227" t="str">
        <f t="shared" si="29"/>
        <v>22.9890372829851-4.82000720460136i</v>
      </c>
      <c r="U124" s="227" t="str">
        <f t="shared" si="30"/>
        <v>96.0484867870457-2.49020657776638i</v>
      </c>
      <c r="V124" s="227">
        <f t="shared" si="42"/>
        <v>39.65272882921812</v>
      </c>
      <c r="W124" s="227">
        <f t="shared" si="43"/>
        <v>-1.485149593419576</v>
      </c>
      <c r="X124" s="227" t="str">
        <f t="shared" si="31"/>
        <v>0.999999844415306-0.000125419961975822i</v>
      </c>
      <c r="Y124" s="227" t="str">
        <f t="shared" si="32"/>
        <v>42.3544201331248+3.5296237777271i</v>
      </c>
      <c r="Z124" s="227" t="str">
        <f t="shared" si="33"/>
        <v>23.8157390662284+1.98168715334215i</v>
      </c>
      <c r="AA124" s="227" t="str">
        <f t="shared" si="34"/>
        <v>32.3708894700329-3.43138172112857i</v>
      </c>
      <c r="AB124" s="227">
        <f t="shared" si="44"/>
        <v>30.251619775318346</v>
      </c>
      <c r="AC124" s="227">
        <f t="shared" si="45"/>
        <v>-6.0508760639178085</v>
      </c>
      <c r="AD124" s="229">
        <f t="shared" si="46"/>
        <v>-0.89308184830512016</v>
      </c>
      <c r="AE124" s="229">
        <f t="shared" si="47"/>
        <v>100.77136978242416</v>
      </c>
      <c r="AF124" s="227">
        <f t="shared" si="35"/>
        <v>29.358537927013227</v>
      </c>
      <c r="AG124" s="227">
        <f t="shared" si="36"/>
        <v>94.720493718506347</v>
      </c>
      <c r="AH124" s="229" t="str">
        <f t="shared" si="37"/>
        <v>0.168629292783862-0.886391853977293i</v>
      </c>
    </row>
    <row r="125" spans="9:34" x14ac:dyDescent="0.2">
      <c r="I125" s="227">
        <v>121</v>
      </c>
      <c r="J125" s="227">
        <f t="shared" si="25"/>
        <v>2.1797648257407913</v>
      </c>
      <c r="K125" s="227">
        <f t="shared" si="48"/>
        <v>151.27418636583766</v>
      </c>
      <c r="L125" s="227">
        <f t="shared" si="38"/>
        <v>950.48374512937767</v>
      </c>
      <c r="M125" s="227">
        <f t="shared" si="26"/>
        <v>8663.7167062725111</v>
      </c>
      <c r="N125" s="227">
        <f>SQRT((ABS(AC125)-171.5+'Small Signal'!C$59)^2)</f>
        <v>95.31266111016842</v>
      </c>
      <c r="O125" s="227">
        <f t="shared" si="39"/>
        <v>94.818606514371496</v>
      </c>
      <c r="P125" s="227">
        <f t="shared" si="40"/>
        <v>29.168477215450679</v>
      </c>
      <c r="Q125" s="227">
        <f t="shared" si="41"/>
        <v>151.27418636583766</v>
      </c>
      <c r="R125" s="227" t="str">
        <f t="shared" si="27"/>
        <v>0.0945666666666667+0.00446727360210808i</v>
      </c>
      <c r="S125" s="227" t="str">
        <f t="shared" si="28"/>
        <v>0.0085-111.925090006588i</v>
      </c>
      <c r="T125" s="227" t="str">
        <f t="shared" si="29"/>
        <v>22.9446518299173-4.91992164961545i</v>
      </c>
      <c r="U125" s="227" t="str">
        <f t="shared" si="30"/>
        <v>96.0495995482869-2.54686393762537i</v>
      </c>
      <c r="V125" s="227">
        <f t="shared" si="42"/>
        <v>39.652963645198639</v>
      </c>
      <c r="W125" s="227">
        <f t="shared" si="43"/>
        <v>-1.5189065817810365</v>
      </c>
      <c r="X125" s="227" t="str">
        <f t="shared" si="31"/>
        <v>0.99999983727019-0.000128267546399658i</v>
      </c>
      <c r="Y125" s="227" t="str">
        <f t="shared" si="32"/>
        <v>42.3594570987195+3.60978536314992i</v>
      </c>
      <c r="Z125" s="227" t="str">
        <f t="shared" si="33"/>
        <v>23.8185825672665+2.02669306080033i</v>
      </c>
      <c r="AA125" s="227" t="str">
        <f t="shared" si="34"/>
        <v>32.3551078554175-3.50765554411641i</v>
      </c>
      <c r="AB125" s="227">
        <f t="shared" si="44"/>
        <v>30.249601980301005</v>
      </c>
      <c r="AC125" s="227">
        <f t="shared" si="45"/>
        <v>-6.1873388898315813</v>
      </c>
      <c r="AD125" s="229">
        <f t="shared" si="46"/>
        <v>-1.0811247648503279</v>
      </c>
      <c r="AE125" s="229">
        <f t="shared" si="47"/>
        <v>101.00594540420308</v>
      </c>
      <c r="AF125" s="227">
        <f t="shared" si="35"/>
        <v>29.168477215450679</v>
      </c>
      <c r="AG125" s="227">
        <f t="shared" si="36"/>
        <v>94.818606514371496</v>
      </c>
      <c r="AH125" s="229" t="str">
        <f t="shared" si="37"/>
        <v>0.168567708782013-0.866725503617294i</v>
      </c>
    </row>
    <row r="126" spans="9:34" x14ac:dyDescent="0.2">
      <c r="I126" s="227">
        <v>122</v>
      </c>
      <c r="J126" s="227">
        <f t="shared" si="25"/>
        <v>2.1895149482675746</v>
      </c>
      <c r="K126" s="227">
        <f t="shared" si="48"/>
        <v>154.70877532629962</v>
      </c>
      <c r="L126" s="227">
        <f t="shared" si="38"/>
        <v>972.06390402195348</v>
      </c>
      <c r="M126" s="227">
        <f t="shared" si="26"/>
        <v>8660.2041370458137</v>
      </c>
      <c r="N126" s="227">
        <f>SQRT((ABS(AC126)-171.5+'Small Signal'!C$59)^2)</f>
        <v>95.173163420762535</v>
      </c>
      <c r="O126" s="227">
        <f t="shared" si="39"/>
        <v>94.918701356503519</v>
      </c>
      <c r="P126" s="227">
        <f t="shared" si="40"/>
        <v>28.978632500672781</v>
      </c>
      <c r="Q126" s="227">
        <f t="shared" si="41"/>
        <v>154.70877532629962</v>
      </c>
      <c r="R126" s="227" t="str">
        <f t="shared" si="27"/>
        <v>0.0945666666666667+0.00456870034890318i</v>
      </c>
      <c r="S126" s="227" t="str">
        <f t="shared" si="28"/>
        <v>0.0085-109.440313834554i</v>
      </c>
      <c r="T126" s="227" t="str">
        <f t="shared" si="29"/>
        <v>22.8984110841186-5.02148141994408i</v>
      </c>
      <c r="U126" s="227" t="str">
        <f t="shared" si="30"/>
        <v>96.0507632564034-2.60481594645102i</v>
      </c>
      <c r="V126" s="227">
        <f t="shared" si="42"/>
        <v>39.653209245268542</v>
      </c>
      <c r="W126" s="227">
        <f t="shared" si="43"/>
        <v>-1.5534326212053033</v>
      </c>
      <c r="X126" s="227" t="str">
        <f t="shared" si="31"/>
        <v>0.999999829796941-0.000131179783506552i</v>
      </c>
      <c r="Y126" s="227" t="str">
        <f t="shared" si="32"/>
        <v>42.3647258311618+3.69176860582951i</v>
      </c>
      <c r="Z126" s="227" t="str">
        <f t="shared" si="33"/>
        <v>23.8215569059686+2.0727216942503i</v>
      </c>
      <c r="AA126" s="227" t="str">
        <f t="shared" si="34"/>
        <v>32.3386171939993-3.58554896468742i</v>
      </c>
      <c r="AB126" s="227">
        <f t="shared" si="44"/>
        <v>30.24749252635473</v>
      </c>
      <c r="AC126" s="227">
        <f t="shared" si="45"/>
        <v>-6.3268365792374679</v>
      </c>
      <c r="AD126" s="229">
        <f t="shared" si="46"/>
        <v>-1.2688600256819504</v>
      </c>
      <c r="AE126" s="229">
        <f t="shared" si="47"/>
        <v>101.24553793574098</v>
      </c>
      <c r="AF126" s="227">
        <f t="shared" si="35"/>
        <v>28.978632500672781</v>
      </c>
      <c r="AG126" s="227">
        <f t="shared" si="36"/>
        <v>94.918701356503519</v>
      </c>
      <c r="AH126" s="229" t="str">
        <f t="shared" si="37"/>
        <v>0.168508827095201-0.847496014001157i</v>
      </c>
    </row>
    <row r="127" spans="9:34" x14ac:dyDescent="0.2">
      <c r="I127" s="227">
        <v>123</v>
      </c>
      <c r="J127" s="227">
        <f t="shared" si="25"/>
        <v>2.1992650707943584</v>
      </c>
      <c r="K127" s="227">
        <f t="shared" si="48"/>
        <v>158.22134455299712</v>
      </c>
      <c r="L127" s="227">
        <f t="shared" si="38"/>
        <v>994.13402737759043</v>
      </c>
      <c r="M127" s="227">
        <f t="shared" si="26"/>
        <v>8656.6118170580739</v>
      </c>
      <c r="N127" s="227">
        <f>SQRT((ABS(AC127)-171.5+'Small Signal'!C$59)^2)</f>
        <v>95.030566317183315</v>
      </c>
      <c r="O127" s="227">
        <f t="shared" si="39"/>
        <v>95.020799197274982</v>
      </c>
      <c r="P127" s="227">
        <f t="shared" si="40"/>
        <v>28.78901272184185</v>
      </c>
      <c r="Q127" s="227">
        <f t="shared" si="41"/>
        <v>158.22134455299712</v>
      </c>
      <c r="R127" s="227" t="str">
        <f t="shared" si="27"/>
        <v>0.0945666666666667+0.00467242992867467i</v>
      </c>
      <c r="S127" s="227" t="str">
        <f t="shared" si="28"/>
        <v>0.0085-107.010700563213i</v>
      </c>
      <c r="T127" s="227" t="str">
        <f t="shared" si="29"/>
        <v>22.8502458345184-5.12468495423117i</v>
      </c>
      <c r="U127" s="227" t="str">
        <f t="shared" si="30"/>
        <v>96.0519802364066-2.66409257592481i</v>
      </c>
      <c r="V127" s="227">
        <f t="shared" si="42"/>
        <v>39.653466124709993</v>
      </c>
      <c r="W127" s="227">
        <f t="shared" si="43"/>
        <v>-1.588745355226967</v>
      </c>
      <c r="X127" s="227" t="str">
        <f t="shared" si="31"/>
        <v>0.999999821980488-0.000134158141196593i</v>
      </c>
      <c r="Y127" s="227" t="str">
        <f t="shared" si="32"/>
        <v>42.3702370162839+3.77561497847454i</v>
      </c>
      <c r="Z127" s="227" t="str">
        <f t="shared" si="33"/>
        <v>23.8246681146474+2.11979633581223i</v>
      </c>
      <c r="AA127" s="227" t="str">
        <f t="shared" si="34"/>
        <v>32.3213863745244-3.66509113582818i</v>
      </c>
      <c r="AB127" s="227">
        <f t="shared" si="44"/>
        <v>30.245287297638491</v>
      </c>
      <c r="AC127" s="227">
        <f t="shared" si="45"/>
        <v>-6.469433682816697</v>
      </c>
      <c r="AD127" s="229">
        <f t="shared" si="46"/>
        <v>-1.456274575796642</v>
      </c>
      <c r="AE127" s="229">
        <f t="shared" si="47"/>
        <v>101.49023288009168</v>
      </c>
      <c r="AF127" s="227">
        <f t="shared" si="35"/>
        <v>28.78901272184185</v>
      </c>
      <c r="AG127" s="227">
        <f t="shared" si="36"/>
        <v>95.020799197274982</v>
      </c>
      <c r="AH127" s="229" t="str">
        <f t="shared" si="37"/>
        <v>0.168452528993938-0.828693693135412i</v>
      </c>
    </row>
    <row r="128" spans="9:34" x14ac:dyDescent="0.2">
      <c r="I128" s="227">
        <v>124</v>
      </c>
      <c r="J128" s="227">
        <f t="shared" si="25"/>
        <v>2.2090151933211417</v>
      </c>
      <c r="K128" s="227">
        <f t="shared" si="48"/>
        <v>161.81366454073756</v>
      </c>
      <c r="L128" s="227">
        <f t="shared" si="38"/>
        <v>1016.7052395432487</v>
      </c>
      <c r="M128" s="227">
        <f t="shared" si="26"/>
        <v>8652.9379356164682</v>
      </c>
      <c r="N128" s="227">
        <f>SQRT((ABS(AC128)-171.5+'Small Signal'!C$59)^2)</f>
        <v>94.884804078780945</v>
      </c>
      <c r="O128" s="227">
        <f t="shared" si="39"/>
        <v>95.124920127313942</v>
      </c>
      <c r="P128" s="227">
        <f t="shared" si="40"/>
        <v>28.599627142149625</v>
      </c>
      <c r="Q128" s="227">
        <f t="shared" si="41"/>
        <v>161.81366454073756</v>
      </c>
      <c r="R128" s="227" t="str">
        <f t="shared" si="27"/>
        <v>0.0945666666666667+0.00477851462585327i</v>
      </c>
      <c r="S128" s="227" t="str">
        <f t="shared" si="28"/>
        <v>0.0085-104.635025556863i</v>
      </c>
      <c r="T128" s="227" t="str">
        <f t="shared" si="29"/>
        <v>22.8000850311003-5.22952843521603i</v>
      </c>
      <c r="U128" s="227" t="str">
        <f t="shared" si="30"/>
        <v>96.0532529186986-2.72472451853617i</v>
      </c>
      <c r="V128" s="227">
        <f t="shared" si="42"/>
        <v>39.653734801553533</v>
      </c>
      <c r="W128" s="227">
        <f t="shared" si="43"/>
        <v>-1.6248628407214423</v>
      </c>
      <c r="X128" s="227" t="str">
        <f t="shared" si="31"/>
        <v>0.99999981380507-0.000137204120697653i</v>
      </c>
      <c r="Y128" s="227" t="str">
        <f t="shared" si="32"/>
        <v>42.3760018346192+3.86136690317014i</v>
      </c>
      <c r="Z128" s="227" t="str">
        <f t="shared" si="33"/>
        <v>23.8279225048736+2.16794080044953i</v>
      </c>
      <c r="AA128" s="227" t="str">
        <f t="shared" si="34"/>
        <v>32.3033829897673-3.74631136429576i</v>
      </c>
      <c r="AB128" s="227">
        <f t="shared" si="44"/>
        <v>30.242981997929203</v>
      </c>
      <c r="AC128" s="227">
        <f t="shared" si="45"/>
        <v>-6.6151959212190494</v>
      </c>
      <c r="AD128" s="229">
        <f t="shared" si="46"/>
        <v>-1.6433548557795774</v>
      </c>
      <c r="AE128" s="229">
        <f t="shared" si="47"/>
        <v>101.740116048533</v>
      </c>
      <c r="AF128" s="227">
        <f t="shared" si="35"/>
        <v>28.599627142149625</v>
      </c>
      <c r="AG128" s="227">
        <f t="shared" si="36"/>
        <v>95.124920127313942</v>
      </c>
      <c r="AH128" s="229" t="str">
        <f t="shared" si="37"/>
        <v>0.168398700958215-0.810309064303584i</v>
      </c>
    </row>
    <row r="129" spans="9:34" x14ac:dyDescent="0.2">
      <c r="I129" s="227">
        <v>125</v>
      </c>
      <c r="J129" s="227">
        <f t="shared" si="25"/>
        <v>2.218765315847925</v>
      </c>
      <c r="K129" s="227">
        <f t="shared" si="48"/>
        <v>165.48754598234368</v>
      </c>
      <c r="L129" s="227">
        <f t="shared" si="38"/>
        <v>1039.7889174374679</v>
      </c>
      <c r="M129" s="227">
        <f t="shared" si="26"/>
        <v>8649.1806409174878</v>
      </c>
      <c r="N129" s="227">
        <f>SQRT((ABS(AC129)-171.5+'Small Signal'!C$59)^2)</f>
        <v>94.735809808068893</v>
      </c>
      <c r="O129" s="227">
        <f t="shared" si="39"/>
        <v>95.231083275620406</v>
      </c>
      <c r="P129" s="227">
        <f t="shared" si="40"/>
        <v>28.410485356381816</v>
      </c>
      <c r="Q129" s="227">
        <f t="shared" si="41"/>
        <v>165.48754598234368</v>
      </c>
      <c r="R129" s="227" t="str">
        <f t="shared" si="27"/>
        <v>0.0945666666666667+0.0048870079119561i</v>
      </c>
      <c r="S129" s="227" t="str">
        <f t="shared" si="28"/>
        <v>0.0085-102.312091367142i</v>
      </c>
      <c r="T129" s="227" t="str">
        <f t="shared" si="29"/>
        <v>22.7478558048943-5.33600563527466i</v>
      </c>
      <c r="U129" s="227" t="str">
        <f t="shared" si="30"/>
        <v>96.0545838437775-2.78674320676737i</v>
      </c>
      <c r="V129" s="227">
        <f t="shared" si="42"/>
        <v>39.654015817622778</v>
      </c>
      <c r="W129" s="227">
        <f t="shared" si="43"/>
        <v>-1.6618035581814909</v>
      </c>
      <c r="X129" s="227" t="str">
        <f t="shared" si="31"/>
        <v>0.999999805254202-0.000140319257322077i</v>
      </c>
      <c r="Y129" s="227" t="str">
        <f t="shared" si="32"/>
        <v>42.3820319844917+3.94906777346013i</v>
      </c>
      <c r="Z129" s="227" t="str">
        <f t="shared" si="33"/>
        <v>23.83132668051+2.21717944835417i</v>
      </c>
      <c r="AA129" s="227" t="str">
        <f t="shared" si="34"/>
        <v>32.2845732889882-3.82923908132676i</v>
      </c>
      <c r="AB129" s="227">
        <f t="shared" si="44"/>
        <v>30.240572143127373</v>
      </c>
      <c r="AC129" s="227">
        <f t="shared" si="45"/>
        <v>-6.7641901919310978</v>
      </c>
      <c r="AD129" s="229">
        <f t="shared" si="46"/>
        <v>-1.8300867867455577</v>
      </c>
      <c r="AE129" s="229">
        <f t="shared" si="47"/>
        <v>101.9952734675515</v>
      </c>
      <c r="AF129" s="227">
        <f t="shared" si="35"/>
        <v>28.410485356381816</v>
      </c>
      <c r="AG129" s="227">
        <f t="shared" si="36"/>
        <v>95.231083275620406</v>
      </c>
      <c r="AH129" s="229" t="str">
        <f t="shared" si="37"/>
        <v>0.168347234448635-0.7923328612918i</v>
      </c>
    </row>
    <row r="130" spans="9:34" x14ac:dyDescent="0.2">
      <c r="I130" s="227">
        <v>126</v>
      </c>
      <c r="J130" s="227">
        <f t="shared" si="25"/>
        <v>2.2285154383747088</v>
      </c>
      <c r="K130" s="227">
        <f t="shared" si="48"/>
        <v>169.24484068132415</v>
      </c>
      <c r="L130" s="227">
        <f t="shared" si="38"/>
        <v>1063.3966962848458</v>
      </c>
      <c r="M130" s="227">
        <f t="shared" si="26"/>
        <v>8645.3380391135452</v>
      </c>
      <c r="N130" s="227">
        <f>SQRT((ABS(AC130)-171.5+'Small Signal'!C$59)^2)</f>
        <v>94.583515424967914</v>
      </c>
      <c r="O130" s="227">
        <f t="shared" si="39"/>
        <v>95.339306703712111</v>
      </c>
      <c r="P130" s="227">
        <f t="shared" si="40"/>
        <v>28.221597298248646</v>
      </c>
      <c r="Q130" s="227">
        <f t="shared" si="41"/>
        <v>169.24484068132415</v>
      </c>
      <c r="R130" s="227" t="str">
        <f t="shared" si="27"/>
        <v>0.0945666666666667+0.00499796447253878i</v>
      </c>
      <c r="S130" s="227" t="str">
        <f t="shared" si="28"/>
        <v>0.0085-100.040727129463i</v>
      </c>
      <c r="T130" s="227" t="str">
        <f t="shared" si="29"/>
        <v>22.6934834959917-5.44410775632114i</v>
      </c>
      <c r="U130" s="227" t="str">
        <f t="shared" si="30"/>
        <v>96.0559756671539-2.85018083291158i</v>
      </c>
      <c r="V130" s="227">
        <f t="shared" si="42"/>
        <v>39.654309739627628</v>
      </c>
      <c r="W130" s="227">
        <f t="shared" si="43"/>
        <v>-1.6995864222894157</v>
      </c>
      <c r="X130" s="227" t="str">
        <f t="shared" si="31"/>
        <v>0.999999796310641-0.000143505121240545i</v>
      </c>
      <c r="Y130" s="227" t="str">
        <f t="shared" si="32"/>
        <v>42.3883397062048+4.0387619769658i</v>
      </c>
      <c r="Z130" s="227" t="str">
        <f t="shared" si="33"/>
        <v>23.8348875513644+2.26753719763231i</v>
      </c>
      <c r="AA130" s="227" t="str">
        <f t="shared" si="34"/>
        <v>32.2649221292624-3.91390381069599i</v>
      </c>
      <c r="AB130" s="227">
        <f t="shared" si="44"/>
        <v>30.238053053489939</v>
      </c>
      <c r="AC130" s="227">
        <f t="shared" si="45"/>
        <v>-6.9164845750320936</v>
      </c>
      <c r="AD130" s="229">
        <f t="shared" si="46"/>
        <v>-2.0164557552412936</v>
      </c>
      <c r="AE130" s="229">
        <f t="shared" si="47"/>
        <v>102.25579127874421</v>
      </c>
      <c r="AF130" s="227">
        <f t="shared" si="35"/>
        <v>28.221597298248646</v>
      </c>
      <c r="AG130" s="227">
        <f t="shared" si="36"/>
        <v>95.339306703712111</v>
      </c>
      <c r="AH130" s="229" t="str">
        <f t="shared" si="37"/>
        <v>0.168298025687538-0.774756023720353i</v>
      </c>
    </row>
    <row r="131" spans="9:34" x14ac:dyDescent="0.2">
      <c r="I131" s="227">
        <v>127</v>
      </c>
      <c r="J131" s="227">
        <f t="shared" si="25"/>
        <v>2.2382655609014916</v>
      </c>
      <c r="K131" s="227">
        <f t="shared" si="48"/>
        <v>173.08744248526594</v>
      </c>
      <c r="L131" s="227">
        <f t="shared" si="38"/>
        <v>1087.5404754807146</v>
      </c>
      <c r="M131" s="227">
        <f t="shared" si="26"/>
        <v>8641.4081933583893</v>
      </c>
      <c r="N131" s="227">
        <f>SQRT((ABS(AC131)-171.5+'Small Signal'!C$59)^2)</f>
        <v>94.427851662264629</v>
      </c>
      <c r="O131" s="227">
        <f t="shared" si="39"/>
        <v>95.449607293592919</v>
      </c>
      <c r="P131" s="227">
        <f t="shared" si="40"/>
        <v>28.032973247429457</v>
      </c>
      <c r="Q131" s="227">
        <f t="shared" si="41"/>
        <v>173.08744248526594</v>
      </c>
      <c r="R131" s="227" t="str">
        <f t="shared" si="27"/>
        <v>0.0945666666666667+0.00511144023475936i</v>
      </c>
      <c r="S131" s="227" t="str">
        <f t="shared" si="28"/>
        <v>0.0085-97.8197879728394i</v>
      </c>
      <c r="T131" s="227" t="str">
        <f t="shared" si="29"/>
        <v>22.6368916902939-5.55382326423839i</v>
      </c>
      <c r="U131" s="227" t="str">
        <f t="shared" si="30"/>
        <v>96.0574311644732-2.91507036955268i</v>
      </c>
      <c r="V131" s="227">
        <f t="shared" si="42"/>
        <v>39.654617160307311</v>
      </c>
      <c r="W131" s="227">
        <f t="shared" si="43"/>
        <v>-1.7382307927964322</v>
      </c>
      <c r="X131" s="227" t="str">
        <f t="shared" si="31"/>
        <v>0.999999786956354-0.000146763318273518i</v>
      </c>
      <c r="Y131" s="227" t="str">
        <f t="shared" si="32"/>
        <v>42.3949378073777+4.13049491855536i</v>
      </c>
      <c r="Z131" s="227" t="str">
        <f t="shared" si="33"/>
        <v>23.8386123474915+2.3190395372982i</v>
      </c>
      <c r="AA131" s="227" t="str">
        <f t="shared" si="34"/>
        <v>32.2443929257171-4.00033513395921i</v>
      </c>
      <c r="AB131" s="227">
        <f t="shared" si="44"/>
        <v>30.235419845583323</v>
      </c>
      <c r="AC131" s="227">
        <f t="shared" si="45"/>
        <v>-7.0721483377353822</v>
      </c>
      <c r="AD131" s="229">
        <f t="shared" si="46"/>
        <v>-2.2024465981538661</v>
      </c>
      <c r="AE131" s="229">
        <f t="shared" si="47"/>
        <v>102.5217556313283</v>
      </c>
      <c r="AF131" s="227">
        <f t="shared" si="35"/>
        <v>28.032973247429457</v>
      </c>
      <c r="AG131" s="227">
        <f t="shared" si="36"/>
        <v>95.449607293592919</v>
      </c>
      <c r="AH131" s="229" t="str">
        <f t="shared" si="37"/>
        <v>0.168250975449766-0.757569692478892i</v>
      </c>
    </row>
    <row r="132" spans="9:34" x14ac:dyDescent="0.2">
      <c r="I132" s="227">
        <v>128</v>
      </c>
      <c r="J132" s="227">
        <f t="shared" ref="J132:J195" si="49">1+I132*(LOG(fsw)-1)/500</f>
        <v>2.2480156834282754</v>
      </c>
      <c r="K132" s="227">
        <f t="shared" si="48"/>
        <v>177.01728824042243</v>
      </c>
      <c r="L132" s="227">
        <f t="shared" si="38"/>
        <v>1112.2324245889961</v>
      </c>
      <c r="M132" s="227">
        <f t="shared" ref="M132:M195" si="50">SQRT((Fco_target-K133)^2)</f>
        <v>8637.3891228308439</v>
      </c>
      <c r="N132" s="227">
        <f>SQRT((ABS(AC132)-171.5+'Small Signal'!C$59)^2)</f>
        <v>94.268748062391609</v>
      </c>
      <c r="O132" s="227">
        <f t="shared" si="39"/>
        <v>95.562000629331877</v>
      </c>
      <c r="P132" s="227">
        <f t="shared" si="40"/>
        <v>27.844623836275808</v>
      </c>
      <c r="Q132" s="227">
        <f t="shared" si="41"/>
        <v>177.01728824042243</v>
      </c>
      <c r="R132" s="227" t="str">
        <f t="shared" ref="R132:R195" si="51">IMSUM(COMPLEX(DCRss,Lss*L132),COMPLEX(Rdsonss,0),COMPLEX(40/3*Risense,0))</f>
        <v>0.0945666666666667+0.00522749239556828i</v>
      </c>
      <c r="S132" s="227" t="str">
        <f t="shared" ref="S132:S195" si="52">IMSUM(COMPLEX(ESRss,0),IMDIV(COMPLEX(1,0),COMPLEX(0,L132*Cbulkss)))</f>
        <v>0.0085-95.6481544428231i</v>
      </c>
      <c r="T132" s="227" t="str">
        <f t="shared" ref="T132:T195" si="53">IMDIV(IMPRODUCT(S132,COMPLEX(Ross,0)),IMSUM(S132,COMPLEX(Ross,0)))</f>
        <v>22.5780022657376-5.66513771806101i</v>
      </c>
      <c r="U132" s="227" t="str">
        <f t="shared" ref="U132:U195" si="54">IMPRODUCT(COMPLEX(Vinss,0),COMPLEX(M^2,0),IMDIV(IMSUB(COMPLEX(1,0),IMDIV(IMPRODUCT(R132,COMPLEX(M^2,0)),COMPLEX(Ross,0))),IMSUM(COMPLEX(1,0),IMDIV(IMPRODUCT(R132,COMPLEX(M^2,0)),T132))))</f>
        <v>96.0589532368591-2.98144559073601i</v>
      </c>
      <c r="V132" s="227">
        <f t="shared" si="42"/>
        <v>39.654938699625831</v>
      </c>
      <c r="W132" s="227">
        <f t="shared" si="43"/>
        <v>-1.7777564857203585</v>
      </c>
      <c r="X132" s="227" t="str">
        <f t="shared" ref="X132:X195" si="55">IMSUM(COMPLEX(1,L132/(wn*q0)),IMPOWER(COMPLEX(0,L132/wn),2))</f>
        <v>0.999999777172478-0.000150095490700637i</v>
      </c>
      <c r="Y132" s="227" t="str">
        <f t="shared" ref="Y132:Y195" si="56">IMPRODUCT(COMPLEX(2*Ioutss*M^2,0),IMDIV(IMSUM(COMPLEX(1,0),IMDIV(COMPLEX(Ross,0),IMPRODUCT(COMPLEX(2,0),S132))),IMSUM(COMPLEX(1,0),IMDIV(IMPRODUCT(R132,COMPLEX(M^2,0)),T132))))</f>
        <v>42.4018396894835+4.22431304407951i</v>
      </c>
      <c r="Z132" s="227" t="str">
        <f t="shared" ref="Z132:Z195" si="57">IMPRODUCT(COMPLEX(Fm*40/3*Risense,0),Y132,X132)</f>
        <v>23.8425086341727+2.37171254058487i</v>
      </c>
      <c r="AA132" s="227" t="str">
        <f t="shared" ref="AA132:AA195" si="58">IMDIV(IMPRODUCT(COMPLEX(Fm,0),U132),IMSUM(COMPLEX(1,0),Z132))</f>
        <v>32.2229476007265-4.0885626527086i</v>
      </c>
      <c r="AB132" s="227">
        <f t="shared" si="44"/>
        <v>30.232667423952041</v>
      </c>
      <c r="AC132" s="227">
        <f t="shared" si="45"/>
        <v>-7.2312519376084028</v>
      </c>
      <c r="AD132" s="229">
        <f t="shared" si="46"/>
        <v>-2.3880435876762318</v>
      </c>
      <c r="AE132" s="229">
        <f t="shared" si="47"/>
        <v>102.79325256694028</v>
      </c>
      <c r="AF132" s="227">
        <f t="shared" ref="AF132:AF195" si="59">AD132+AB132</f>
        <v>27.844623836275808</v>
      </c>
      <c r="AG132" s="227">
        <f t="shared" ref="AG132:AG195" si="60">AE132+AC132</f>
        <v>95.562000629331877</v>
      </c>
      <c r="AH132" s="229" t="str">
        <f t="shared" ref="AH132:AH195" si="61">IMDIV(IMPRODUCT(COMPLEX(gea*Rea*Rslss/(Rslss+Rshss),0),COMPLEX(1,L132*Ccompss*Rcompss),COMPLEX(1,k_3*L132*Cffss*Rshss)),IMPRODUCT(COMPLEX(1,L132*Rea*Ccompss),COMPLEX(1,L132*Rcompss*Chfss),COMPLEX(1,k_3*L132*Rffss*Cffss)))</f>
        <v>0.168205988862584-0.740765205262898i</v>
      </c>
    </row>
    <row r="133" spans="9:34" x14ac:dyDescent="0.2">
      <c r="I133" s="227">
        <v>129</v>
      </c>
      <c r="J133" s="227">
        <f t="shared" si="49"/>
        <v>2.2577658059550583</v>
      </c>
      <c r="K133" s="227">
        <f t="shared" si="48"/>
        <v>181.03635876796847</v>
      </c>
      <c r="L133" s="227">
        <f t="shared" ref="L133:L196" si="62">2*PI()*K133</f>
        <v>1137.4849894761917</v>
      </c>
      <c r="M133" s="227">
        <f t="shared" si="50"/>
        <v>8633.2788017363837</v>
      </c>
      <c r="N133" s="227">
        <f>SQRT((ABS(AC133)-171.5+'Small Signal'!C$59)^2)</f>
        <v>94.106132975645977</v>
      </c>
      <c r="O133" s="227">
        <f t="shared" ref="O133:O196" si="63">ABS(AG133)</f>
        <v>95.676500872059265</v>
      </c>
      <c r="P133" s="227">
        <f t="shared" ref="P133:P196" si="64">ABS(AF133)</f>
        <v>27.656560056110717</v>
      </c>
      <c r="Q133" s="227">
        <f t="shared" ref="Q133:Q196" si="65">K133</f>
        <v>181.03635876796847</v>
      </c>
      <c r="R133" s="227" t="str">
        <f t="shared" si="51"/>
        <v>0.0945666666666667+0.0053461794505381i</v>
      </c>
      <c r="S133" s="227" t="str">
        <f t="shared" si="52"/>
        <v>0.0085-93.5247319372481i</v>
      </c>
      <c r="T133" s="227" t="str">
        <f t="shared" si="53"/>
        <v>22.516735448765-5.77803359419684i</v>
      </c>
      <c r="U133" s="227" t="str">
        <f t="shared" si="54"/>
        <v>96.0605449164919-3.04934109386284i</v>
      </c>
      <c r="V133" s="227">
        <f t="shared" ref="V133:V196" si="66">20*LOG(IMABS(U133))</f>
        <v>39.655275006023047</v>
      </c>
      <c r="W133" s="227">
        <f t="shared" ref="W133:W196" si="67">IF(DEGREES(IMARGUMENT(U133))&gt;0,DEGREES(IMARGUMENT(U133))-360, DEGREES(IMARGUMENT(U133)))</f>
        <v>-1.8181837848744664</v>
      </c>
      <c r="X133" s="227" t="str">
        <f t="shared" si="55"/>
        <v>0.999999766939284-0.000153503318088508i</v>
      </c>
      <c r="Y133" s="227" t="str">
        <f t="shared" si="56"/>
        <v>42.409059375662+4.32026386468747i</v>
      </c>
      <c r="Z133" s="227" t="str">
        <f t="shared" si="57"/>
        <v>23.8465843276146+2.42558287857961i</v>
      </c>
      <c r="AA133" s="227" t="str">
        <f t="shared" si="58"/>
        <v>32.2005465321138-4.17861594765855i</v>
      </c>
      <c r="AB133" s="227">
        <f t="shared" ref="AB133:AB196" si="68">20*LOG(IMABS(AA133))</f>
        <v>30.229790472494919</v>
      </c>
      <c r="AC133" s="227">
        <f t="shared" ref="AC133:AC196" si="69">IF(DEGREES(IMARGUMENT(AA133))&gt;0,DEGREES(IMARGUMENT(AA133))-360, DEGREES(IMARGUMENT(AA133)))</f>
        <v>-7.3938670243540248</v>
      </c>
      <c r="AD133" s="229">
        <f t="shared" ref="AD133:AD196" si="70">20*LOG(IMABS(AH133))</f>
        <v>-2.5732304163842028</v>
      </c>
      <c r="AE133" s="229">
        <f t="shared" ref="AE133:AE196" si="71">180+DEGREES(IMARGUMENT(AH133))</f>
        <v>103.07036789641329</v>
      </c>
      <c r="AF133" s="227">
        <f t="shared" si="59"/>
        <v>27.656560056110717</v>
      </c>
      <c r="AG133" s="227">
        <f t="shared" si="60"/>
        <v>95.676500872059265</v>
      </c>
      <c r="AH133" s="229" t="str">
        <f t="shared" si="61"/>
        <v>0.168162975214382-0.724334092209263i</v>
      </c>
    </row>
    <row r="134" spans="9:34" x14ac:dyDescent="0.2">
      <c r="I134" s="227">
        <v>130</v>
      </c>
      <c r="J134" s="227">
        <f t="shared" si="49"/>
        <v>2.267515928481842</v>
      </c>
      <c r="K134" s="227">
        <f t="shared" si="48"/>
        <v>185.14667986242827</v>
      </c>
      <c r="L134" s="227">
        <f t="shared" si="62"/>
        <v>1163.3108985846918</v>
      </c>
      <c r="M134" s="227">
        <f t="shared" si="50"/>
        <v>8629.0751582860466</v>
      </c>
      <c r="N134" s="227">
        <f>SQRT((ABS(AC134)-171.5+'Small Signal'!C$59)^2)</f>
        <v>93.939933559964174</v>
      </c>
      <c r="O134" s="227">
        <f t="shared" si="63"/>
        <v>95.793120628189158</v>
      </c>
      <c r="P134" s="227">
        <f t="shared" si="64"/>
        <v>27.468793263060306</v>
      </c>
      <c r="Q134" s="227">
        <f t="shared" si="65"/>
        <v>185.14667986242827</v>
      </c>
      <c r="R134" s="227" t="str">
        <f t="shared" si="51"/>
        <v>0.0945666666666667+0.00546756122334805i</v>
      </c>
      <c r="S134" s="227" t="str">
        <f t="shared" si="52"/>
        <v>0.0085-91.4484501544961i</v>
      </c>
      <c r="T134" s="227" t="str">
        <f t="shared" si="53"/>
        <v>22.4530098818315-5.89249010603881i</v>
      </c>
      <c r="U134" s="227" t="str">
        <f t="shared" si="54"/>
        <v>96.0622093724201-3.11879232234126i</v>
      </c>
      <c r="V134" s="227">
        <f t="shared" si="66"/>
        <v>39.655626757722608</v>
      </c>
      <c r="W134" s="227">
        <f t="shared" si="67"/>
        <v>-1.8595334537401216</v>
      </c>
      <c r="X134" s="227" t="str">
        <f t="shared" si="55"/>
        <v>0.999999756236138-0.000156988518137286i</v>
      </c>
      <c r="Y134" s="227" t="str">
        <f t="shared" si="56"/>
        <v>42.4166115398492+4.41839598174128i</v>
      </c>
      <c r="Z134" s="227" t="str">
        <f t="shared" si="57"/>
        <v>23.8508477113919+2.48067783419421i</v>
      </c>
      <c r="AA134" s="227" t="str">
        <f t="shared" si="58"/>
        <v>32.1771485004361-4.2705245343778i</v>
      </c>
      <c r="AB134" s="227">
        <f t="shared" si="68"/>
        <v>30.226783445546236</v>
      </c>
      <c r="AC134" s="227">
        <f t="shared" si="69"/>
        <v>-7.5600664400358237</v>
      </c>
      <c r="AD134" s="229">
        <f t="shared" si="70"/>
        <v>-2.7579901824859299</v>
      </c>
      <c r="AE134" s="229">
        <f t="shared" si="71"/>
        <v>103.35318706822498</v>
      </c>
      <c r="AF134" s="227">
        <f t="shared" si="59"/>
        <v>27.468793263060306</v>
      </c>
      <c r="AG134" s="227">
        <f t="shared" si="60"/>
        <v>95.793120628189158</v>
      </c>
      <c r="AH134" s="229" t="str">
        <f t="shared" si="61"/>
        <v>0.168121847771778-0.708268071628736i</v>
      </c>
    </row>
    <row r="135" spans="9:34" x14ac:dyDescent="0.2">
      <c r="I135" s="227">
        <v>131</v>
      </c>
      <c r="J135" s="227">
        <f t="shared" si="49"/>
        <v>2.2772660510086258</v>
      </c>
      <c r="K135" s="227">
        <f t="shared" si="48"/>
        <v>189.3503233127646</v>
      </c>
      <c r="L135" s="227">
        <f t="shared" si="62"/>
        <v>1189.7231693484669</v>
      </c>
      <c r="M135" s="227">
        <f t="shared" si="50"/>
        <v>8624.7760736521541</v>
      </c>
      <c r="N135" s="227">
        <f>SQRT((ABS(AC135)-171.5+'Small Signal'!C$59)^2)</f>
        <v>93.770075782386613</v>
      </c>
      <c r="O135" s="227">
        <f t="shared" si="63"/>
        <v>95.911870810698431</v>
      </c>
      <c r="P135" s="227">
        <f t="shared" si="64"/>
        <v>27.281335183344314</v>
      </c>
      <c r="Q135" s="227">
        <f t="shared" si="65"/>
        <v>189.3503233127646</v>
      </c>
      <c r="R135" s="227" t="str">
        <f t="shared" si="51"/>
        <v>0.0945666666666667+0.00559169889593779i</v>
      </c>
      <c r="S135" s="227" t="str">
        <f t="shared" si="52"/>
        <v>0.0085-89.4182625540218i</v>
      </c>
      <c r="T135" s="227" t="str">
        <f t="shared" si="53"/>
        <v>22.386742702768-6.00848301939233i</v>
      </c>
      <c r="U135" s="227" t="str">
        <f t="shared" si="54"/>
        <v>96.0639499166154-3.18983558902872i</v>
      </c>
      <c r="V135" s="227">
        <f t="shared" si="66"/>
        <v>39.655994664099794</v>
      </c>
      <c r="W135" s="227">
        <f t="shared" si="67"/>
        <v>-1.9018267476966453</v>
      </c>
      <c r="X135" s="227" t="str">
        <f t="shared" si="55"/>
        <v>0.999999745041458-0.000160552847546467i</v>
      </c>
      <c r="Y135" s="227" t="str">
        <f t="shared" si="56"/>
        <v>42.4245115373066+4.5187591123418i</v>
      </c>
      <c r="Z135" s="227" t="str">
        <f t="shared" si="57"/>
        <v>23.855307453679+2.53702531647735i</v>
      </c>
      <c r="AA135" s="227" t="str">
        <f t="shared" si="58"/>
        <v>32.1527106354203-4.36431781546873i</v>
      </c>
      <c r="AB135" s="227">
        <f t="shared" si="68"/>
        <v>30.223640558653901</v>
      </c>
      <c r="AC135" s="227">
        <f t="shared" si="69"/>
        <v>-7.7299242176133962</v>
      </c>
      <c r="AD135" s="229">
        <f t="shared" si="70"/>
        <v>-2.9423053753095885</v>
      </c>
      <c r="AE135" s="229">
        <f t="shared" si="71"/>
        <v>103.64179502831183</v>
      </c>
      <c r="AF135" s="227">
        <f t="shared" si="59"/>
        <v>27.281335183344314</v>
      </c>
      <c r="AG135" s="227">
        <f t="shared" si="60"/>
        <v>95.911870810698431</v>
      </c>
      <c r="AH135" s="229" t="str">
        <f t="shared" si="61"/>
        <v>0.16808252360472-0.692559045833126i</v>
      </c>
    </row>
    <row r="136" spans="9:34" x14ac:dyDescent="0.2">
      <c r="I136" s="227">
        <v>132</v>
      </c>
      <c r="J136" s="227">
        <f t="shared" si="49"/>
        <v>2.2870161735354086</v>
      </c>
      <c r="K136" s="227">
        <f t="shared" ref="K136:K199" si="72">10^(J136)</f>
        <v>193.64940794665668</v>
      </c>
      <c r="L136" s="227">
        <f t="shared" si="62"/>
        <v>1216.7351147544591</v>
      </c>
      <c r="M136" s="227">
        <f t="shared" si="50"/>
        <v>8620.3793809003255</v>
      </c>
      <c r="N136" s="227">
        <f>SQRT((ABS(AC136)-171.5+'Small Signal'!C$59)^2)</f>
        <v>93.596484422343991</v>
      </c>
      <c r="O136" s="227">
        <f t="shared" si="63"/>
        <v>96.032760493305489</v>
      </c>
      <c r="P136" s="227">
        <f t="shared" si="64"/>
        <v>27.094197917951377</v>
      </c>
      <c r="Q136" s="227">
        <f t="shared" si="65"/>
        <v>193.64940794665668</v>
      </c>
      <c r="R136" s="227" t="str">
        <f t="shared" si="51"/>
        <v>0.0945666666666667+0.00571865503934596i</v>
      </c>
      <c r="S136" s="227" t="str">
        <f t="shared" si="52"/>
        <v>0.0085-87.4331458288461i</v>
      </c>
      <c r="T136" s="227" t="str">
        <f t="shared" si="53"/>
        <v>22.3178496368273-6.12598446422429i</v>
      </c>
      <c r="U136" s="227" t="str">
        <f t="shared" si="54"/>
        <v>96.0657700102961-3.26250810050498i</v>
      </c>
      <c r="V136" s="227">
        <f t="shared" si="66"/>
        <v>39.656379467113148</v>
      </c>
      <c r="W136" s="227">
        <f t="shared" si="67"/>
        <v>-1.9450854266231046</v>
      </c>
      <c r="X136" s="227" t="str">
        <f t="shared" si="55"/>
        <v>0.999999733332671-0.000164198102900347i</v>
      </c>
      <c r="Y136" s="227" t="str">
        <f t="shared" si="56"/>
        <v>42.4327754366112+4.62140411548673i</v>
      </c>
      <c r="Z136" s="227" t="str">
        <f t="shared" si="57"/>
        <v>23.8599726253072+2.59465387528045i</v>
      </c>
      <c r="AA136" s="227" t="str">
        <f t="shared" si="58"/>
        <v>32.1271883616508-4.46002502899524i</v>
      </c>
      <c r="AB136" s="227">
        <f t="shared" si="68"/>
        <v>30.220355779052859</v>
      </c>
      <c r="AC136" s="227">
        <f t="shared" si="69"/>
        <v>-7.9035155776560018</v>
      </c>
      <c r="AD136" s="229">
        <f t="shared" si="70"/>
        <v>-3.126157861101484</v>
      </c>
      <c r="AE136" s="229">
        <f t="shared" si="71"/>
        <v>103.93627607096148</v>
      </c>
      <c r="AF136" s="227">
        <f t="shared" si="59"/>
        <v>27.094197917951377</v>
      </c>
      <c r="AG136" s="227">
        <f t="shared" si="60"/>
        <v>96.032760493305489</v>
      </c>
      <c r="AH136" s="229" t="str">
        <f t="shared" si="61"/>
        <v>0.168044923419285-0.677199097055133i</v>
      </c>
    </row>
    <row r="137" spans="9:34" x14ac:dyDescent="0.2">
      <c r="I137" s="227">
        <v>133</v>
      </c>
      <c r="J137" s="227">
        <f t="shared" si="49"/>
        <v>2.2967662960621924</v>
      </c>
      <c r="K137" s="227">
        <f t="shared" si="72"/>
        <v>198.04610069848653</v>
      </c>
      <c r="L137" s="227">
        <f t="shared" si="62"/>
        <v>1244.3603500529393</v>
      </c>
      <c r="M137" s="227">
        <f t="shared" si="50"/>
        <v>8615.8828638972427</v>
      </c>
      <c r="N137" s="227">
        <f>SQRT((ABS(AC137)-171.5+'Small Signal'!C$59)^2)</f>
        <v>93.419083076912017</v>
      </c>
      <c r="O137" s="227">
        <f t="shared" si="63"/>
        <v>96.155796757411039</v>
      </c>
      <c r="P137" s="227">
        <f t="shared" si="64"/>
        <v>26.907393946615539</v>
      </c>
      <c r="Q137" s="227">
        <f t="shared" si="65"/>
        <v>198.04610069848653</v>
      </c>
      <c r="R137" s="227" t="str">
        <f t="shared" si="51"/>
        <v>0.0945666666666667+0.00584849364524882i</v>
      </c>
      <c r="S137" s="227" t="str">
        <f t="shared" si="52"/>
        <v>0.0085-85.4920993897617i</v>
      </c>
      <c r="T137" s="227" t="str">
        <f t="shared" si="53"/>
        <v>22.2462451022576-6.24496274332326i</v>
      </c>
      <c r="U137" s="227" t="str">
        <f t="shared" si="54"/>
        <v>96.0676732705053-3.3368479822142i</v>
      </c>
      <c r="V137" s="227">
        <f t="shared" si="66"/>
        <v>39.65678194280089</v>
      </c>
      <c r="W137" s="227">
        <f t="shared" si="67"/>
        <v>-1.9893317678868931</v>
      </c>
      <c r="X137" s="227" t="str">
        <f t="shared" si="55"/>
        <v>0.999999721086165-0.000167926121573582i</v>
      </c>
      <c r="Y137" s="227" t="str">
        <f t="shared" si="56"/>
        <v>42.4414200531789+4.72638301887491i</v>
      </c>
      <c r="Z137" s="227" t="str">
        <f t="shared" si="57"/>
        <v>23.8648527186861+2.65359271628503i</v>
      </c>
      <c r="AA137" s="227" t="str">
        <f t="shared" si="58"/>
        <v>32.1005353436073-4.5576751929474i</v>
      </c>
      <c r="AB137" s="227">
        <f t="shared" si="68"/>
        <v>30.21692281582796</v>
      </c>
      <c r="AC137" s="227">
        <f t="shared" si="69"/>
        <v>-8.080916923087992</v>
      </c>
      <c r="AD137" s="229">
        <f t="shared" si="70"/>
        <v>-3.3095288692124218</v>
      </c>
      <c r="AE137" s="229">
        <f t="shared" si="71"/>
        <v>104.23671368049904</v>
      </c>
      <c r="AF137" s="227">
        <f t="shared" si="59"/>
        <v>26.907393946615539</v>
      </c>
      <c r="AG137" s="227">
        <f t="shared" si="60"/>
        <v>96.155796757411039</v>
      </c>
      <c r="AH137" s="229" t="str">
        <f t="shared" si="61"/>
        <v>0.168008971397776-0.662180483458776i</v>
      </c>
    </row>
    <row r="138" spans="9:34" x14ac:dyDescent="0.2">
      <c r="I138" s="227">
        <v>134</v>
      </c>
      <c r="J138" s="227">
        <f t="shared" si="49"/>
        <v>2.3065164185889757</v>
      </c>
      <c r="K138" s="227">
        <f t="shared" si="72"/>
        <v>202.5426177015697</v>
      </c>
      <c r="L138" s="227">
        <f t="shared" si="62"/>
        <v>1272.6127996201947</v>
      </c>
      <c r="M138" s="227">
        <f t="shared" si="50"/>
        <v>8611.2842561936213</v>
      </c>
      <c r="N138" s="227">
        <f>SQRT((ABS(AC138)-171.5+'Small Signal'!C$59)^2)</f>
        <v>93.237794168185104</v>
      </c>
      <c r="O138" s="227">
        <f t="shared" si="63"/>
        <v>96.280984531692965</v>
      </c>
      <c r="P138" s="227">
        <f t="shared" si="64"/>
        <v>26.72093613100747</v>
      </c>
      <c r="Q138" s="227">
        <f t="shared" si="65"/>
        <v>202.5426177015697</v>
      </c>
      <c r="R138" s="227" t="str">
        <f t="shared" si="51"/>
        <v>0.0945666666666667+0.00598128015821491i</v>
      </c>
      <c r="S138" s="227" t="str">
        <f t="shared" si="52"/>
        <v>0.0085-83.5941448609931i</v>
      </c>
      <c r="T138" s="227" t="str">
        <f t="shared" si="53"/>
        <v>22.1718423302539-6.36538213855448i</v>
      </c>
      <c r="U138" s="227" t="str">
        <f t="shared" si="54"/>
        <v>96.0696634769726-3.4128943045188i</v>
      </c>
      <c r="V138" s="227">
        <f t="shared" si="66"/>
        <v>39.65720290284667</v>
      </c>
      <c r="W138" s="227">
        <f t="shared" si="67"/>
        <v>-2.0345885797348684</v>
      </c>
      <c r="X138" s="227" t="str">
        <f t="shared" si="55"/>
        <v>0.999999708277248-0.000171738782657311i</v>
      </c>
      <c r="Y138" s="227" t="str">
        <f t="shared" si="56"/>
        <v>42.4504629844025+4.83374904637755i</v>
      </c>
      <c r="Z138" s="227" t="str">
        <f t="shared" si="57"/>
        <v>23.8699576676372+2.71387171640285i</v>
      </c>
      <c r="AA138" s="227" t="str">
        <f t="shared" si="58"/>
        <v>32.0727034301755-4.65729704552716i</v>
      </c>
      <c r="AB138" s="227">
        <f t="shared" si="68"/>
        <v>30.213335109763676</v>
      </c>
      <c r="AC138" s="227">
        <f t="shared" si="69"/>
        <v>-8.2622058318148834</v>
      </c>
      <c r="AD138" s="229">
        <f t="shared" si="70"/>
        <v>-3.492398978756206</v>
      </c>
      <c r="AE138" s="229">
        <f t="shared" si="71"/>
        <v>104.54319036350785</v>
      </c>
      <c r="AF138" s="227">
        <f t="shared" si="59"/>
        <v>26.72093613100747</v>
      </c>
      <c r="AG138" s="227">
        <f t="shared" si="60"/>
        <v>96.280984531692965</v>
      </c>
      <c r="AH138" s="229" t="str">
        <f t="shared" si="61"/>
        <v>0.167974595045862-0.647495635238429i</v>
      </c>
    </row>
    <row r="139" spans="9:34" x14ac:dyDescent="0.2">
      <c r="I139" s="227">
        <v>135</v>
      </c>
      <c r="J139" s="227">
        <f t="shared" si="49"/>
        <v>2.316266541115759</v>
      </c>
      <c r="K139" s="227">
        <f t="shared" si="72"/>
        <v>207.14122540519048</v>
      </c>
      <c r="L139" s="227">
        <f t="shared" si="62"/>
        <v>1301.5067039770677</v>
      </c>
      <c r="M139" s="227">
        <f t="shared" si="50"/>
        <v>8606.581239881818</v>
      </c>
      <c r="N139" s="227">
        <f>SQRT((ABS(AC139)-171.5+'Small Signal'!C$59)^2)</f>
        <v>93.052538952930092</v>
      </c>
      <c r="O139" s="227">
        <f t="shared" si="63"/>
        <v>96.408326424267344</v>
      </c>
      <c r="P139" s="227">
        <f t="shared" si="64"/>
        <v>26.534837717046269</v>
      </c>
      <c r="Q139" s="227">
        <f t="shared" si="65"/>
        <v>207.14122540519048</v>
      </c>
      <c r="R139" s="227" t="str">
        <f t="shared" si="51"/>
        <v>0.0945666666666667+0.00611708150869222i</v>
      </c>
      <c r="S139" s="227" t="str">
        <f t="shared" si="52"/>
        <v>0.0085-81.738325587049i</v>
      </c>
      <c r="T139" s="227" t="str">
        <f t="shared" si="53"/>
        <v>22.0945535001328-6.48720271549035i</v>
      </c>
      <c r="U139" s="227" t="str">
        <f t="shared" si="54"/>
        <v>96.0717445792586-3.49068710971002i</v>
      </c>
      <c r="V139" s="227">
        <f t="shared" si="66"/>
        <v>39.657643196216959</v>
      </c>
      <c r="W139" s="227">
        <f t="shared" si="67"/>
        <v>-2.0808792151040914</v>
      </c>
      <c r="X139" s="227" t="str">
        <f t="shared" si="55"/>
        <v>0.999999694880091-0.000175638007906301i</v>
      </c>
      <c r="Y139" s="227" t="str">
        <f t="shared" si="56"/>
        <v>42.4599226464795+4.94355664619288i</v>
      </c>
      <c r="Z139" s="227" t="str">
        <f t="shared" si="57"/>
        <v>23.8752978681807+2.77552143955816i</v>
      </c>
      <c r="AA139" s="227" t="str">
        <f t="shared" si="58"/>
        <v>32.0436425987669-4.75891898103198i</v>
      </c>
      <c r="AB139" s="227">
        <f t="shared" si="68"/>
        <v>30.209585822878072</v>
      </c>
      <c r="AC139" s="227">
        <f t="shared" si="69"/>
        <v>-8.447461047069897</v>
      </c>
      <c r="AD139" s="229">
        <f t="shared" si="70"/>
        <v>-3.6747481058318021</v>
      </c>
      <c r="AE139" s="229">
        <f t="shared" si="71"/>
        <v>104.85578747133724</v>
      </c>
      <c r="AF139" s="227">
        <f t="shared" si="59"/>
        <v>26.534837717046269</v>
      </c>
      <c r="AG139" s="227">
        <f t="shared" si="60"/>
        <v>96.408326424267344</v>
      </c>
      <c r="AH139" s="229" t="str">
        <f t="shared" si="61"/>
        <v>0.167941725046393-0.633137150804453i</v>
      </c>
    </row>
    <row r="140" spans="9:34" x14ac:dyDescent="0.2">
      <c r="I140" s="227">
        <v>136</v>
      </c>
      <c r="J140" s="227">
        <f t="shared" si="49"/>
        <v>2.3260166636425423</v>
      </c>
      <c r="K140" s="227">
        <f t="shared" si="72"/>
        <v>211.84424171699328</v>
      </c>
      <c r="L140" s="227">
        <f t="shared" si="62"/>
        <v>1331.0566269668129</v>
      </c>
      <c r="M140" s="227">
        <f t="shared" si="50"/>
        <v>8601.771444427497</v>
      </c>
      <c r="N140" s="227">
        <f>SQRT((ABS(AC140)-171.5+'Small Signal'!C$59)^2)</f>
        <v>92.863237534686988</v>
      </c>
      <c r="O140" s="227">
        <f t="shared" si="63"/>
        <v>96.53782254736447</v>
      </c>
      <c r="P140" s="227">
        <f t="shared" si="64"/>
        <v>26.349112336233787</v>
      </c>
      <c r="Q140" s="227">
        <f t="shared" si="65"/>
        <v>211.84424171699328</v>
      </c>
      <c r="R140" s="227" t="str">
        <f t="shared" si="51"/>
        <v>0.0945666666666667+0.00625596614674402i</v>
      </c>
      <c r="S140" s="227" t="str">
        <f t="shared" si="52"/>
        <v>0.0085-79.9237061505251i</v>
      </c>
      <c r="T140" s="227" t="str">
        <f t="shared" si="53"/>
        <v>22.0142898905686-6.61038012730151i</v>
      </c>
      <c r="U140" s="227" t="str">
        <f t="shared" si="54"/>
        <v>96.0739207042009-3.5702674400228i</v>
      </c>
      <c r="V140" s="227">
        <f t="shared" si="66"/>
        <v>39.65810371087403</v>
      </c>
      <c r="W140" s="227">
        <f t="shared" si="67"/>
        <v>-2.128227585869729</v>
      </c>
      <c r="X140" s="227" t="str">
        <f t="shared" si="55"/>
        <v>0.999999680867678-0.000179625762707597i</v>
      </c>
      <c r="Y140" s="227" t="str">
        <f t="shared" si="56"/>
        <v>42.4698183130206+5.05586151970523i</v>
      </c>
      <c r="Z140" s="227" t="str">
        <f t="shared" si="57"/>
        <v>23.8808842003269+2.83857315286366i</v>
      </c>
      <c r="AA140" s="227" t="str">
        <f t="shared" si="58"/>
        <v>32.0133008992028-4.86256898110766i</v>
      </c>
      <c r="AB140" s="227">
        <f t="shared" si="68"/>
        <v>30.205667827639346</v>
      </c>
      <c r="AC140" s="227">
        <f t="shared" si="69"/>
        <v>-8.6367624653130122</v>
      </c>
      <c r="AD140" s="229">
        <f t="shared" si="70"/>
        <v>-3.85655549140556</v>
      </c>
      <c r="AE140" s="229">
        <f t="shared" si="71"/>
        <v>105.17458501267748</v>
      </c>
      <c r="AF140" s="227">
        <f t="shared" si="59"/>
        <v>26.349112336233787</v>
      </c>
      <c r="AG140" s="227">
        <f t="shared" si="60"/>
        <v>96.53782254736447</v>
      </c>
      <c r="AH140" s="229" t="str">
        <f t="shared" si="61"/>
        <v>0.167910295119634-0.619097793053573i</v>
      </c>
    </row>
    <row r="141" spans="9:34" x14ac:dyDescent="0.2">
      <c r="I141" s="227">
        <v>137</v>
      </c>
      <c r="J141" s="227">
        <f t="shared" si="49"/>
        <v>2.3357667861693256</v>
      </c>
      <c r="K141" s="227">
        <f t="shared" si="72"/>
        <v>216.65403717131503</v>
      </c>
      <c r="L141" s="227">
        <f t="shared" si="62"/>
        <v>1361.2774630959466</v>
      </c>
      <c r="M141" s="227">
        <f t="shared" si="50"/>
        <v>8596.8524454747694</v>
      </c>
      <c r="N141" s="227">
        <f>SQRT((ABS(AC141)-171.5+'Small Signal'!C$59)^2)</f>
        <v>92.669808878496326</v>
      </c>
      <c r="O141" s="227">
        <f t="shared" si="63"/>
        <v>96.66947033450559</v>
      </c>
      <c r="P141" s="227">
        <f t="shared" si="64"/>
        <v>26.163774005905264</v>
      </c>
      <c r="Q141" s="227">
        <f t="shared" si="65"/>
        <v>216.65403717131503</v>
      </c>
      <c r="R141" s="227" t="str">
        <f t="shared" si="51"/>
        <v>0.0945666666666667+0.00639800407655095i</v>
      </c>
      <c r="S141" s="227" t="str">
        <f t="shared" si="52"/>
        <v>0.0085-78.1493719006101i</v>
      </c>
      <c r="T141" s="227" t="str">
        <f t="shared" si="53"/>
        <v>21.9309620477128-6.73486541890434i</v>
      </c>
      <c r="U141" s="227" t="str">
        <f t="shared" si="54"/>
        <v>96.0761961636639-3.65167736670499i</v>
      </c>
      <c r="V141" s="227">
        <f t="shared" si="66"/>
        <v>39.65858537556732</v>
      </c>
      <c r="W141" s="227">
        <f t="shared" si="67"/>
        <v>-2.176658177548688</v>
      </c>
      <c r="X141" s="227" t="str">
        <f t="shared" si="55"/>
        <v>0.999999666211756-0.000183704057071171i</v>
      </c>
      <c r="Y141" s="227" t="str">
        <f t="shared" si="56"/>
        <v>42.4801701555251+5.17072065106715i</v>
      </c>
      <c r="Z141" s="227" t="str">
        <f t="shared" si="57"/>
        <v>23.8867280509222+2.90305884320052i</v>
      </c>
      <c r="AA141" s="227" t="str">
        <f t="shared" si="58"/>
        <v>31.9816243975339-4.9682745411342i</v>
      </c>
      <c r="AB141" s="227">
        <f t="shared" si="68"/>
        <v>30.201573695863662</v>
      </c>
      <c r="AC141" s="227">
        <f t="shared" si="69"/>
        <v>-8.8301911215036615</v>
      </c>
      <c r="AD141" s="229">
        <f t="shared" si="70"/>
        <v>-4.0377996899583977</v>
      </c>
      <c r="AE141" s="229">
        <f t="shared" si="71"/>
        <v>105.49966145600925</v>
      </c>
      <c r="AF141" s="227">
        <f t="shared" si="59"/>
        <v>26.163774005905264</v>
      </c>
      <c r="AG141" s="227">
        <f t="shared" si="60"/>
        <v>96.66947033450559</v>
      </c>
      <c r="AH141" s="229" t="str">
        <f t="shared" si="61"/>
        <v>0.16788024188962-0.605370485722069i</v>
      </c>
    </row>
    <row r="142" spans="9:34" x14ac:dyDescent="0.2">
      <c r="I142" s="227">
        <v>138</v>
      </c>
      <c r="J142" s="227">
        <f t="shared" si="49"/>
        <v>2.3455169086961094</v>
      </c>
      <c r="K142" s="227">
        <f t="shared" si="72"/>
        <v>221.57303612404195</v>
      </c>
      <c r="L142" s="227">
        <f t="shared" si="62"/>
        <v>1392.184445041752</v>
      </c>
      <c r="M142" s="227">
        <f t="shared" si="50"/>
        <v>8591.8217636242171</v>
      </c>
      <c r="N142" s="227">
        <f>SQRT((ABS(AC142)-171.5+'Small Signal'!C$59)^2)</f>
        <v>92.472170828437356</v>
      </c>
      <c r="O142" s="227">
        <f t="shared" si="63"/>
        <v>96.80326435020342</v>
      </c>
      <c r="P142" s="227">
        <f t="shared" si="64"/>
        <v>25.978837128287168</v>
      </c>
      <c r="Q142" s="227">
        <f t="shared" si="65"/>
        <v>221.57303612404195</v>
      </c>
      <c r="R142" s="227" t="str">
        <f t="shared" si="51"/>
        <v>0.0945666666666667+0.00654326689169623i</v>
      </c>
      <c r="S142" s="227" t="str">
        <f t="shared" si="52"/>
        <v>0.0085-76.414428492062i</v>
      </c>
      <c r="T142" s="227" t="str">
        <f t="shared" si="53"/>
        <v>21.844479970984-6.86060483247388i</v>
      </c>
      <c r="U142" s="227" t="str">
        <f t="shared" si="54"/>
        <v>96.0785754626099-3.73496002019502i</v>
      </c>
      <c r="V142" s="227">
        <f t="shared" si="66"/>
        <v>39.659089161707286</v>
      </c>
      <c r="W142" s="227">
        <f t="shared" si="67"/>
        <v>-2.2261960644788736</v>
      </c>
      <c r="X142" s="227" t="str">
        <f t="shared" si="55"/>
        <v>0.999999650882771-0.000187874946643057i</v>
      </c>
      <c r="Y142" s="227" t="str">
        <f t="shared" si="56"/>
        <v>42.4909992858167+5.2881923375254i</v>
      </c>
      <c r="Z142" s="227" t="str">
        <f t="shared" si="57"/>
        <v>23.8928413375998+2.96901123421392i</v>
      </c>
      <c r="AA142" s="227" t="str">
        <f t="shared" si="58"/>
        <v>31.9485571199948-5.07606259150661i</v>
      </c>
      <c r="AB142" s="227">
        <f t="shared" si="68"/>
        <v>30.19729568729565</v>
      </c>
      <c r="AC142" s="227">
        <f t="shared" si="69"/>
        <v>-9.0278291715626562</v>
      </c>
      <c r="AD142" s="229">
        <f t="shared" si="70"/>
        <v>-4.218458559008484</v>
      </c>
      <c r="AE142" s="229">
        <f t="shared" si="71"/>
        <v>105.83109352176608</v>
      </c>
      <c r="AF142" s="227">
        <f t="shared" si="59"/>
        <v>25.978837128287168</v>
      </c>
      <c r="AG142" s="227">
        <f t="shared" si="60"/>
        <v>96.80326435020342</v>
      </c>
      <c r="AH142" s="229" t="str">
        <f t="shared" si="61"/>
        <v>0.167851504756368-0.591948309819979i</v>
      </c>
    </row>
    <row r="143" spans="9:34" x14ac:dyDescent="0.2">
      <c r="I143" s="227">
        <v>139</v>
      </c>
      <c r="J143" s="227">
        <f t="shared" si="49"/>
        <v>2.3552670312228927</v>
      </c>
      <c r="K143" s="227">
        <f t="shared" si="72"/>
        <v>226.60371797459419</v>
      </c>
      <c r="L143" s="227">
        <f t="shared" si="62"/>
        <v>1423.7931513302369</v>
      </c>
      <c r="M143" s="227">
        <f t="shared" si="50"/>
        <v>8586.6768631831528</v>
      </c>
      <c r="N143" s="227">
        <f>SQRT((ABS(AC143)-171.5+'Small Signal'!C$59)^2)</f>
        <v>92.270240128173441</v>
      </c>
      <c r="O143" s="227">
        <f t="shared" si="63"/>
        <v>96.939196092259976</v>
      </c>
      <c r="P143" s="227">
        <f t="shared" si="64"/>
        <v>25.794316488243652</v>
      </c>
      <c r="Q143" s="227">
        <f t="shared" si="65"/>
        <v>226.60371797459419</v>
      </c>
      <c r="R143" s="227" t="str">
        <f t="shared" si="51"/>
        <v>0.0945666666666667+0.00669182781125211i</v>
      </c>
      <c r="S143" s="227" t="str">
        <f t="shared" si="52"/>
        <v>0.0085-74.7180014344161i</v>
      </c>
      <c r="T143" s="227" t="str">
        <f t="shared" si="53"/>
        <v>21.7547533172811-6.98753961555321i</v>
      </c>
      <c r="U143" s="227" t="str">
        <f t="shared" si="54"/>
        <v>96.0810633074948-3.82015962146438i</v>
      </c>
      <c r="V143" s="227">
        <f t="shared" si="66"/>
        <v>39.659616085324942</v>
      </c>
      <c r="W143" s="227">
        <f t="shared" si="67"/>
        <v>-2.2768669254947427</v>
      </c>
      <c r="X143" s="227" t="str">
        <f t="shared" si="55"/>
        <v>0.999999634849813-0.000192140533741487i</v>
      </c>
      <c r="Y143" s="227" t="str">
        <f t="shared" si="56"/>
        <v>42.5023278005446+5.40833622051226i</v>
      </c>
      <c r="Z143" s="227" t="str">
        <f t="shared" si="57"/>
        <v>23.8992365338977+3.03646380373619i</v>
      </c>
      <c r="AA143" s="227" t="str">
        <f t="shared" si="58"/>
        <v>31.9140409973029-5.18595941356459i</v>
      </c>
      <c r="AB143" s="227">
        <f t="shared" si="68"/>
        <v>30.192825737871154</v>
      </c>
      <c r="AC143" s="227">
        <f t="shared" si="69"/>
        <v>-9.2297598718265483</v>
      </c>
      <c r="AD143" s="229">
        <f t="shared" si="70"/>
        <v>-4.3985092496275033</v>
      </c>
      <c r="AE143" s="229">
        <f t="shared" si="71"/>
        <v>106.16895596408652</v>
      </c>
      <c r="AF143" s="227">
        <f t="shared" si="59"/>
        <v>25.794316488243652</v>
      </c>
      <c r="AG143" s="227">
        <f t="shared" si="60"/>
        <v>96.939196092259976</v>
      </c>
      <c r="AH143" s="229" t="str">
        <f t="shared" si="61"/>
        <v>0.167824025773682-0.578824500144513i</v>
      </c>
    </row>
    <row r="144" spans="9:34" x14ac:dyDescent="0.2">
      <c r="I144" s="227">
        <v>140</v>
      </c>
      <c r="J144" s="227">
        <f t="shared" si="49"/>
        <v>2.365017153749676</v>
      </c>
      <c r="K144" s="227">
        <f t="shared" si="72"/>
        <v>231.74861841565829</v>
      </c>
      <c r="L144" s="227">
        <f t="shared" si="62"/>
        <v>1456.1195141884325</v>
      </c>
      <c r="M144" s="227">
        <f t="shared" si="50"/>
        <v>8581.415150887522</v>
      </c>
      <c r="N144" s="227">
        <f>SQRT((ABS(AC144)-171.5+'Small Signal'!C$59)^2)</f>
        <v>92.063932444708257</v>
      </c>
      <c r="O144" s="227">
        <f t="shared" si="63"/>
        <v>97.077253786783928</v>
      </c>
      <c r="P144" s="227">
        <f t="shared" si="64"/>
        <v>25.610227249592175</v>
      </c>
      <c r="Q144" s="227">
        <f t="shared" si="65"/>
        <v>231.74861841565829</v>
      </c>
      <c r="R144" s="227" t="str">
        <f t="shared" si="51"/>
        <v>0.0945666666666667+0.00684376171668563i</v>
      </c>
      <c r="S144" s="227" t="str">
        <f t="shared" si="52"/>
        <v>0.0085-73.0592356512003i</v>
      </c>
      <c r="T144" s="227" t="str">
        <f t="shared" si="53"/>
        <v>21.661691624316-7.1156058331121i</v>
      </c>
      <c r="U144" s="227" t="str">
        <f t="shared" si="54"/>
        <v>96.0836646150175-3.90732151458679i</v>
      </c>
      <c r="V144" s="227">
        <f t="shared" si="66"/>
        <v>39.660167209122584</v>
      </c>
      <c r="W144" s="227">
        <f t="shared" si="67"/>
        <v>-2.3286970601215651</v>
      </c>
      <c r="X144" s="227" t="str">
        <f t="shared" si="55"/>
        <v>0.999999618080554-0.00019650296841656i</v>
      </c>
      <c r="Y144" s="227" t="str">
        <f t="shared" si="56"/>
        <v>42.5141788278523+5.53121331752411i</v>
      </c>
      <c r="Z144" s="227" t="str">
        <f t="shared" si="57"/>
        <v>23.9059266955982+3.10545080164957i</v>
      </c>
      <c r="AA144" s="227" t="str">
        <f t="shared" si="58"/>
        <v>31.8780158095522-5.29799054992628i</v>
      </c>
      <c r="AB144" s="227">
        <f t="shared" si="68"/>
        <v>30.188155447667391</v>
      </c>
      <c r="AC144" s="227">
        <f t="shared" si="69"/>
        <v>-9.436067555291741</v>
      </c>
      <c r="AD144" s="229">
        <f t="shared" si="70"/>
        <v>-4.5779281980752167</v>
      </c>
      <c r="AE144" s="229">
        <f t="shared" si="71"/>
        <v>106.51332134207567</v>
      </c>
      <c r="AF144" s="227">
        <f t="shared" si="59"/>
        <v>25.610227249592175</v>
      </c>
      <c r="AG144" s="227">
        <f t="shared" si="60"/>
        <v>97.077253786783928</v>
      </c>
      <c r="AH144" s="229" t="str">
        <f t="shared" si="61"/>
        <v>0.167797749532313-0.56599244187092i</v>
      </c>
    </row>
    <row r="145" spans="9:34" x14ac:dyDescent="0.2">
      <c r="I145" s="227">
        <v>141</v>
      </c>
      <c r="J145" s="227">
        <f t="shared" si="49"/>
        <v>2.3747672762764593</v>
      </c>
      <c r="K145" s="227">
        <f t="shared" si="72"/>
        <v>237.01033071128947</v>
      </c>
      <c r="L145" s="227">
        <f t="shared" si="62"/>
        <v>1489.1798275749486</v>
      </c>
      <c r="M145" s="227">
        <f t="shared" si="50"/>
        <v>8576.0339745947749</v>
      </c>
      <c r="N145" s="227">
        <f>SQRT((ABS(AC145)-171.5+'Small Signal'!C$59)^2)</f>
        <v>91.853162395567779</v>
      </c>
      <c r="O145" s="227">
        <f t="shared" si="63"/>
        <v>97.217422176111313</v>
      </c>
      <c r="P145" s="227">
        <f t="shared" si="64"/>
        <v>25.426584949858235</v>
      </c>
      <c r="Q145" s="227">
        <f t="shared" si="65"/>
        <v>237.01033071128947</v>
      </c>
      <c r="R145" s="227" t="str">
        <f t="shared" si="51"/>
        <v>0.0945666666666667+0.00699914518960226i</v>
      </c>
      <c r="S145" s="227" t="str">
        <f t="shared" si="52"/>
        <v>0.0085-71.4372950489421i</v>
      </c>
      <c r="T145" s="227" t="str">
        <f t="shared" si="53"/>
        <v>21.5652045536967-7.24473418503395i</v>
      </c>
      <c r="U145" s="227" t="str">
        <f t="shared" si="54"/>
        <v>96.0863845212054-3.99649220059603i</v>
      </c>
      <c r="V145" s="227">
        <f t="shared" si="66"/>
        <v>39.660743644617277</v>
      </c>
      <c r="W145" s="227">
        <f t="shared" si="67"/>
        <v>-2.3817134053109736</v>
      </c>
      <c r="X145" s="227" t="str">
        <f t="shared" si="55"/>
        <v>0.999999600541178-0.000200964449533962i</v>
      </c>
      <c r="Y145" s="227" t="str">
        <f t="shared" si="56"/>
        <v>42.5265765763227+5.65688605480875i</v>
      </c>
      <c r="Z145" s="227" t="str">
        <f t="shared" si="57"/>
        <v>23.9129254883534+3.17600726820048i</v>
      </c>
      <c r="AA145" s="227" t="str">
        <f t="shared" si="58"/>
        <v>31.8404191319589-5.41218070897381i</v>
      </c>
      <c r="AB145" s="227">
        <f t="shared" si="68"/>
        <v>30.183276068542174</v>
      </c>
      <c r="AC145" s="227">
        <f t="shared" si="69"/>
        <v>-9.6468376044322142</v>
      </c>
      <c r="AD145" s="229">
        <f t="shared" si="70"/>
        <v>-4.7566911186839382</v>
      </c>
      <c r="AE145" s="229">
        <f t="shared" si="71"/>
        <v>106.86425978054352</v>
      </c>
      <c r="AF145" s="227">
        <f t="shared" si="59"/>
        <v>25.426584949858235</v>
      </c>
      <c r="AG145" s="227">
        <f t="shared" si="60"/>
        <v>97.217422176111313</v>
      </c>
      <c r="AH145" s="229" t="str">
        <f t="shared" si="61"/>
        <v>0.16777262304823-0.553445667219097i</v>
      </c>
    </row>
    <row r="146" spans="9:34" x14ac:dyDescent="0.2">
      <c r="I146" s="227">
        <v>142</v>
      </c>
      <c r="J146" s="227">
        <f t="shared" si="49"/>
        <v>2.3845173988032426</v>
      </c>
      <c r="K146" s="227">
        <f t="shared" si="72"/>
        <v>242.39150700403647</v>
      </c>
      <c r="L146" s="227">
        <f t="shared" si="62"/>
        <v>1522.9907553928797</v>
      </c>
      <c r="M146" s="227">
        <f t="shared" si="50"/>
        <v>8570.5306219470694</v>
      </c>
      <c r="N146" s="227">
        <f>SQRT((ABS(AC146)-171.5+'Small Signal'!C$59)^2)</f>
        <v>91.637843579630328</v>
      </c>
      <c r="O146" s="227">
        <f t="shared" si="63"/>
        <v>97.359682299872503</v>
      </c>
      <c r="P146" s="227">
        <f t="shared" si="64"/>
        <v>25.243405493339203</v>
      </c>
      <c r="Q146" s="227">
        <f t="shared" si="65"/>
        <v>242.39150700403647</v>
      </c>
      <c r="R146" s="227" t="str">
        <f t="shared" si="51"/>
        <v>0.0945666666666667+0.00715805655034653i</v>
      </c>
      <c r="S146" s="227" t="str">
        <f t="shared" si="52"/>
        <v>0.0085-69.8513620957344i</v>
      </c>
      <c r="T146" s="227" t="str">
        <f t="shared" si="53"/>
        <v>21.465202154308-7.37484983064006i</v>
      </c>
      <c r="U146" s="227" t="str">
        <f t="shared" si="54"/>
        <v>96.0892283908734-4.08771937270329i</v>
      </c>
      <c r="V146" s="227">
        <f t="shared" si="66"/>
        <v>39.661346554383684</v>
      </c>
      <c r="W146" s="227">
        <f t="shared" si="67"/>
        <v>-2.4359435527433173</v>
      </c>
      <c r="X146" s="227" t="str">
        <f t="shared" si="55"/>
        <v>0.999999582196319-0.000205527225883295i</v>
      </c>
      <c r="Y146" s="227" t="str">
        <f t="shared" si="56"/>
        <v>42.5395463863227+5.7854183008861i</v>
      </c>
      <c r="Z146" s="227" t="str">
        <f t="shared" si="57"/>
        <v>23.9202472166637+3.24816905277902i</v>
      </c>
      <c r="AA146" s="227" t="str">
        <f t="shared" si="58"/>
        <v>31.8011862817611-5.52855366324274i</v>
      </c>
      <c r="AB146" s="227">
        <f t="shared" si="68"/>
        <v>30.178178491469964</v>
      </c>
      <c r="AC146" s="227">
        <f t="shared" si="69"/>
        <v>-9.8621564203696686</v>
      </c>
      <c r="AD146" s="229">
        <f t="shared" si="70"/>
        <v>-4.9347729981307591</v>
      </c>
      <c r="AE146" s="229">
        <f t="shared" si="71"/>
        <v>107.22183872024218</v>
      </c>
      <c r="AF146" s="227">
        <f t="shared" si="59"/>
        <v>25.243405493339203</v>
      </c>
      <c r="AG146" s="227">
        <f t="shared" si="60"/>
        <v>97.359682299872503</v>
      </c>
      <c r="AH146" s="229" t="str">
        <f t="shared" si="61"/>
        <v>0.167748595655792-0.541177852194282i</v>
      </c>
    </row>
    <row r="147" spans="9:34" x14ac:dyDescent="0.2">
      <c r="I147" s="227">
        <v>143</v>
      </c>
      <c r="J147" s="227">
        <f t="shared" si="49"/>
        <v>2.3942675213300264</v>
      </c>
      <c r="K147" s="227">
        <f t="shared" si="72"/>
        <v>247.8948596517416</v>
      </c>
      <c r="L147" s="227">
        <f t="shared" si="62"/>
        <v>1557.5693398891685</v>
      </c>
      <c r="M147" s="227">
        <f t="shared" si="50"/>
        <v>8564.9023190041207</v>
      </c>
      <c r="N147" s="227">
        <f>SQRT((ABS(AC147)-171.5+'Small Signal'!C$59)^2)</f>
        <v>91.417888611836872</v>
      </c>
      <c r="O147" s="227">
        <f t="shared" si="63"/>
        <v>97.504011269520646</v>
      </c>
      <c r="P147" s="227">
        <f t="shared" si="64"/>
        <v>25.060705142338087</v>
      </c>
      <c r="Q147" s="227">
        <f t="shared" si="65"/>
        <v>247.8948596517416</v>
      </c>
      <c r="R147" s="227" t="str">
        <f t="shared" si="51"/>
        <v>0.0945666666666667+0.00732057589747909i</v>
      </c>
      <c r="S147" s="227" t="str">
        <f t="shared" si="52"/>
        <v>0.0085-68.300637409166i</v>
      </c>
      <c r="T147" s="227" t="str">
        <f t="shared" si="53"/>
        <v>21.3615951464408-7.50587222198494i</v>
      </c>
      <c r="U147" s="227" t="str">
        <f t="shared" si="54"/>
        <v>96.0922018274583-4.18105195294558i</v>
      </c>
      <c r="V147" s="227">
        <f t="shared" si="66"/>
        <v>39.661977154400041</v>
      </c>
      <c r="W147" s="227">
        <f t="shared" si="67"/>
        <v>-2.4914157667223829</v>
      </c>
      <c r="X147" s="227" t="str">
        <f t="shared" si="55"/>
        <v>0.999999563008985-0.000210193597311571i</v>
      </c>
      <c r="Y147" s="227" t="str">
        <f t="shared" si="56"/>
        <v>42.5531147838692+5.91687540092565i</v>
      </c>
      <c r="Z147" s="227" t="str">
        <f t="shared" si="57"/>
        <v>23.9279068542793+3.32197283317664i</v>
      </c>
      <c r="AA147" s="227" t="str">
        <f t="shared" si="58"/>
        <v>31.7602502665909-5.64713214146476i</v>
      </c>
      <c r="AB147" s="227">
        <f t="shared" si="68"/>
        <v>30.172853233581115</v>
      </c>
      <c r="AC147" s="227">
        <f t="shared" si="69"/>
        <v>-10.082111388163122</v>
      </c>
      <c r="AD147" s="229">
        <f t="shared" si="70"/>
        <v>-5.1121480912430304</v>
      </c>
      <c r="AE147" s="229">
        <f t="shared" si="71"/>
        <v>107.58612265768377</v>
      </c>
      <c r="AF147" s="227">
        <f t="shared" si="59"/>
        <v>25.060705142338087</v>
      </c>
      <c r="AG147" s="227">
        <f t="shared" si="60"/>
        <v>97.504011269520646</v>
      </c>
      <c r="AH147" s="229" t="str">
        <f t="shared" si="61"/>
        <v>0.167725618905574-0.529182813400132i</v>
      </c>
    </row>
    <row r="148" spans="9:34" x14ac:dyDescent="0.2">
      <c r="I148" s="227">
        <v>144</v>
      </c>
      <c r="J148" s="227">
        <f t="shared" si="49"/>
        <v>2.4040176438568097</v>
      </c>
      <c r="K148" s="227">
        <f t="shared" si="72"/>
        <v>253.52316259469112</v>
      </c>
      <c r="L148" s="227">
        <f t="shared" si="62"/>
        <v>1592.9330102446645</v>
      </c>
      <c r="M148" s="227">
        <f t="shared" si="50"/>
        <v>8559.146228845002</v>
      </c>
      <c r="N148" s="227">
        <f>SQRT((ABS(AC148)-171.5+'Small Signal'!C$59)^2)</f>
        <v>91.193209162024516</v>
      </c>
      <c r="O148" s="227">
        <f t="shared" si="63"/>
        <v>97.650382036714319</v>
      </c>
      <c r="P148" s="227">
        <f t="shared" si="64"/>
        <v>24.878500506427645</v>
      </c>
      <c r="Q148" s="227">
        <f t="shared" si="65"/>
        <v>253.52316259469112</v>
      </c>
      <c r="R148" s="227" t="str">
        <f t="shared" si="51"/>
        <v>0.0945666666666667+0.00748678514814992i</v>
      </c>
      <c r="S148" s="227" t="str">
        <f t="shared" si="52"/>
        <v>0.0085-66.7843393533949i</v>
      </c>
      <c r="T148" s="227" t="str">
        <f t="shared" si="53"/>
        <v>21.2542952270047-7.63771494778757i</v>
      </c>
      <c r="U148" s="227" t="str">
        <f t="shared" si="54"/>
        <v>96.0953106832367-4.27654013034264i</v>
      </c>
      <c r="V148" s="227">
        <f t="shared" si="66"/>
        <v>39.662636716501545</v>
      </c>
      <c r="W148" s="227">
        <f t="shared" si="67"/>
        <v>-2.5481590026902277</v>
      </c>
      <c r="X148" s="227" t="str">
        <f t="shared" si="55"/>
        <v>0.999999542940487-0.000214965915882435i</v>
      </c>
      <c r="Y148" s="227" t="str">
        <f t="shared" si="56"/>
        <v>42.5673095371456+6.05132421200548i</v>
      </c>
      <c r="Z148" s="227" t="str">
        <f t="shared" si="57"/>
        <v>23.9359200760978+3.39745613533559i</v>
      </c>
      <c r="AA148" s="227" t="str">
        <f t="shared" si="58"/>
        <v>31.717541734676-5.76793771401644i</v>
      </c>
      <c r="AB148" s="227">
        <f t="shared" si="68"/>
        <v>30.167290424914182</v>
      </c>
      <c r="AC148" s="227">
        <f t="shared" si="69"/>
        <v>-10.306790837975496</v>
      </c>
      <c r="AD148" s="229">
        <f t="shared" si="70"/>
        <v>-5.2887899184865361</v>
      </c>
      <c r="AE148" s="229">
        <f t="shared" si="71"/>
        <v>107.95717287468982</v>
      </c>
      <c r="AF148" s="227">
        <f t="shared" si="59"/>
        <v>24.878500506427645</v>
      </c>
      <c r="AG148" s="227">
        <f t="shared" si="60"/>
        <v>97.650382036714319</v>
      </c>
      <c r="AH148" s="229" t="str">
        <f t="shared" si="61"/>
        <v>0.167703646466683-0.517454504922659i</v>
      </c>
    </row>
    <row r="149" spans="9:34" x14ac:dyDescent="0.2">
      <c r="I149" s="227">
        <v>145</v>
      </c>
      <c r="J149" s="227">
        <f t="shared" si="49"/>
        <v>2.413767766383593</v>
      </c>
      <c r="K149" s="227">
        <f t="shared" si="72"/>
        <v>259.27925275381034</v>
      </c>
      <c r="L149" s="227">
        <f t="shared" si="62"/>
        <v>1629.0995913592435</v>
      </c>
      <c r="M149" s="227">
        <f t="shared" si="50"/>
        <v>8553.2594501382137</v>
      </c>
      <c r="N149" s="227">
        <f>SQRT((ABS(AC149)-171.5+'Small Signal'!C$59)^2)</f>
        <v>90.963715998132983</v>
      </c>
      <c r="O149" s="227">
        <f t="shared" si="63"/>
        <v>97.798763156025416</v>
      </c>
      <c r="P149" s="227">
        <f t="shared" si="64"/>
        <v>24.696808529600389</v>
      </c>
      <c r="Q149" s="227">
        <f t="shared" si="65"/>
        <v>259.27925275381034</v>
      </c>
      <c r="R149" s="227" t="str">
        <f t="shared" si="51"/>
        <v>0.0945666666666667+0.00765676807938844i</v>
      </c>
      <c r="S149" s="227" t="str">
        <f t="shared" si="52"/>
        <v>0.0085-65.3017036451671i</v>
      </c>
      <c r="T149" s="227" t="str">
        <f t="shared" si="53"/>
        <v>21.1432153960211-7.77028558998287i</v>
      </c>
      <c r="U149" s="227" t="str">
        <f t="shared" si="54"/>
        <v>96.098561069942-4.37423540064555i</v>
      </c>
      <c r="V149" s="227">
        <f t="shared" si="66"/>
        <v>39.663326570946644</v>
      </c>
      <c r="W149" s="227">
        <f t="shared" si="67"/>
        <v>-2.6062029263917732</v>
      </c>
      <c r="X149" s="227" t="str">
        <f t="shared" si="55"/>
        <v>0.999999521950358-0.00021984658706172i</v>
      </c>
      <c r="Y149" s="227" t="str">
        <f t="shared" si="56"/>
        <v>42.5821597158081+6.1888331392781i</v>
      </c>
      <c r="Z149" s="227" t="str">
        <f t="shared" si="57"/>
        <v>23.9443032916352+3.47465735360417i</v>
      </c>
      <c r="AA149" s="227" t="str">
        <f t="shared" si="58"/>
        <v>31.6729889272603-5.89099067153203i</v>
      </c>
      <c r="AB149" s="227">
        <f t="shared" si="68"/>
        <v>30.161479794893467</v>
      </c>
      <c r="AC149" s="227">
        <f t="shared" si="69"/>
        <v>-10.53628400186701</v>
      </c>
      <c r="AD149" s="229">
        <f t="shared" si="70"/>
        <v>-5.4646712652930782</v>
      </c>
      <c r="AE149" s="229">
        <f t="shared" si="71"/>
        <v>108.33504715789242</v>
      </c>
      <c r="AF149" s="227">
        <f t="shared" si="59"/>
        <v>24.696808529600389</v>
      </c>
      <c r="AG149" s="227">
        <f t="shared" si="60"/>
        <v>97.798763156025416</v>
      </c>
      <c r="AH149" s="229" t="str">
        <f t="shared" si="61"/>
        <v>0.167682634033332-0.505987015283422i</v>
      </c>
    </row>
    <row r="150" spans="9:34" x14ac:dyDescent="0.2">
      <c r="I150" s="227">
        <v>146</v>
      </c>
      <c r="J150" s="227">
        <f t="shared" si="49"/>
        <v>2.4235178889103763</v>
      </c>
      <c r="K150" s="227">
        <f t="shared" si="72"/>
        <v>265.16603146059816</v>
      </c>
      <c r="L150" s="227">
        <f t="shared" si="62"/>
        <v>1666.0873128363503</v>
      </c>
      <c r="M150" s="227">
        <f t="shared" si="50"/>
        <v>8547.239015679279</v>
      </c>
      <c r="N150" s="227">
        <f>SQRT((ABS(AC150)-171.5+'Small Signal'!C$59)^2)</f>
        <v>90.729319034045858</v>
      </c>
      <c r="O150" s="227">
        <f t="shared" si="63"/>
        <v>97.949118542539807</v>
      </c>
      <c r="P150" s="227">
        <f t="shared" si="64"/>
        <v>24.515646475155059</v>
      </c>
      <c r="Q150" s="227">
        <f t="shared" si="65"/>
        <v>265.16603146059816</v>
      </c>
      <c r="R150" s="227" t="str">
        <f t="shared" si="51"/>
        <v>0.0945666666666667+0.00783061037033085i</v>
      </c>
      <c r="S150" s="227" t="str">
        <f t="shared" si="52"/>
        <v>0.0085-63.8519829685862i</v>
      </c>
      <c r="T150" s="227" t="str">
        <f t="shared" si="53"/>
        <v>21.0282703044493-7.90348559499946i</v>
      </c>
      <c r="U150" s="227" t="str">
        <f t="shared" si="54"/>
        <v>96.1019593697902-4.47419060776371i</v>
      </c>
      <c r="V150" s="227">
        <f t="shared" si="66"/>
        <v>39.664048109101117</v>
      </c>
      <c r="W150" s="227">
        <f t="shared" si="67"/>
        <v>-2.6655779337195606</v>
      </c>
      <c r="X150" s="227" t="str">
        <f t="shared" si="55"/>
        <v>0.999999499996272-0.000224838070929901i</v>
      </c>
      <c r="Y150" s="227" t="str">
        <f t="shared" si="56"/>
        <v>42.5976957532342+6.32947217306983i</v>
      </c>
      <c r="Z150" s="227" t="str">
        <f t="shared" si="57"/>
        <v>23.9530736801574+3.55361577151261i</v>
      </c>
      <c r="AA150" s="227" t="str">
        <f t="shared" si="58"/>
        <v>31.6265176336594-6.01630989644215i</v>
      </c>
      <c r="AB150" s="227">
        <f t="shared" si="68"/>
        <v>30.155410658543822</v>
      </c>
      <c r="AC150" s="227">
        <f t="shared" si="69"/>
        <v>-10.770680965954133</v>
      </c>
      <c r="AD150" s="229">
        <f t="shared" si="70"/>
        <v>-5.6397641833887633</v>
      </c>
      <c r="AE150" s="229">
        <f t="shared" si="71"/>
        <v>108.71979950849394</v>
      </c>
      <c r="AF150" s="227">
        <f t="shared" si="59"/>
        <v>24.515646475155059</v>
      </c>
      <c r="AG150" s="227">
        <f t="shared" si="60"/>
        <v>97.949118542539807</v>
      </c>
      <c r="AH150" s="229" t="str">
        <f t="shared" si="61"/>
        <v>0.167662539235513-0.494774564460433i</v>
      </c>
    </row>
    <row r="151" spans="9:34" x14ac:dyDescent="0.2">
      <c r="I151" s="227">
        <v>147</v>
      </c>
      <c r="J151" s="227">
        <f t="shared" si="49"/>
        <v>2.4332680114371597</v>
      </c>
      <c r="K151" s="227">
        <f t="shared" si="72"/>
        <v>271.18646591953211</v>
      </c>
      <c r="L151" s="227">
        <f t="shared" si="62"/>
        <v>1703.9148181715618</v>
      </c>
      <c r="M151" s="227">
        <f t="shared" si="50"/>
        <v>8541.0818908951369</v>
      </c>
      <c r="N151" s="227">
        <f>SQRT((ABS(AC151)-171.5+'Small Signal'!C$59)^2)</f>
        <v>90.489927382331871</v>
      </c>
      <c r="O151" s="227">
        <f t="shared" si="63"/>
        <v>98.101407225003442</v>
      </c>
      <c r="P151" s="227">
        <f t="shared" si="64"/>
        <v>24.335031908173015</v>
      </c>
      <c r="Q151" s="227">
        <f t="shared" si="65"/>
        <v>271.18646591953211</v>
      </c>
      <c r="R151" s="227" t="str">
        <f t="shared" si="51"/>
        <v>0.0945666666666667+0.00800839964540634i</v>
      </c>
      <c r="S151" s="227" t="str">
        <f t="shared" si="52"/>
        <v>0.0085-62.4344465984289i</v>
      </c>
      <c r="T151" s="227" t="str">
        <f t="shared" si="53"/>
        <v>20.9093766232129-8.03721016197867i</v>
      </c>
      <c r="U151" s="227" t="str">
        <f t="shared" si="54"/>
        <v>96.1055122469315-4.57645998696578i</v>
      </c>
      <c r="V151" s="227">
        <f t="shared" si="66"/>
        <v>39.664802786245957</v>
      </c>
      <c r="W151" s="227">
        <f t="shared" si="67"/>
        <v>-2.726315171272701</v>
      </c>
      <c r="X151" s="227" t="str">
        <f t="shared" si="55"/>
        <v>0.999999477033961-0.000229942883422099i</v>
      </c>
      <c r="Y151" s="227" t="str">
        <f t="shared" si="56"/>
        <v>42.6139495118581+6.47331292694117i</v>
      </c>
      <c r="Z151" s="227" t="str">
        <f t="shared" si="57"/>
        <v>23.9622492275537+3.63437158308461i</v>
      </c>
      <c r="AA151" s="227" t="str">
        <f t="shared" si="58"/>
        <v>31.5780511494215-6.14391272721475i</v>
      </c>
      <c r="AB151" s="227">
        <f t="shared" si="68"/>
        <v>30.149071902462161</v>
      </c>
      <c r="AC151" s="227">
        <f t="shared" si="69"/>
        <v>-11.010072617668124</v>
      </c>
      <c r="AD151" s="229">
        <f t="shared" si="70"/>
        <v>-5.8140399942891454</v>
      </c>
      <c r="AE151" s="229">
        <f t="shared" si="71"/>
        <v>109.11147984267157</v>
      </c>
      <c r="AF151" s="227">
        <f t="shared" si="59"/>
        <v>24.335031908173015</v>
      </c>
      <c r="AG151" s="227">
        <f t="shared" si="60"/>
        <v>98.101407225003442</v>
      </c>
      <c r="AH151" s="229" t="str">
        <f t="shared" si="61"/>
        <v>0.167643321553541-0.483811500975253i</v>
      </c>
    </row>
    <row r="152" spans="9:34" x14ac:dyDescent="0.2">
      <c r="I152" s="227">
        <v>148</v>
      </c>
      <c r="J152" s="227">
        <f t="shared" si="49"/>
        <v>2.4430181339639434</v>
      </c>
      <c r="K152" s="227">
        <f t="shared" si="72"/>
        <v>277.34359070367395</v>
      </c>
      <c r="L152" s="227">
        <f t="shared" si="62"/>
        <v>1742.601174149753</v>
      </c>
      <c r="M152" s="227">
        <f t="shared" si="50"/>
        <v>8534.784972314581</v>
      </c>
      <c r="N152" s="227">
        <f>SQRT((ABS(AC152)-171.5+'Small Signal'!C$59)^2)</f>
        <v>90.245449412167375</v>
      </c>
      <c r="O152" s="227">
        <f t="shared" si="63"/>
        <v>98.255583095282972</v>
      </c>
      <c r="P152" s="227">
        <f t="shared" si="64"/>
        <v>24.154982675433239</v>
      </c>
      <c r="Q152" s="227">
        <f t="shared" si="65"/>
        <v>277.34359070367395</v>
      </c>
      <c r="R152" s="227" t="str">
        <f t="shared" si="51"/>
        <v>0.0945666666666667+0.00819022551850384i</v>
      </c>
      <c r="S152" s="227" t="str">
        <f t="shared" si="52"/>
        <v>0.0085-61.0483800318282i</v>
      </c>
      <c r="T152" s="227" t="str">
        <f t="shared" si="53"/>
        <v>20.786453433113-8.1713481502509i</v>
      </c>
      <c r="U152" s="227" t="str">
        <f t="shared" si="54"/>
        <v>96.1092266593257-4.68109920995162i</v>
      </c>
      <c r="V152" s="227">
        <f t="shared" si="66"/>
        <v>39.665592124513537</v>
      </c>
      <c r="W152" s="227">
        <f t="shared" si="67"/>
        <v>-2.7884465576637445</v>
      </c>
      <c r="X152" s="227" t="str">
        <f t="shared" si="55"/>
        <v>0.999999453017121-0.000235163597596218i</v>
      </c>
      <c r="Y152" s="227" t="str">
        <f t="shared" si="56"/>
        <v>42.6309543517676+6.62042867673499i</v>
      </c>
      <c r="Z152" s="227" t="str">
        <f t="shared" si="57"/>
        <v>23.9718487650498+3.71696591469937i</v>
      </c>
      <c r="AA152" s="227" t="str">
        <f t="shared" si="58"/>
        <v>31.52751023808-6.273814815079i</v>
      </c>
      <c r="AB152" s="227">
        <f t="shared" si="68"/>
        <v>30.142451970561609</v>
      </c>
      <c r="AC152" s="227">
        <f t="shared" si="69"/>
        <v>-11.254550587832625</v>
      </c>
      <c r="AD152" s="229">
        <f t="shared" si="70"/>
        <v>-5.9874692951283723</v>
      </c>
      <c r="AE152" s="229">
        <f t="shared" si="71"/>
        <v>109.5101336831156</v>
      </c>
      <c r="AF152" s="227">
        <f t="shared" si="59"/>
        <v>24.154982675433239</v>
      </c>
      <c r="AG152" s="227">
        <f t="shared" si="60"/>
        <v>98.255583095282972</v>
      </c>
      <c r="AH152" s="229" t="str">
        <f t="shared" si="61"/>
        <v>0.167624942236373-0.473092299044915i</v>
      </c>
    </row>
    <row r="153" spans="9:34" x14ac:dyDescent="0.2">
      <c r="I153" s="227">
        <v>149</v>
      </c>
      <c r="J153" s="227">
        <f t="shared" si="49"/>
        <v>2.4527682564907263</v>
      </c>
      <c r="K153" s="227">
        <f t="shared" si="72"/>
        <v>283.64050928423097</v>
      </c>
      <c r="L153" s="227">
        <f t="shared" si="62"/>
        <v>1782.165880455615</v>
      </c>
      <c r="M153" s="227">
        <f t="shared" si="50"/>
        <v>8528.3450860039611</v>
      </c>
      <c r="N153" s="227">
        <f>SQRT((ABS(AC153)-171.5+'Small Signal'!C$59)^2)</f>
        <v>89.995792812721874</v>
      </c>
      <c r="O153" s="227">
        <f t="shared" si="63"/>
        <v>98.411594655004819</v>
      </c>
      <c r="P153" s="227">
        <f t="shared" si="64"/>
        <v>23.975516882616056</v>
      </c>
      <c r="Q153" s="227">
        <f t="shared" si="65"/>
        <v>283.64050928423097</v>
      </c>
      <c r="R153" s="227" t="str">
        <f t="shared" si="51"/>
        <v>0.0945666666666667+0.00837617963814139i</v>
      </c>
      <c r="S153" s="227" t="str">
        <f t="shared" si="52"/>
        <v>0.0085-59.6930846281307i</v>
      </c>
      <c r="T153" s="227" t="str">
        <f t="shared" si="53"/>
        <v>20.6594226350897-8.30578200847245i</v>
      </c>
      <c r="U153" s="227" t="str">
        <f t="shared" si="54"/>
        <v>96.1131098710672-4.78816543190441i</v>
      </c>
      <c r="V153" s="227">
        <f t="shared" si="66"/>
        <v>39.666417715959305</v>
      </c>
      <c r="W153" s="227">
        <f t="shared" si="67"/>
        <v>-2.8520048056119096</v>
      </c>
      <c r="X153" s="227" t="str">
        <f t="shared" si="55"/>
        <v>0.999999427897326-0.000240502844929885i</v>
      </c>
      <c r="Y153" s="227" t="str">
        <f t="shared" si="56"/>
        <v>42.6487452027307+6.77089440064185i</v>
      </c>
      <c r="Z153" s="227" t="str">
        <f t="shared" si="57"/>
        <v>23.9818920098565+3.80144084752032i</v>
      </c>
      <c r="AA153" s="227" t="str">
        <f t="shared" si="58"/>
        <v>31.4748130970439-6.40602997303481i</v>
      </c>
      <c r="AB153" s="227">
        <f t="shared" si="68"/>
        <v>30.135538849612477</v>
      </c>
      <c r="AC153" s="227">
        <f t="shared" si="69"/>
        <v>-11.504207187278134</v>
      </c>
      <c r="AD153" s="229">
        <f t="shared" si="70"/>
        <v>-6.1600219669964194</v>
      </c>
      <c r="AE153" s="229">
        <f t="shared" si="71"/>
        <v>109.91580184228295</v>
      </c>
      <c r="AF153" s="227">
        <f t="shared" si="59"/>
        <v>23.975516882616056</v>
      </c>
      <c r="AG153" s="227">
        <f t="shared" si="60"/>
        <v>98.411594655004819</v>
      </c>
      <c r="AH153" s="229" t="str">
        <f t="shared" si="61"/>
        <v>0.167607364223457-0.462611555797107i</v>
      </c>
    </row>
    <row r="154" spans="9:34" x14ac:dyDescent="0.2">
      <c r="I154" s="227">
        <v>150</v>
      </c>
      <c r="J154" s="227">
        <f t="shared" si="49"/>
        <v>2.46251837901751</v>
      </c>
      <c r="K154" s="227">
        <f t="shared" si="72"/>
        <v>290.08039559485076</v>
      </c>
      <c r="L154" s="227">
        <f t="shared" si="62"/>
        <v>1822.6288795024082</v>
      </c>
      <c r="M154" s="227">
        <f t="shared" si="50"/>
        <v>8521.7589859673881</v>
      </c>
      <c r="N154" s="227">
        <f>SQRT((ABS(AC154)-171.5+'Small Signal'!C$59)^2)</f>
        <v>89.740864662299401</v>
      </c>
      <c r="O154" s="227">
        <f t="shared" si="63"/>
        <v>98.569384760360322</v>
      </c>
      <c r="P154" s="227">
        <f t="shared" si="64"/>
        <v>23.796652868649225</v>
      </c>
      <c r="Q154" s="227">
        <f t="shared" si="65"/>
        <v>290.08039559485076</v>
      </c>
      <c r="R154" s="227" t="str">
        <f t="shared" si="51"/>
        <v>0.0945666666666667+0.00856635573366132i</v>
      </c>
      <c r="S154" s="227" t="str">
        <f t="shared" si="52"/>
        <v>0.0085-58.3678772567501i</v>
      </c>
      <c r="T154" s="227" t="str">
        <f t="shared" si="53"/>
        <v>20.5282093800691-8.44038772789899i</v>
      </c>
      <c r="U154" s="227" t="str">
        <f t="shared" si="54"/>
        <v>96.1171694651617-4.89771734063406i</v>
      </c>
      <c r="V154" s="227">
        <f t="shared" si="66"/>
        <v>39.667281225774566</v>
      </c>
      <c r="W154" s="227">
        <f t="shared" si="67"/>
        <v>-2.917023444860992</v>
      </c>
      <c r="X154" s="227" t="str">
        <f t="shared" si="55"/>
        <v>0.999999401623922-0.00024596331664684i</v>
      </c>
      <c r="Y154" s="227" t="str">
        <f t="shared" si="56"/>
        <v>42.6673586398376+6.92478682031236i</v>
      </c>
      <c r="Z154" s="227" t="str">
        <f t="shared" si="57"/>
        <v>23.9923996078579+3.88783944050693i</v>
      </c>
      <c r="AA154" s="227" t="str">
        <f t="shared" si="58"/>
        <v>31.4198753282042-6.5405700169655i</v>
      </c>
      <c r="AB154" s="227">
        <f t="shared" si="68"/>
        <v>30.128320054604881</v>
      </c>
      <c r="AC154" s="227">
        <f t="shared" si="69"/>
        <v>-11.759135337700599</v>
      </c>
      <c r="AD154" s="229">
        <f t="shared" si="70"/>
        <v>-6.3316671859556548</v>
      </c>
      <c r="AE154" s="229">
        <f t="shared" si="71"/>
        <v>110.32852009806092</v>
      </c>
      <c r="AF154" s="227">
        <f t="shared" si="59"/>
        <v>23.796652868649225</v>
      </c>
      <c r="AG154" s="227">
        <f t="shared" si="60"/>
        <v>98.569384760360322</v>
      </c>
      <c r="AH154" s="229" t="str">
        <f t="shared" si="61"/>
        <v>0.167590552070006-0.452363988547314i</v>
      </c>
    </row>
    <row r="155" spans="9:34" x14ac:dyDescent="0.2">
      <c r="I155" s="227">
        <v>151</v>
      </c>
      <c r="J155" s="227">
        <f t="shared" si="49"/>
        <v>2.4722685015442938</v>
      </c>
      <c r="K155" s="227">
        <f t="shared" si="72"/>
        <v>296.66649563142352</v>
      </c>
      <c r="L155" s="227">
        <f t="shared" si="62"/>
        <v>1864.0105664838172</v>
      </c>
      <c r="M155" s="227">
        <f t="shared" si="50"/>
        <v>8515.0233525105978</v>
      </c>
      <c r="N155" s="227">
        <f>SQRT((ABS(AC155)-171.5+'Small Signal'!C$59)^2)</f>
        <v>89.480571503533582</v>
      </c>
      <c r="O155" s="227">
        <f t="shared" si="63"/>
        <v>98.728890366181275</v>
      </c>
      <c r="P155" s="227">
        <f t="shared" si="64"/>
        <v>23.618409177050449</v>
      </c>
      <c r="Q155" s="227">
        <f t="shared" si="65"/>
        <v>296.66649563142352</v>
      </c>
      <c r="R155" s="227" t="str">
        <f t="shared" si="51"/>
        <v>0.0945666666666667+0.00876084966247394i</v>
      </c>
      <c r="S155" s="227" t="str">
        <f t="shared" si="52"/>
        <v>0.0085-57.0720899528376i</v>
      </c>
      <c r="T155" s="227" t="str">
        <f t="shared" si="53"/>
        <v>20.3927425173698-8.57503482232194i</v>
      </c>
      <c r="U155" s="227" t="str">
        <f t="shared" si="54"/>
        <v>96.1214133567578-5.00981520793399i</v>
      </c>
      <c r="V155" s="227">
        <f t="shared" si="66"/>
        <v>39.668184395646136</v>
      </c>
      <c r="W155" s="227">
        <f t="shared" si="67"/>
        <v>-2.9835368459647622</v>
      </c>
      <c r="X155" s="227" t="str">
        <f t="shared" si="55"/>
        <v>0.999999374143931-0.000251547765073426i</v>
      </c>
      <c r="Y155" s="227" t="str">
        <f t="shared" si="56"/>
        <v>42.6868329629499+7.08218444304585i</v>
      </c>
      <c r="Z155" s="227" t="str">
        <f t="shared" si="57"/>
        <v>24.0033931784475+3.9762057540257i</v>
      </c>
      <c r="AA155" s="227" t="str">
        <f t="shared" si="58"/>
        <v>31.3626099138791-6.6774445986945i</v>
      </c>
      <c r="AB155" s="227">
        <f t="shared" si="68"/>
        <v>30.120782613961381</v>
      </c>
      <c r="AC155" s="227">
        <f t="shared" si="69"/>
        <v>-12.019428496466411</v>
      </c>
      <c r="AD155" s="229">
        <f t="shared" si="70"/>
        <v>-6.5023734369109327</v>
      </c>
      <c r="AE155" s="229">
        <f t="shared" si="71"/>
        <v>110.74831886264768</v>
      </c>
      <c r="AF155" s="227">
        <f t="shared" si="59"/>
        <v>23.618409177050449</v>
      </c>
      <c r="AG155" s="227">
        <f t="shared" si="60"/>
        <v>98.728890366181275</v>
      </c>
      <c r="AH155" s="229" t="str">
        <f t="shared" si="61"/>
        <v>0.167574471875529-0.442344432136497i</v>
      </c>
    </row>
    <row r="156" spans="9:34" x14ac:dyDescent="0.2">
      <c r="I156" s="227">
        <v>152</v>
      </c>
      <c r="J156" s="227">
        <f t="shared" si="49"/>
        <v>2.4820186240710767</v>
      </c>
      <c r="K156" s="227">
        <f t="shared" si="72"/>
        <v>303.40212908821462</v>
      </c>
      <c r="L156" s="227">
        <f t="shared" si="62"/>
        <v>1906.3317996540743</v>
      </c>
      <c r="M156" s="227">
        <f t="shared" si="50"/>
        <v>8508.1347905676685</v>
      </c>
      <c r="N156" s="227">
        <f>SQRT((ABS(AC156)-171.5+'Small Signal'!C$59)^2)</f>
        <v>89.214819424941453</v>
      </c>
      <c r="O156" s="227">
        <f t="shared" si="63"/>
        <v>98.890042270516247</v>
      </c>
      <c r="P156" s="227">
        <f t="shared" si="64"/>
        <v>23.440804524127213</v>
      </c>
      <c r="Q156" s="227">
        <f t="shared" si="65"/>
        <v>303.40212908821462</v>
      </c>
      <c r="R156" s="227" t="str">
        <f t="shared" si="51"/>
        <v>0.0945666666666667+0.00895975945837415i</v>
      </c>
      <c r="S156" s="227" t="str">
        <f t="shared" si="52"/>
        <v>0.0085-55.8050695805991i</v>
      </c>
      <c r="T156" s="227" t="str">
        <f t="shared" si="53"/>
        <v>20.2529550603775-8.70958633722496i</v>
      </c>
      <c r="U156" s="227" t="str">
        <f t="shared" si="54"/>
        <v>96.1258498068632-5.12452094328058i</v>
      </c>
      <c r="V156" s="227">
        <f t="shared" si="66"/>
        <v>39.669129047271582</v>
      </c>
      <c r="W156" s="227">
        <f t="shared" si="67"/>
        <v>-3.0515802449839557</v>
      </c>
      <c r="X156" s="227" t="str">
        <f t="shared" si="55"/>
        <v>0.999999345401942-0.000257259005025897i</v>
      </c>
      <c r="Y156" s="227" t="str">
        <f t="shared" si="56"/>
        <v>42.707208280174+7.24316760508719i</v>
      </c>
      <c r="Z156" s="227" t="str">
        <f t="shared" si="57"/>
        <v>24.0148953616349+4.06658487407798i</v>
      </c>
      <c r="AA156" s="227" t="str">
        <f t="shared" si="58"/>
        <v>31.3029271987669-6.81666103085263i</v>
      </c>
      <c r="AB156" s="227">
        <f t="shared" si="68"/>
        <v>30.112913054632131</v>
      </c>
      <c r="AC156" s="227">
        <f t="shared" si="69"/>
        <v>-12.285180575058551</v>
      </c>
      <c r="AD156" s="229">
        <f t="shared" si="70"/>
        <v>-6.6721085305049179</v>
      </c>
      <c r="AE156" s="229">
        <f t="shared" si="71"/>
        <v>111.17522284557479</v>
      </c>
      <c r="AF156" s="227">
        <f t="shared" si="59"/>
        <v>23.440804524127213</v>
      </c>
      <c r="AG156" s="227">
        <f t="shared" si="60"/>
        <v>98.890042270516247</v>
      </c>
      <c r="AH156" s="229" t="str">
        <f t="shared" si="61"/>
        <v>0.167559091215473-0.432547836327986i</v>
      </c>
    </row>
    <row r="157" spans="9:34" x14ac:dyDescent="0.2">
      <c r="I157" s="227">
        <v>153</v>
      </c>
      <c r="J157" s="227">
        <f t="shared" si="49"/>
        <v>2.4917687465978604</v>
      </c>
      <c r="K157" s="227">
        <f t="shared" si="72"/>
        <v>310.29069103114273</v>
      </c>
      <c r="L157" s="227">
        <f t="shared" si="62"/>
        <v>1949.6139108414766</v>
      </c>
      <c r="M157" s="227">
        <f t="shared" si="50"/>
        <v>8501.0898279897683</v>
      </c>
      <c r="N157" s="227">
        <f>SQRT((ABS(AC157)-171.5+'Small Signal'!C$59)^2)</f>
        <v>88.943514149141748</v>
      </c>
      <c r="O157" s="227">
        <f t="shared" si="63"/>
        <v>99.052764861064702</v>
      </c>
      <c r="P157" s="227">
        <f t="shared" si="64"/>
        <v>23.263857763901676</v>
      </c>
      <c r="Q157" s="227">
        <f t="shared" si="65"/>
        <v>310.29069103114273</v>
      </c>
      <c r="R157" s="227" t="str">
        <f t="shared" si="51"/>
        <v>0.0945666666666667+0.00916318538095494i</v>
      </c>
      <c r="S157" s="227" t="str">
        <f t="shared" si="52"/>
        <v>0.0085-54.5661775040823i</v>
      </c>
      <c r="T157" s="227" t="str">
        <f t="shared" si="53"/>
        <v>20.1087846679014-8.8438988907223i</v>
      </c>
      <c r="U157" s="227" t="str">
        <f t="shared" si="54"/>
        <v>96.1304874365311-5.2418981500126i</v>
      </c>
      <c r="V157" s="227">
        <f t="shared" si="66"/>
        <v>39.670117086035027</v>
      </c>
      <c r="W157" s="227">
        <f t="shared" si="67"/>
        <v>-3.1211897691426498</v>
      </c>
      <c r="X157" s="227" t="str">
        <f t="shared" si="55"/>
        <v>0.999999315339997-0.000263099915229205i</v>
      </c>
      <c r="Y157" s="227" t="str">
        <f t="shared" si="56"/>
        <v>42.7285265955651+7.40781851606346i</v>
      </c>
      <c r="Z157" s="227" t="str">
        <f t="shared" si="57"/>
        <v>24.0269298675389+4.15902293716173i</v>
      </c>
      <c r="AA157" s="227" t="str">
        <f t="shared" si="58"/>
        <v>31.2407348786236-6.95822410345651i</v>
      </c>
      <c r="AB157" s="227">
        <f t="shared" si="68"/>
        <v>30.104697387109553</v>
      </c>
      <c r="AC157" s="227">
        <f t="shared" si="69"/>
        <v>-12.556485850858241</v>
      </c>
      <c r="AD157" s="229">
        <f t="shared" si="70"/>
        <v>-6.840839623207879</v>
      </c>
      <c r="AE157" s="229">
        <f t="shared" si="71"/>
        <v>111.60925071192294</v>
      </c>
      <c r="AF157" s="227">
        <f t="shared" si="59"/>
        <v>23.263857763901676</v>
      </c>
      <c r="AG157" s="227">
        <f t="shared" si="60"/>
        <v>99.052764861064702</v>
      </c>
      <c r="AH157" s="229" t="str">
        <f t="shared" si="61"/>
        <v>0.167544379075838-0.422969263262273i</v>
      </c>
    </row>
    <row r="158" spans="9:34" x14ac:dyDescent="0.2">
      <c r="I158" s="227">
        <v>154</v>
      </c>
      <c r="J158" s="227">
        <f t="shared" si="49"/>
        <v>2.5015188691246433</v>
      </c>
      <c r="K158" s="227">
        <f t="shared" si="72"/>
        <v>317.33565360904294</v>
      </c>
      <c r="L158" s="227">
        <f t="shared" si="62"/>
        <v>1993.8787162005692</v>
      </c>
      <c r="M158" s="227">
        <f t="shared" si="50"/>
        <v>8493.8849137950165</v>
      </c>
      <c r="N158" s="227">
        <f>SQRT((ABS(AC158)-171.5+'Small Signal'!C$59)^2)</f>
        <v>88.666561128052081</v>
      </c>
      <c r="O158" s="227">
        <f t="shared" si="63"/>
        <v>99.216975864964439</v>
      </c>
      <c r="P158" s="227">
        <f t="shared" si="64"/>
        <v>23.08758784963554</v>
      </c>
      <c r="Q158" s="227">
        <f t="shared" si="65"/>
        <v>317.33565360904294</v>
      </c>
      <c r="R158" s="227" t="str">
        <f t="shared" si="51"/>
        <v>0.0945666666666667+0.00937122996614267i</v>
      </c>
      <c r="S158" s="227" t="str">
        <f t="shared" si="52"/>
        <v>0.0085-53.3547892652781i</v>
      </c>
      <c r="T158" s="227" t="str">
        <f t="shared" si="53"/>
        <v>19.9601741393224-8.97782274881271i</v>
      </c>
      <c r="U158" s="227" t="str">
        <f t="shared" si="54"/>
        <v>96.1353352415339-5.36201218413733i</v>
      </c>
      <c r="V158" s="227">
        <f t="shared" si="66"/>
        <v>39.671150504851852</v>
      </c>
      <c r="W158" s="227">
        <f t="shared" si="67"/>
        <v>-3.1924024634939872</v>
      </c>
      <c r="X158" s="227" t="str">
        <f t="shared" si="55"/>
        <v>0.999999283897479-0.000269073439768014i</v>
      </c>
      <c r="Y158" s="227" t="str">
        <f t="shared" si="56"/>
        <v>42.7508319013048+7.57622130459195i</v>
      </c>
      <c r="Z158" s="227" t="str">
        <f t="shared" si="57"/>
        <v>24.0395215284044+4.25356715578477i</v>
      </c>
      <c r="AA158" s="227" t="str">
        <f t="shared" si="58"/>
        <v>31.1759379964216-7.10213589213021i</v>
      </c>
      <c r="AB158" s="227">
        <f t="shared" si="68"/>
        <v>30.096121090401681</v>
      </c>
      <c r="AC158" s="227">
        <f t="shared" si="69"/>
        <v>-12.833438871947934</v>
      </c>
      <c r="AD158" s="229">
        <f t="shared" si="70"/>
        <v>-7.0085332407661429</v>
      </c>
      <c r="AE158" s="229">
        <f t="shared" si="71"/>
        <v>112.05041473691237</v>
      </c>
      <c r="AF158" s="227">
        <f t="shared" si="59"/>
        <v>23.08758784963554</v>
      </c>
      <c r="AG158" s="227">
        <f t="shared" si="60"/>
        <v>99.216975864964439</v>
      </c>
      <c r="AH158" s="229" t="str">
        <f t="shared" si="61"/>
        <v>0.167530305790648-0.413603884968438i</v>
      </c>
    </row>
    <row r="159" spans="9:34" x14ac:dyDescent="0.2">
      <c r="I159" s="227">
        <v>155</v>
      </c>
      <c r="J159" s="227">
        <f t="shared" si="49"/>
        <v>2.511268991651427</v>
      </c>
      <c r="K159" s="227">
        <f t="shared" si="72"/>
        <v>324.54056780379432</v>
      </c>
      <c r="L159" s="227">
        <f t="shared" si="62"/>
        <v>2039.1485272085208</v>
      </c>
      <c r="M159" s="227">
        <f t="shared" si="50"/>
        <v>8486.5164163786412</v>
      </c>
      <c r="N159" s="227">
        <f>SQRT((ABS(AC159)-171.5+'Small Signal'!C$59)^2)</f>
        <v>88.383865645374527</v>
      </c>
      <c r="O159" s="227">
        <f t="shared" si="63"/>
        <v>99.382586103555212</v>
      </c>
      <c r="P159" s="227">
        <f t="shared" si="64"/>
        <v>22.91201379184286</v>
      </c>
      <c r="Q159" s="227">
        <f t="shared" si="65"/>
        <v>324.54056780379432</v>
      </c>
      <c r="R159" s="227" t="str">
        <f t="shared" si="51"/>
        <v>0.0945666666666667+0.00958399807788005i</v>
      </c>
      <c r="S159" s="227" t="str">
        <f t="shared" si="52"/>
        <v>0.0085-52.1702942693618i</v>
      </c>
      <c r="T159" s="227" t="str">
        <f t="shared" si="53"/>
        <v>19.8070719213255-9.11120193742695i</v>
      </c>
      <c r="U159" s="227" t="str">
        <f t="shared" si="54"/>
        <v>96.1404026075397-5.48493021592212i</v>
      </c>
      <c r="V159" s="227">
        <f t="shared" si="66"/>
        <v>39.672231388190937</v>
      </c>
      <c r="W159" s="227">
        <f t="shared" si="67"/>
        <v>-3.2652563186495653</v>
      </c>
      <c r="X159" s="227" t="str">
        <f t="shared" si="55"/>
        <v>0.999999251010986-0.000275182589570651i</v>
      </c>
      <c r="Y159" s="227" t="str">
        <f t="shared" si="56"/>
        <v>42.7741702745967+7.74846206509465i</v>
      </c>
      <c r="Z159" s="227" t="str">
        <f t="shared" si="57"/>
        <v>24.0526963532811+4.35026584464855i</v>
      </c>
      <c r="AA159" s="227" t="str">
        <f t="shared" si="58"/>
        <v>31.1084389468047-7.24839555794971i</v>
      </c>
      <c r="AB159" s="227">
        <f t="shared" si="68"/>
        <v>30.087169097010865</v>
      </c>
      <c r="AC159" s="227">
        <f t="shared" si="69"/>
        <v>-13.116134354625482</v>
      </c>
      <c r="AD159" s="229">
        <f t="shared" si="70"/>
        <v>-7.175155305168003</v>
      </c>
      <c r="AE159" s="229">
        <f t="shared" si="71"/>
        <v>112.4987204581807</v>
      </c>
      <c r="AF159" s="227">
        <f t="shared" si="59"/>
        <v>22.91201379184286</v>
      </c>
      <c r="AG159" s="227">
        <f t="shared" si="60"/>
        <v>99.382586103555212</v>
      </c>
      <c r="AH159" s="229" t="str">
        <f t="shared" si="61"/>
        <v>0.167516842982127-0.404446980930917i</v>
      </c>
    </row>
    <row r="160" spans="9:34" x14ac:dyDescent="0.2">
      <c r="I160" s="227">
        <v>156</v>
      </c>
      <c r="J160" s="227">
        <f t="shared" si="49"/>
        <v>2.5210191141782103</v>
      </c>
      <c r="K160" s="227">
        <f t="shared" si="72"/>
        <v>331.90906522016979</v>
      </c>
      <c r="L160" s="227">
        <f t="shared" si="62"/>
        <v>2085.4461619110821</v>
      </c>
      <c r="M160" s="227">
        <f t="shared" si="50"/>
        <v>8478.9806216824763</v>
      </c>
      <c r="N160" s="227">
        <f>SQRT((ABS(AC160)-171.5+'Small Signal'!C$59)^2)</f>
        <v>88.095332926685302</v>
      </c>
      <c r="O160" s="227">
        <f t="shared" si="63"/>
        <v>99.54949925388263</v>
      </c>
      <c r="P160" s="227">
        <f t="shared" si="64"/>
        <v>22.737154612691057</v>
      </c>
      <c r="Q160" s="227">
        <f t="shared" si="65"/>
        <v>331.90906522016979</v>
      </c>
      <c r="R160" s="227" t="str">
        <f t="shared" si="51"/>
        <v>0.0945666666666667+0.00980159696098208i</v>
      </c>
      <c r="S160" s="227" t="str">
        <f t="shared" si="52"/>
        <v>0.0085-51.0120954769294i</v>
      </c>
      <c r="T160" s="227" t="str">
        <f t="shared" si="53"/>
        <v>19.6494326236753-9.24387439364787i</v>
      </c>
      <c r="U160" s="227" t="str">
        <f t="shared" si="54"/>
        <v>96.1456993257709-5.61072129443684i</v>
      </c>
      <c r="V160" s="227">
        <f t="shared" si="66"/>
        <v>39.673361916280051</v>
      </c>
      <c r="W160" s="227">
        <f t="shared" si="67"/>
        <v>-3.3397902996291045</v>
      </c>
      <c r="X160" s="227" t="str">
        <f t="shared" si="55"/>
        <v>0.999999216614204-0.000281430443926747i</v>
      </c>
      <c r="Y160" s="227" t="str">
        <f t="shared" si="56"/>
        <v>42.7985899795377+7.92462890585046i</v>
      </c>
      <c r="Z160" s="227" t="str">
        <f t="shared" si="57"/>
        <v>24.0664815855085+4.44916844751963i</v>
      </c>
      <c r="AA160" s="227" t="str">
        <f t="shared" si="58"/>
        <v>31.038137489692-7.39699913893256i</v>
      </c>
      <c r="AB160" s="227">
        <f t="shared" si="68"/>
        <v>30.077825777966531</v>
      </c>
      <c r="AC160" s="227">
        <f t="shared" si="69"/>
        <v>-13.404667073314695</v>
      </c>
      <c r="AD160" s="229">
        <f t="shared" si="70"/>
        <v>-7.3406711652754755</v>
      </c>
      <c r="AE160" s="229">
        <f t="shared" si="71"/>
        <v>112.95416632719733</v>
      </c>
      <c r="AF160" s="227">
        <f t="shared" si="59"/>
        <v>22.737154612691057</v>
      </c>
      <c r="AG160" s="227">
        <f t="shared" si="60"/>
        <v>99.54949925388263</v>
      </c>
      <c r="AH160" s="229" t="str">
        <f t="shared" si="61"/>
        <v>0.16750396350348-0.395493935710437i</v>
      </c>
    </row>
    <row r="161" spans="9:34" x14ac:dyDescent="0.2">
      <c r="I161" s="227">
        <v>157</v>
      </c>
      <c r="J161" s="227">
        <f t="shared" si="49"/>
        <v>2.5307692367049937</v>
      </c>
      <c r="K161" s="227">
        <f t="shared" si="72"/>
        <v>339.44485991633542</v>
      </c>
      <c r="L161" s="227">
        <f t="shared" si="62"/>
        <v>2132.7949564239516</v>
      </c>
      <c r="M161" s="227">
        <f t="shared" si="50"/>
        <v>8471.2737313229081</v>
      </c>
      <c r="N161" s="227">
        <f>SQRT((ABS(AC161)-171.5+'Small Signal'!C$59)^2)</f>
        <v>87.800868257437372</v>
      </c>
      <c r="O161" s="227">
        <f t="shared" si="63"/>
        <v>99.717611618839015</v>
      </c>
      <c r="P161" s="227">
        <f t="shared" si="64"/>
        <v>22.563029296705988</v>
      </c>
      <c r="Q161" s="227">
        <f t="shared" si="65"/>
        <v>339.44485991633542</v>
      </c>
      <c r="R161" s="227" t="str">
        <f t="shared" si="51"/>
        <v>0.0945666666666667+0.0100241362951926i</v>
      </c>
      <c r="S161" s="227" t="str">
        <f t="shared" si="52"/>
        <v>0.0085-49.8796091030599i</v>
      </c>
      <c r="T161" s="227" t="str">
        <f t="shared" si="53"/>
        <v>19.4872175411656-9.37567215835267i</v>
      </c>
      <c r="U161" s="227" t="str">
        <f t="shared" si="54"/>
        <v>96.1512356091814-5.73945641523i</v>
      </c>
      <c r="V161" s="227">
        <f t="shared" si="66"/>
        <v>39.674544369506144</v>
      </c>
      <c r="W161" s="227">
        <f t="shared" si="67"/>
        <v>-3.416044375892195</v>
      </c>
      <c r="X161" s="227" t="str">
        <f t="shared" si="55"/>
        <v>0.999999180637775-0.000287820152039346i</v>
      </c>
      <c r="Y161" s="227" t="str">
        <f t="shared" si="56"/>
        <v>42.8241415742549+8.10481199832184i</v>
      </c>
      <c r="Z161" s="227" t="str">
        <f t="shared" si="57"/>
        <v>24.0809057631718+4.55032556480887i</v>
      </c>
      <c r="AA161" s="227" t="str">
        <f t="shared" si="58"/>
        <v>30.9649307739361-7.54793933325206i</v>
      </c>
      <c r="AB161" s="227">
        <f t="shared" si="68"/>
        <v>30.06807492796705</v>
      </c>
      <c r="AC161" s="227">
        <f t="shared" si="69"/>
        <v>-13.699131742562635</v>
      </c>
      <c r="AD161" s="229">
        <f t="shared" si="70"/>
        <v>-7.5050456312610621</v>
      </c>
      <c r="AE161" s="229">
        <f t="shared" si="71"/>
        <v>113.41674336140164</v>
      </c>
      <c r="AF161" s="227">
        <f t="shared" si="59"/>
        <v>22.563029296705988</v>
      </c>
      <c r="AG161" s="227">
        <f t="shared" si="60"/>
        <v>99.717611618839015</v>
      </c>
      <c r="AH161" s="229" t="str">
        <f t="shared" si="61"/>
        <v>0.167491641384152-0.386740236617883i</v>
      </c>
    </row>
    <row r="162" spans="9:34" x14ac:dyDescent="0.2">
      <c r="I162" s="227">
        <v>158</v>
      </c>
      <c r="J162" s="227">
        <f t="shared" si="49"/>
        <v>2.5405193592317774</v>
      </c>
      <c r="K162" s="227">
        <f t="shared" si="72"/>
        <v>347.15175027590294</v>
      </c>
      <c r="L162" s="227">
        <f t="shared" si="62"/>
        <v>2181.2187766952302</v>
      </c>
      <c r="M162" s="227">
        <f t="shared" si="50"/>
        <v>8463.3918606763255</v>
      </c>
      <c r="N162" s="227">
        <f>SQRT((ABS(AC162)-171.5+'Small Signal'!C$59)^2)</f>
        <v>87.500377109184086</v>
      </c>
      <c r="O162" s="227">
        <f t="shared" si="63"/>
        <v>99.886811907973268</v>
      </c>
      <c r="P162" s="227">
        <f t="shared" si="64"/>
        <v>22.389656737716184</v>
      </c>
      <c r="Q162" s="227">
        <f t="shared" si="65"/>
        <v>347.15175027590294</v>
      </c>
      <c r="R162" s="227" t="str">
        <f t="shared" si="51"/>
        <v>0.0945666666666667+0.0102517282504676i</v>
      </c>
      <c r="S162" s="227" t="str">
        <f t="shared" si="52"/>
        <v>0.0085-48.7722643230612i</v>
      </c>
      <c r="T162" s="227" t="str">
        <f t="shared" si="53"/>
        <v>19.3203951785338-9.50642161234657i</v>
      </c>
      <c r="U162" s="227" t="str">
        <f t="shared" si="54"/>
        <v>96.1570221091233-5.8712085913268i</v>
      </c>
      <c r="V162" s="227">
        <f t="shared" si="66"/>
        <v>39.675781133016393</v>
      </c>
      <c r="W162" s="227">
        <f t="shared" si="67"/>
        <v>-3.4940595526159868</v>
      </c>
      <c r="X162" s="227" t="str">
        <f t="shared" si="55"/>
        <v>0.999999143009154-0.000294354934612245i</v>
      </c>
      <c r="Y162" s="227" t="str">
        <f t="shared" si="56"/>
        <v>42.8508780235955+8.28910362778906i</v>
      </c>
      <c r="Z162" s="227" t="str">
        <f t="shared" si="57"/>
        <v>24.0959987826893+4.65378898187639i</v>
      </c>
      <c r="AA162" s="227" t="str">
        <f t="shared" si="58"/>
        <v>30.8887133719863-7.7012052743146i</v>
      </c>
      <c r="AB162" s="227">
        <f t="shared" si="68"/>
        <v>30.057899750690858</v>
      </c>
      <c r="AC162" s="227">
        <f t="shared" si="69"/>
        <v>-13.999622890815916</v>
      </c>
      <c r="AD162" s="229">
        <f t="shared" si="70"/>
        <v>-7.668243012974675</v>
      </c>
      <c r="AE162" s="229">
        <f t="shared" si="71"/>
        <v>113.88643479878918</v>
      </c>
      <c r="AF162" s="227">
        <f t="shared" si="59"/>
        <v>22.389656737716184</v>
      </c>
      <c r="AG162" s="227">
        <f t="shared" si="60"/>
        <v>99.886811907973268</v>
      </c>
      <c r="AH162" s="229" t="str">
        <f t="shared" si="61"/>
        <v>0.167479851777463-0.378181471439931i</v>
      </c>
    </row>
    <row r="163" spans="9:34" x14ac:dyDescent="0.2">
      <c r="I163" s="227">
        <v>159</v>
      </c>
      <c r="J163" s="227">
        <f t="shared" si="49"/>
        <v>2.5502694817585607</v>
      </c>
      <c r="K163" s="227">
        <f t="shared" si="72"/>
        <v>355.03362092248625</v>
      </c>
      <c r="L163" s="227">
        <f t="shared" si="62"/>
        <v>2230.7420305349324</v>
      </c>
      <c r="M163" s="227">
        <f t="shared" si="50"/>
        <v>8455.3310369210794</v>
      </c>
      <c r="N163" s="227">
        <f>SQRT((ABS(AC163)-171.5+'Small Signal'!C$59)^2)</f>
        <v>87.193765274324306</v>
      </c>
      <c r="O163" s="227">
        <f t="shared" si="63"/>
        <v>100.05698103112718</v>
      </c>
      <c r="P163" s="227">
        <f t="shared" si="64"/>
        <v>22.217055681992775</v>
      </c>
      <c r="Q163" s="227">
        <f t="shared" si="65"/>
        <v>355.03362092248625</v>
      </c>
      <c r="R163" s="227" t="str">
        <f t="shared" si="51"/>
        <v>0.0945666666666667+0.0104844875435142i</v>
      </c>
      <c r="S163" s="227" t="str">
        <f t="shared" si="52"/>
        <v>0.0085-47.6895029847505i</v>
      </c>
      <c r="T163" s="227" t="str">
        <f t="shared" si="53"/>
        <v>19.1489417747971-9.63594375783618i</v>
      </c>
      <c r="U163" s="227" t="str">
        <f t="shared" si="54"/>
        <v>96.1630699325236-6.0060529277571i</v>
      </c>
      <c r="V163" s="227">
        <f t="shared" si="66"/>
        <v>39.677074701531303</v>
      </c>
      <c r="W163" s="227">
        <f t="shared" si="67"/>
        <v>-3.5738779032890293</v>
      </c>
      <c r="X163" s="227" t="str">
        <f t="shared" si="55"/>
        <v>0.999999103652466-0.000301038085473369i</v>
      </c>
      <c r="Y163" s="227" t="str">
        <f t="shared" si="56"/>
        <v>42.8788548176902+8.47759824532786i</v>
      </c>
      <c r="Z163" s="227" t="str">
        <f t="shared" si="57"/>
        <v>24.1117919657139+4.7596116980817i</v>
      </c>
      <c r="AA163" s="227" t="str">
        <f t="shared" si="58"/>
        <v>30.8093773265542-7.85678229790759i</v>
      </c>
      <c r="AB163" s="227">
        <f t="shared" si="68"/>
        <v>30.047282844342575</v>
      </c>
      <c r="AC163" s="227">
        <f t="shared" si="69"/>
        <v>-14.306234725675695</v>
      </c>
      <c r="AD163" s="229">
        <f t="shared" si="70"/>
        <v>-7.8302271623497983</v>
      </c>
      <c r="AE163" s="229">
        <f t="shared" si="71"/>
        <v>114.36321575680287</v>
      </c>
      <c r="AF163" s="227">
        <f t="shared" si="59"/>
        <v>22.217055681992775</v>
      </c>
      <c r="AG163" s="227">
        <f t="shared" si="60"/>
        <v>100.05698103112718</v>
      </c>
      <c r="AH163" s="229" t="str">
        <f t="shared" si="61"/>
        <v>0.167468570910504-0.369813326215327i</v>
      </c>
    </row>
    <row r="164" spans="9:34" x14ac:dyDescent="0.2">
      <c r="I164" s="227">
        <v>160</v>
      </c>
      <c r="J164" s="227">
        <f t="shared" si="49"/>
        <v>2.560019604285344</v>
      </c>
      <c r="K164" s="227">
        <f t="shared" si="72"/>
        <v>363.09444467773227</v>
      </c>
      <c r="L164" s="227">
        <f t="shared" si="62"/>
        <v>2281.3896799176587</v>
      </c>
      <c r="M164" s="227">
        <f t="shared" si="50"/>
        <v>8447.0871970350108</v>
      </c>
      <c r="N164" s="227">
        <f>SQRT((ABS(AC164)-171.5+'Small Signal'!C$59)^2)</f>
        <v>86.880939009657823</v>
      </c>
      <c r="O164" s="227">
        <f t="shared" si="63"/>
        <v>100.22799190718149</v>
      </c>
      <c r="P164" s="227">
        <f t="shared" si="64"/>
        <v>22.045244667564948</v>
      </c>
      <c r="Q164" s="227">
        <f t="shared" si="65"/>
        <v>363.09444467773227</v>
      </c>
      <c r="R164" s="227" t="str">
        <f t="shared" si="51"/>
        <v>0.0945666666666667+0.010722531495613i</v>
      </c>
      <c r="S164" s="227" t="str">
        <f t="shared" si="52"/>
        <v>0.0085-46.6307793271178i</v>
      </c>
      <c r="T164" s="227" t="str">
        <f t="shared" si="53"/>
        <v>18.9728418231446-9.76405454682563i</v>
      </c>
      <c r="U164" s="227" t="str">
        <f t="shared" si="54"/>
        <v>96.169390659555-6.14406669983152i</v>
      </c>
      <c r="V164" s="227">
        <f t="shared" si="66"/>
        <v>39.678427684378377</v>
      </c>
      <c r="W164" s="227">
        <f t="shared" si="67"/>
        <v>-3.6555426036948386</v>
      </c>
      <c r="X164" s="227" t="str">
        <f t="shared" si="55"/>
        <v>0.99999906248835-0.00030787297323502i</v>
      </c>
      <c r="Y164" s="227" t="str">
        <f t="shared" si="56"/>
        <v>42.9081300967244+8.67039252116586i</v>
      </c>
      <c r="Z164" s="227" t="str">
        <f t="shared" si="57"/>
        <v>24.1283181295349+4.86784795659837i</v>
      </c>
      <c r="AA164" s="227" t="str">
        <f t="shared" si="58"/>
        <v>30.7268122103209-8.01465170170179i</v>
      </c>
      <c r="AB164" s="227">
        <f t="shared" si="68"/>
        <v>30.036206187505606</v>
      </c>
      <c r="AC164" s="227">
        <f t="shared" si="69"/>
        <v>-14.619060990342192</v>
      </c>
      <c r="AD164" s="229">
        <f t="shared" si="70"/>
        <v>-7.9909615199406581</v>
      </c>
      <c r="AE164" s="229">
        <f t="shared" si="71"/>
        <v>114.84705289752368</v>
      </c>
      <c r="AF164" s="227">
        <f t="shared" si="59"/>
        <v>22.045244667564948</v>
      </c>
      <c r="AG164" s="227">
        <f t="shared" si="60"/>
        <v>100.22799190718149</v>
      </c>
      <c r="AH164" s="229" t="str">
        <f t="shared" si="61"/>
        <v>0.167457776036205-0.361631583060652i</v>
      </c>
    </row>
    <row r="165" spans="9:34" x14ac:dyDescent="0.2">
      <c r="I165" s="227">
        <v>161</v>
      </c>
      <c r="J165" s="227">
        <f t="shared" si="49"/>
        <v>2.5697697268121273</v>
      </c>
      <c r="K165" s="227">
        <f t="shared" si="72"/>
        <v>371.33828456380047</v>
      </c>
      <c r="L165" s="227">
        <f t="shared" si="62"/>
        <v>2333.1872535645434</v>
      </c>
      <c r="M165" s="227">
        <f t="shared" si="50"/>
        <v>8438.656185747499</v>
      </c>
      <c r="N165" s="227">
        <f>SQRT((ABS(AC165)-171.5+'Small Signal'!C$59)^2)</f>
        <v>86.56180518903443</v>
      </c>
      <c r="O165" s="227">
        <f t="shared" si="63"/>
        <v>100.39970929030935</v>
      </c>
      <c r="P165" s="227">
        <f t="shared" si="64"/>
        <v>21.87424195971797</v>
      </c>
      <c r="Q165" s="227">
        <f t="shared" si="65"/>
        <v>371.33828456380047</v>
      </c>
      <c r="R165" s="227" t="str">
        <f t="shared" si="51"/>
        <v>0.0945666666666667+0.0109659800917534i</v>
      </c>
      <c r="S165" s="227" t="str">
        <f t="shared" si="52"/>
        <v>0.0085-45.5955597052388i</v>
      </c>
      <c r="T165" s="227" t="str">
        <f t="shared" si="53"/>
        <v>18.7920885822094-9.89056525769897i</v>
      </c>
      <c r="U165" s="227" t="str">
        <f t="shared" si="54"/>
        <v>96.1759963617987-6.28532943540062i</v>
      </c>
      <c r="V165" s="227">
        <f t="shared" si="66"/>
        <v>39.679842810756845</v>
      </c>
      <c r="W165" s="227">
        <f t="shared" si="67"/>
        <v>-3.7390979673639659</v>
      </c>
      <c r="X165" s="227" t="str">
        <f t="shared" si="55"/>
        <v>0.999999019433802-0.000314863042991801i</v>
      </c>
      <c r="Y165" s="227" t="str">
        <f t="shared" si="56"/>
        <v>42.9387647822789+8.867585399452i</v>
      </c>
      <c r="Z165" s="227" t="str">
        <f t="shared" si="57"/>
        <v>24.1456116611858+4.97855327501146i</v>
      </c>
      <c r="AA165" s="227" t="str">
        <f t="shared" si="58"/>
        <v>30.6409051997635-8.17479049747134i</v>
      </c>
      <c r="AB165" s="227">
        <f t="shared" si="68"/>
        <v>30.024651125377744</v>
      </c>
      <c r="AC165" s="227">
        <f t="shared" si="69"/>
        <v>-14.938194810965577</v>
      </c>
      <c r="AD165" s="229">
        <f t="shared" si="70"/>
        <v>-8.1504091656597737</v>
      </c>
      <c r="AE165" s="229">
        <f t="shared" si="71"/>
        <v>115.33790410127492</v>
      </c>
      <c r="AF165" s="227">
        <f t="shared" si="59"/>
        <v>21.87424195971797</v>
      </c>
      <c r="AG165" s="227">
        <f t="shared" si="60"/>
        <v>100.39970929030935</v>
      </c>
      <c r="AH165" s="229" t="str">
        <f t="shared" si="61"/>
        <v>0.167447445387466-0.353632118044523i</v>
      </c>
    </row>
    <row r="166" spans="9:34" x14ac:dyDescent="0.2">
      <c r="I166" s="227">
        <v>162</v>
      </c>
      <c r="J166" s="227">
        <f t="shared" si="49"/>
        <v>2.5795198493389107</v>
      </c>
      <c r="K166" s="227">
        <f t="shared" si="72"/>
        <v>379.76929585131342</v>
      </c>
      <c r="L166" s="227">
        <f t="shared" si="62"/>
        <v>2386.1608598109096</v>
      </c>
      <c r="M166" s="227">
        <f t="shared" si="50"/>
        <v>8430.03375344501</v>
      </c>
      <c r="N166" s="227">
        <f>SQRT((ABS(AC166)-171.5+'Small Signal'!C$59)^2)</f>
        <v>86.236271465354264</v>
      </c>
      <c r="O166" s="227">
        <f t="shared" si="63"/>
        <v>100.57198961623406</v>
      </c>
      <c r="P166" s="227">
        <f t="shared" si="64"/>
        <v>21.704065482712632</v>
      </c>
      <c r="Q166" s="227">
        <f t="shared" si="65"/>
        <v>379.76929585131342</v>
      </c>
      <c r="R166" s="227" t="str">
        <f t="shared" si="51"/>
        <v>0.0945666666666667+0.0112149560411113i</v>
      </c>
      <c r="S166" s="227" t="str">
        <f t="shared" si="52"/>
        <v>0.0085-44.5833223212933i</v>
      </c>
      <c r="T166" s="227" t="str">
        <f t="shared" si="53"/>
        <v>18.6066845742584-10.0152829208922i</v>
      </c>
      <c r="U166" s="227" t="str">
        <f t="shared" si="54"/>
        <v>96.1828996208971-6.4299230013493i</v>
      </c>
      <c r="V166" s="227">
        <f t="shared" si="66"/>
        <v>39.681322935244573</v>
      </c>
      <c r="W166" s="227">
        <f t="shared" si="67"/>
        <v>-3.8245894825789066</v>
      </c>
      <c r="X166" s="227" t="str">
        <f t="shared" si="55"/>
        <v>0.999998974402005-0.000322011818057111i</v>
      </c>
      <c r="Y166" s="227" t="str">
        <f t="shared" si="56"/>
        <v>42.970822715617+9.06927815447737i</v>
      </c>
      <c r="Z166" s="227" t="str">
        <f t="shared" si="57"/>
        <v>24.1637085954697+5.09178447671874i</v>
      </c>
      <c r="AA166" s="227" t="str">
        <f t="shared" si="58"/>
        <v>30.5515411642257-8.33717115649506i</v>
      </c>
      <c r="AB166" s="227">
        <f t="shared" si="68"/>
        <v>30.012598356475777</v>
      </c>
      <c r="AC166" s="227">
        <f t="shared" si="69"/>
        <v>-15.263728534645734</v>
      </c>
      <c r="AD166" s="229">
        <f t="shared" si="70"/>
        <v>-8.308532873763145</v>
      </c>
      <c r="AE166" s="229">
        <f t="shared" si="71"/>
        <v>115.8357181508798</v>
      </c>
      <c r="AF166" s="227">
        <f t="shared" si="59"/>
        <v>21.704065482712632</v>
      </c>
      <c r="AG166" s="227">
        <f t="shared" si="60"/>
        <v>100.57198961623406</v>
      </c>
      <c r="AH166" s="229" t="str">
        <f t="shared" si="61"/>
        <v>0.167437558133261-0.345810899109113i</v>
      </c>
    </row>
    <row r="167" spans="9:34" x14ac:dyDescent="0.2">
      <c r="I167" s="227">
        <v>163</v>
      </c>
      <c r="J167" s="227">
        <f t="shared" si="49"/>
        <v>2.5892699718656944</v>
      </c>
      <c r="K167" s="227">
        <f t="shared" si="72"/>
        <v>388.39172815380175</v>
      </c>
      <c r="L167" s="227">
        <f t="shared" si="62"/>
        <v>2440.3371997660552</v>
      </c>
      <c r="M167" s="227">
        <f t="shared" si="50"/>
        <v>8421.2155540291114</v>
      </c>
      <c r="N167" s="227">
        <f>SQRT((ABS(AC167)-171.5+'Small Signal'!C$59)^2)</f>
        <v>85.904246442169722</v>
      </c>
      <c r="O167" s="227">
        <f t="shared" si="63"/>
        <v>100.74468087108849</v>
      </c>
      <c r="P167" s="227">
        <f t="shared" si="64"/>
        <v>21.534732747794806</v>
      </c>
      <c r="Q167" s="227">
        <f t="shared" si="65"/>
        <v>388.39172815380175</v>
      </c>
      <c r="R167" s="227" t="str">
        <f t="shared" si="51"/>
        <v>0.0945666666666667+0.0114695848389005i</v>
      </c>
      <c r="S167" s="227" t="str">
        <f t="shared" si="52"/>
        <v>0.0085-43.5935569615555i</v>
      </c>
      <c r="T167" s="227" t="str">
        <f t="shared" si="53"/>
        <v>18.4166420655735-10.1380107941426i</v>
      </c>
      <c r="U167" s="227" t="str">
        <f t="shared" si="54"/>
        <v>96.1901135476662-6.57793169459457i</v>
      </c>
      <c r="V167" s="227">
        <f t="shared" si="66"/>
        <v>39.682871043556808</v>
      </c>
      <c r="W167" s="227">
        <f t="shared" si="67"/>
        <v>-3.9120638510218129</v>
      </c>
      <c r="X167" s="227" t="str">
        <f t="shared" si="55"/>
        <v>0.999998927302155-0.000329322901739046i</v>
      </c>
      <c r="Y167" s="227" t="str">
        <f t="shared" si="56"/>
        <v>43.0043708033276+9.27557444837754i</v>
      </c>
      <c r="Z167" s="227" t="str">
        <f t="shared" si="57"/>
        <v>24.1826466971333+5.20759972315156i</v>
      </c>
      <c r="AA167" s="227" t="str">
        <f t="shared" si="58"/>
        <v>30.4586027713737-8.50176134869209i</v>
      </c>
      <c r="AB167" s="227">
        <f t="shared" si="68"/>
        <v>30.000027919896656</v>
      </c>
      <c r="AC167" s="227">
        <f t="shared" si="69"/>
        <v>-15.595753557830273</v>
      </c>
      <c r="AD167" s="229">
        <f t="shared" si="70"/>
        <v>-8.4652951721018521</v>
      </c>
      <c r="AE167" s="229">
        <f t="shared" si="71"/>
        <v>116.34043442891877</v>
      </c>
      <c r="AF167" s="227">
        <f t="shared" si="59"/>
        <v>21.534732747794806</v>
      </c>
      <c r="AG167" s="227">
        <f t="shared" si="60"/>
        <v>100.74468087108849</v>
      </c>
      <c r="AH167" s="229" t="str">
        <f t="shared" si="61"/>
        <v>0.167428094336647-0.338163984037987i</v>
      </c>
    </row>
    <row r="168" spans="9:34" x14ac:dyDescent="0.2">
      <c r="I168" s="227">
        <v>164</v>
      </c>
      <c r="J168" s="227">
        <f t="shared" si="49"/>
        <v>2.5990200943924777</v>
      </c>
      <c r="K168" s="227">
        <f t="shared" si="72"/>
        <v>397.20992756970054</v>
      </c>
      <c r="L168" s="227">
        <f t="shared" si="62"/>
        <v>2495.7435807718102</v>
      </c>
      <c r="M168" s="227">
        <f t="shared" si="50"/>
        <v>8412.1971427258268</v>
      </c>
      <c r="N168" s="227">
        <f>SQRT((ABS(AC168)-171.5+'Small Signal'!C$59)^2)</f>
        <v>85.565639855105104</v>
      </c>
      <c r="O168" s="227">
        <f t="shared" si="63"/>
        <v>100.91762248553081</v>
      </c>
      <c r="P168" s="227">
        <f t="shared" si="64"/>
        <v>21.366260777601717</v>
      </c>
      <c r="Q168" s="227">
        <f t="shared" si="65"/>
        <v>397.20992756970054</v>
      </c>
      <c r="R168" s="227" t="str">
        <f t="shared" si="51"/>
        <v>0.0945666666666667+0.0117299948296275i</v>
      </c>
      <c r="S168" s="227" t="str">
        <f t="shared" si="52"/>
        <v>0.0085-42.6257647392227i</v>
      </c>
      <c r="T168" s="227" t="str">
        <f t="shared" si="53"/>
        <v>18.2219835240807-10.2585488873476i</v>
      </c>
      <c r="U168" s="227" t="str">
        <f t="shared" si="54"/>
        <v>96.1976518016705-6.72944233787621i</v>
      </c>
      <c r="V168" s="227">
        <f t="shared" si="66"/>
        <v>39.684490258569987</v>
      </c>
      <c r="W168" s="227">
        <f t="shared" si="67"/>
        <v>-4.0015690281610148</v>
      </c>
      <c r="X168" s="227" t="str">
        <f t="shared" si="55"/>
        <v>0.999998878039278-0.000336799979156636i</v>
      </c>
      <c r="Y168" s="227" t="str">
        <f t="shared" si="56"/>
        <v>43.0394791707607+9.48658039035591i</v>
      </c>
      <c r="Z168" s="227" t="str">
        <f t="shared" si="57"/>
        <v>24.2024655474354+5.32605854683672i</v>
      </c>
      <c r="AA168" s="227" t="str">
        <f t="shared" si="58"/>
        <v>30.3619706102199-8.66852367616458i</v>
      </c>
      <c r="AB168" s="227">
        <f t="shared" si="68"/>
        <v>29.986919183233788</v>
      </c>
      <c r="AC168" s="227">
        <f t="shared" si="69"/>
        <v>-15.934360144894903</v>
      </c>
      <c r="AD168" s="229">
        <f t="shared" si="70"/>
        <v>-8.6206584056320708</v>
      </c>
      <c r="AE168" s="229">
        <f t="shared" si="71"/>
        <v>116.85198263042571</v>
      </c>
      <c r="AF168" s="227">
        <f t="shared" si="59"/>
        <v>21.366260777601717</v>
      </c>
      <c r="AG168" s="227">
        <f t="shared" si="60"/>
        <v>100.91762248553081</v>
      </c>
      <c r="AH168" s="229" t="str">
        <f t="shared" si="61"/>
        <v>0.167419034914544-0.330687518469189i</v>
      </c>
    </row>
    <row r="169" spans="9:34" x14ac:dyDescent="0.2">
      <c r="I169" s="227">
        <v>165</v>
      </c>
      <c r="J169" s="227">
        <f t="shared" si="49"/>
        <v>2.608770216919261</v>
      </c>
      <c r="K169" s="227">
        <f t="shared" si="72"/>
        <v>406.22833887298515</v>
      </c>
      <c r="L169" s="227">
        <f t="shared" si="62"/>
        <v>2552.4079301667102</v>
      </c>
      <c r="M169" s="227">
        <f t="shared" si="50"/>
        <v>8402.9739738452754</v>
      </c>
      <c r="N169" s="227">
        <f>SQRT((ABS(AC169)-171.5+'Small Signal'!C$59)^2)</f>
        <v>85.220362763291376</v>
      </c>
      <c r="O169" s="227">
        <f t="shared" si="63"/>
        <v>101.09064525684693</v>
      </c>
      <c r="P169" s="227">
        <f t="shared" si="64"/>
        <v>21.198666027110974</v>
      </c>
      <c r="Q169" s="227">
        <f t="shared" si="65"/>
        <v>406.22833887298515</v>
      </c>
      <c r="R169" s="227" t="str">
        <f t="shared" si="51"/>
        <v>0.0945666666666667+0.0119963172717835i</v>
      </c>
      <c r="S169" s="227" t="str">
        <f t="shared" si="52"/>
        <v>0.0085-41.6794578429537i</v>
      </c>
      <c r="T169" s="227" t="str">
        <f t="shared" si="53"/>
        <v>18.0227420490994-10.376694536561i</v>
      </c>
      <c r="U169" s="227" t="str">
        <f t="shared" si="54"/>
        <v>96.2055286112221-6.88454438064828i</v>
      </c>
      <c r="V169" s="227">
        <f t="shared" si="66"/>
        <v>39.686183846621283</v>
      </c>
      <c r="W169" s="227">
        <f t="shared" si="67"/>
        <v>-4.093154265479126</v>
      </c>
      <c r="X169" s="227" t="str">
        <f t="shared" si="55"/>
        <v>0.999998826514039-0.00034444681909731i</v>
      </c>
      <c r="Y169" s="227" t="str">
        <f t="shared" si="56"/>
        <v>43.0762213237119+9.7024045974577i</v>
      </c>
      <c r="Z169" s="227" t="str">
        <f t="shared" si="57"/>
        <v>24.223206635368+5.447221885315i</v>
      </c>
      <c r="AA169" s="227" t="str">
        <f t="shared" si="58"/>
        <v>30.261523332911-8.83741540193191i</v>
      </c>
      <c r="AB169" s="227">
        <f t="shared" si="68"/>
        <v>29.973250831251899</v>
      </c>
      <c r="AC169" s="227">
        <f t="shared" si="69"/>
        <v>-16.279637236708631</v>
      </c>
      <c r="AD169" s="229">
        <f t="shared" si="70"/>
        <v>-8.7745848041409236</v>
      </c>
      <c r="AE169" s="229">
        <f t="shared" si="71"/>
        <v>117.37028249355555</v>
      </c>
      <c r="AF169" s="227">
        <f t="shared" si="59"/>
        <v>21.198666027110974</v>
      </c>
      <c r="AG169" s="227">
        <f t="shared" si="60"/>
        <v>101.09064525684693</v>
      </c>
      <c r="AH169" s="229" t="str">
        <f t="shared" si="61"/>
        <v>0.167410361599274-0.323377733952619i</v>
      </c>
    </row>
    <row r="170" spans="9:34" x14ac:dyDescent="0.2">
      <c r="I170" s="227">
        <v>166</v>
      </c>
      <c r="J170" s="227">
        <f t="shared" si="49"/>
        <v>2.6185203394460448</v>
      </c>
      <c r="K170" s="227">
        <f t="shared" si="72"/>
        <v>415.45150775353579</v>
      </c>
      <c r="L170" s="227">
        <f t="shared" si="62"/>
        <v>2610.3588093626222</v>
      </c>
      <c r="M170" s="227">
        <f t="shared" si="50"/>
        <v>8393.541398490439</v>
      </c>
      <c r="N170" s="227">
        <f>SQRT((ABS(AC170)-171.5+'Small Signal'!C$59)^2)</f>
        <v>84.868327750976334</v>
      </c>
      <c r="O170" s="227">
        <f t="shared" si="63"/>
        <v>101.26357130178273</v>
      </c>
      <c r="P170" s="227">
        <f t="shared" si="64"/>
        <v>21.031964301316311</v>
      </c>
      <c r="Q170" s="227">
        <f t="shared" si="65"/>
        <v>415.45150775353579</v>
      </c>
      <c r="R170" s="227" t="str">
        <f t="shared" si="51"/>
        <v>0.0945666666666667+0.0122686864040043i</v>
      </c>
      <c r="S170" s="227" t="str">
        <f t="shared" si="52"/>
        <v>0.0085-40.7541592909904i</v>
      </c>
      <c r="T170" s="227" t="str">
        <f t="shared" si="53"/>
        <v>17.818961767956-10.4922430261125i</v>
      </c>
      <c r="U170" s="227" t="str">
        <f t="shared" si="54"/>
        <v>96.2137587937832-7.04333000540325i</v>
      </c>
      <c r="V170" s="227">
        <f t="shared" si="66"/>
        <v>39.687955224097017</v>
      </c>
      <c r="W170" s="227">
        <f t="shared" si="67"/>
        <v>-4.1868701546527287</v>
      </c>
      <c r="X170" s="227" t="str">
        <f t="shared" si="55"/>
        <v>0.99999877262254-0.000352267275916538i</v>
      </c>
      <c r="Y170" s="227" t="str">
        <f t="shared" si="56"/>
        <v>43.1146743188577+9.92315825692812i</v>
      </c>
      <c r="Z170" s="227" t="str">
        <f t="shared" si="57"/>
        <v>24.2449134538109+5.57115211593402i</v>
      </c>
      <c r="AA170" s="227" t="str">
        <f t="shared" si="58"/>
        <v>30.1571378164876-9.0083881747708i</v>
      </c>
      <c r="AB170" s="227">
        <f t="shared" si="68"/>
        <v>29.959000855430361</v>
      </c>
      <c r="AC170" s="227">
        <f t="shared" si="69"/>
        <v>-16.631672249023666</v>
      </c>
      <c r="AD170" s="229">
        <f t="shared" si="70"/>
        <v>-8.9270365541140499</v>
      </c>
      <c r="AE170" s="229">
        <f t="shared" si="71"/>
        <v>117.8952435508064</v>
      </c>
      <c r="AF170" s="227">
        <f t="shared" si="59"/>
        <v>21.031964301316311</v>
      </c>
      <c r="AG170" s="227">
        <f t="shared" si="60"/>
        <v>101.26357130178273</v>
      </c>
      <c r="AH170" s="229" t="str">
        <f t="shared" si="61"/>
        <v>0.167402056901714-0.316230946050689i</v>
      </c>
    </row>
    <row r="171" spans="9:34" x14ac:dyDescent="0.2">
      <c r="I171" s="227">
        <v>167</v>
      </c>
      <c r="J171" s="227">
        <f t="shared" si="49"/>
        <v>2.6282704619728277</v>
      </c>
      <c r="K171" s="227">
        <f t="shared" si="72"/>
        <v>424.88408310837343</v>
      </c>
      <c r="L171" s="227">
        <f t="shared" si="62"/>
        <v>2669.6254282410023</v>
      </c>
      <c r="M171" s="227">
        <f t="shared" si="50"/>
        <v>8383.8946622138938</v>
      </c>
      <c r="N171" s="227">
        <f>SQRT((ABS(AC171)-171.5+'Small Signal'!C$59)^2)</f>
        <v>84.509449139436072</v>
      </c>
      <c r="O171" s="227">
        <f t="shared" si="63"/>
        <v>101.43621404287352</v>
      </c>
      <c r="P171" s="227">
        <f t="shared" si="64"/>
        <v>20.866170669860711</v>
      </c>
      <c r="Q171" s="227">
        <f t="shared" si="65"/>
        <v>424.88408310837343</v>
      </c>
      <c r="R171" s="227" t="str">
        <f t="shared" si="51"/>
        <v>0.0945666666666667+0.0125472395127327i</v>
      </c>
      <c r="S171" s="227" t="str">
        <f t="shared" si="52"/>
        <v>0.0085-39.849402690736i</v>
      </c>
      <c r="T171" s="227" t="str">
        <f t="shared" si="53"/>
        <v>17.6106981941396-10.604988257258i</v>
      </c>
      <c r="U171" s="227" t="str">
        <f t="shared" si="54"/>
        <v>96.2223577767422-7.20589423978339i</v>
      </c>
      <c r="V171" s="227">
        <f t="shared" si="66"/>
        <v>39.689807964323627</v>
      </c>
      <c r="W171" s="227">
        <f t="shared" si="67"/>
        <v>-4.2827686738007591</v>
      </c>
      <c r="X171" s="227" t="str">
        <f t="shared" si="55"/>
        <v>0.999998716256113-0.000360265291480601i</v>
      </c>
      <c r="Y171" s="227" t="str">
        <f t="shared" si="56"/>
        <v>43.1549189434683+10.1489551901862i</v>
      </c>
      <c r="Z171" s="227" t="str">
        <f t="shared" si="57"/>
        <v>24.2676316009195+5.69791309153206i</v>
      </c>
      <c r="AA171" s="227" t="str">
        <f t="shared" si="58"/>
        <v>30.0486893458282-9.1813877512112i</v>
      </c>
      <c r="AB171" s="227">
        <f t="shared" si="68"/>
        <v>29.944146544492639</v>
      </c>
      <c r="AC171" s="227">
        <f t="shared" si="69"/>
        <v>-16.990550860563939</v>
      </c>
      <c r="AD171" s="229">
        <f t="shared" si="70"/>
        <v>-9.0779758746319281</v>
      </c>
      <c r="AE171" s="229">
        <f t="shared" si="71"/>
        <v>118.42676490343746</v>
      </c>
      <c r="AF171" s="227">
        <f t="shared" si="59"/>
        <v>20.866170669860711</v>
      </c>
      <c r="AG171" s="227">
        <f t="shared" si="60"/>
        <v>101.43621404287352</v>
      </c>
      <c r="AH171" s="229" t="str">
        <f t="shared" si="61"/>
        <v>0.167394104076038-0.309243552481324i</v>
      </c>
    </row>
    <row r="172" spans="9:34" x14ac:dyDescent="0.2">
      <c r="I172" s="227">
        <v>168</v>
      </c>
      <c r="J172" s="227">
        <f t="shared" si="49"/>
        <v>2.6380205844996114</v>
      </c>
      <c r="K172" s="227">
        <f t="shared" si="72"/>
        <v>434.53081938491835</v>
      </c>
      <c r="L172" s="227">
        <f t="shared" si="62"/>
        <v>2730.2376598760256</v>
      </c>
      <c r="M172" s="227">
        <f t="shared" si="50"/>
        <v>8374.0289026213704</v>
      </c>
      <c r="N172" s="227">
        <f>SQRT((ABS(AC172)-171.5+'Small Signal'!C$59)^2)</f>
        <v>84.14364320926947</v>
      </c>
      <c r="O172" s="227">
        <f t="shared" si="63"/>
        <v>101.60837823100711</v>
      </c>
      <c r="P172" s="227">
        <f t="shared" si="64"/>
        <v>20.701299378901851</v>
      </c>
      <c r="Q172" s="227">
        <f t="shared" si="65"/>
        <v>434.53081938491835</v>
      </c>
      <c r="R172" s="227" t="str">
        <f t="shared" si="51"/>
        <v>0.0945666666666667+0.0128321170014173i</v>
      </c>
      <c r="S172" s="227" t="str">
        <f t="shared" si="52"/>
        <v>0.0085-38.9647320036729i</v>
      </c>
      <c r="T172" s="227" t="str">
        <f t="shared" si="53"/>
        <v>17.3980185416647-10.7147234611598i</v>
      </c>
      <c r="U172" s="227" t="str">
        <f t="shared" si="54"/>
        <v>96.2313416185098-7.37233507486014i</v>
      </c>
      <c r="V172" s="227">
        <f t="shared" si="66"/>
        <v>39.691745804773547</v>
      </c>
      <c r="W172" s="227">
        <f t="shared" si="67"/>
        <v>-4.3809032359279723</v>
      </c>
      <c r="X172" s="227" t="str">
        <f t="shared" si="55"/>
        <v>0.999998657301099-0.000368444897153472i</v>
      </c>
      <c r="Y172" s="227" t="str">
        <f t="shared" si="56"/>
        <v>43.1970399049595+10.3799119184405i</v>
      </c>
      <c r="Z172" s="227" t="str">
        <f t="shared" si="57"/>
        <v>24.2914088870586+5.82757017702619i</v>
      </c>
      <c r="AA172" s="227" t="str">
        <f t="shared" si="58"/>
        <v>29.9360518189842-9.35635371588448i</v>
      </c>
      <c r="AB172" s="227">
        <f t="shared" si="68"/>
        <v>29.928664476046979</v>
      </c>
      <c r="AC172" s="227">
        <f t="shared" si="69"/>
        <v>-17.356356790730519</v>
      </c>
      <c r="AD172" s="229">
        <f t="shared" si="70"/>
        <v>-9.22736509714513</v>
      </c>
      <c r="AE172" s="229">
        <f t="shared" si="71"/>
        <v>118.96473502173762</v>
      </c>
      <c r="AF172" s="227">
        <f t="shared" si="59"/>
        <v>20.701299378901851</v>
      </c>
      <c r="AG172" s="227">
        <f t="shared" si="60"/>
        <v>101.60837823100711</v>
      </c>
      <c r="AH172" s="229" t="str">
        <f t="shared" si="61"/>
        <v>0.167386487085943-0.302412031302349i</v>
      </c>
    </row>
    <row r="173" spans="9:34" x14ac:dyDescent="0.2">
      <c r="I173" s="227">
        <v>169</v>
      </c>
      <c r="J173" s="227">
        <f t="shared" si="49"/>
        <v>2.6477707070263943</v>
      </c>
      <c r="K173" s="227">
        <f t="shared" si="72"/>
        <v>444.39657897744132</v>
      </c>
      <c r="L173" s="227">
        <f t="shared" si="62"/>
        <v>2792.226055591932</v>
      </c>
      <c r="M173" s="227">
        <f t="shared" si="50"/>
        <v>8363.9391469208713</v>
      </c>
      <c r="N173" s="227">
        <f>SQRT((ABS(AC173)-171.5+'Small Signal'!C$59)^2)</f>
        <v>83.770828433113735</v>
      </c>
      <c r="O173" s="227">
        <f t="shared" si="63"/>
        <v>101.77986000691577</v>
      </c>
      <c r="P173" s="227">
        <f t="shared" si="64"/>
        <v>20.537363760531463</v>
      </c>
      <c r="Q173" s="227">
        <f t="shared" si="65"/>
        <v>444.39657897744132</v>
      </c>
      <c r="R173" s="227" t="str">
        <f t="shared" si="51"/>
        <v>0.0945666666666667+0.0131234624612821i</v>
      </c>
      <c r="S173" s="227" t="str">
        <f t="shared" si="52"/>
        <v>0.0085-38.0997013154981i</v>
      </c>
      <c r="T173" s="227" t="str">
        <f t="shared" si="53"/>
        <v>17.1810019903814-10.8212419533684i</v>
      </c>
      <c r="U173" s="227" t="str">
        <f t="shared" si="54"/>
        <v>96.2407270299005-7.5427535899899i</v>
      </c>
      <c r="V173" s="227">
        <f t="shared" si="66"/>
        <v>39.693772654601908</v>
      </c>
      <c r="W173" s="227">
        <f t="shared" si="67"/>
        <v>-4.4813287396976049</v>
      </c>
      <c r="X173" s="227" t="str">
        <f t="shared" si="55"/>
        <v>0.999998595638618-0.000376810215828804i</v>
      </c>
      <c r="Y173" s="227" t="str">
        <f t="shared" si="56"/>
        <v>43.2411260308962+10.6161477299739i</v>
      </c>
      <c r="Z173" s="227" t="str">
        <f t="shared" si="57"/>
        <v>24.3162954476316+5.96019028691873i</v>
      </c>
      <c r="AA173" s="227" t="str">
        <f t="shared" si="58"/>
        <v>29.8190979760837-9.53321920156916i</v>
      </c>
      <c r="AB173" s="227">
        <f t="shared" si="68"/>
        <v>29.912530509467608</v>
      </c>
      <c r="AC173" s="227">
        <f t="shared" si="69"/>
        <v>-17.729171566886269</v>
      </c>
      <c r="AD173" s="229">
        <f t="shared" si="70"/>
        <v>-9.3751667489361434</v>
      </c>
      <c r="AE173" s="229">
        <f t="shared" si="71"/>
        <v>119.50903157380203</v>
      </c>
      <c r="AF173" s="227">
        <f t="shared" si="59"/>
        <v>20.537363760531463</v>
      </c>
      <c r="AG173" s="227">
        <f t="shared" si="60"/>
        <v>101.77986000691577</v>
      </c>
      <c r="AH173" s="229" t="str">
        <f t="shared" si="61"/>
        <v>0.167379190572323-0.295732939136388i</v>
      </c>
    </row>
    <row r="174" spans="9:34" x14ac:dyDescent="0.2">
      <c r="I174" s="227">
        <v>170</v>
      </c>
      <c r="J174" s="227">
        <f t="shared" si="49"/>
        <v>2.657520829553178</v>
      </c>
      <c r="K174" s="227">
        <f t="shared" si="72"/>
        <v>454.4863346779407</v>
      </c>
      <c r="L174" s="227">
        <f t="shared" si="62"/>
        <v>2855.6218603623411</v>
      </c>
      <c r="M174" s="227">
        <f t="shared" si="50"/>
        <v>8353.6203094161647</v>
      </c>
      <c r="N174" s="227">
        <f>SQRT((ABS(AC174)-171.5+'Small Signal'!C$59)^2)</f>
        <v>83.390925718758126</v>
      </c>
      <c r="O174" s="227">
        <f t="shared" si="63"/>
        <v>101.95044700420108</v>
      </c>
      <c r="P174" s="227">
        <f t="shared" si="64"/>
        <v>20.374376140119832</v>
      </c>
      <c r="Q174" s="227">
        <f t="shared" si="65"/>
        <v>454.4863346779407</v>
      </c>
      <c r="R174" s="227" t="str">
        <f t="shared" si="51"/>
        <v>0.0945666666666667+0.013421422743703i</v>
      </c>
      <c r="S174" s="227" t="str">
        <f t="shared" si="52"/>
        <v>0.0085-37.2538746113625i</v>
      </c>
      <c r="T174" s="227" t="str">
        <f t="shared" si="53"/>
        <v>16.9597398971114-10.924337926334i</v>
      </c>
      <c r="U174" s="227" t="str">
        <f t="shared" si="54"/>
        <v>96.2505313957332-7.71725408468453i</v>
      </c>
      <c r="V174" s="227">
        <f t="shared" si="66"/>
        <v>39.695892602528026</v>
      </c>
      <c r="W174" s="227">
        <f t="shared" si="67"/>
        <v>-4.584101622677867</v>
      </c>
      <c r="X174" s="227" t="str">
        <f t="shared" si="55"/>
        <v>0.999998531144331-0.000385365464008062i</v>
      </c>
      <c r="Y174" s="227" t="str">
        <f t="shared" si="56"/>
        <v>43.2872704800877+10.8577847491189i</v>
      </c>
      <c r="Z174" s="227" t="str">
        <f t="shared" si="57"/>
        <v>24.3423438621615+6.09584192373253i</v>
      </c>
      <c r="AA174" s="227" t="str">
        <f t="shared" si="58"/>
        <v>29.6976996529605-9.71191061044774i</v>
      </c>
      <c r="AB174" s="227">
        <f t="shared" si="68"/>
        <v>29.895719780156472</v>
      </c>
      <c r="AC174" s="227">
        <f t="shared" si="69"/>
        <v>-18.109074281241874</v>
      </c>
      <c r="AD174" s="229">
        <f t="shared" si="70"/>
        <v>-9.5213436400366405</v>
      </c>
      <c r="AE174" s="229">
        <f t="shared" si="71"/>
        <v>120.05952128544295</v>
      </c>
      <c r="AF174" s="227">
        <f t="shared" si="59"/>
        <v>20.374376140119832</v>
      </c>
      <c r="AG174" s="227">
        <f t="shared" si="60"/>
        <v>101.95044700420108</v>
      </c>
      <c r="AH174" s="229" t="str">
        <f t="shared" si="61"/>
        <v>0.167372199822289-0.289202909435316i</v>
      </c>
    </row>
    <row r="175" spans="9:34" x14ac:dyDescent="0.2">
      <c r="I175" s="227">
        <v>171</v>
      </c>
      <c r="J175" s="227">
        <f t="shared" si="49"/>
        <v>2.6672709520799618</v>
      </c>
      <c r="K175" s="227">
        <f t="shared" si="72"/>
        <v>464.80517218264703</v>
      </c>
      <c r="L175" s="227">
        <f t="shared" si="62"/>
        <v>2920.4570285590858</v>
      </c>
      <c r="M175" s="227">
        <f t="shared" si="50"/>
        <v>8343.0671889433597</v>
      </c>
      <c r="N175" s="227">
        <f>SQRT((ABS(AC175)-171.5+'Small Signal'!C$59)^2)</f>
        <v>83.003858662581763</v>
      </c>
      <c r="O175" s="227">
        <f t="shared" si="63"/>
        <v>102.1199184963826</v>
      </c>
      <c r="P175" s="227">
        <f t="shared" si="64"/>
        <v>20.212347742005399</v>
      </c>
      <c r="Q175" s="227">
        <f t="shared" si="65"/>
        <v>464.80517218264703</v>
      </c>
      <c r="R175" s="227" t="str">
        <f t="shared" si="51"/>
        <v>0.0945666666666667+0.0137261480342277i</v>
      </c>
      <c r="S175" s="227" t="str">
        <f t="shared" si="52"/>
        <v>0.0085-36.4268255560987i</v>
      </c>
      <c r="T175" s="227" t="str">
        <f t="shared" si="53"/>
        <v>16.7343359477157-11.0238072758306i</v>
      </c>
      <c r="U175" s="227" t="str">
        <f t="shared" si="54"/>
        <v>96.26077279658-7.8959442179665i</v>
      </c>
      <c r="V175" s="227">
        <f t="shared" si="66"/>
        <v>39.698109925077276</v>
      </c>
      <c r="W175" s="227">
        <f t="shared" si="67"/>
        <v>-4.6892799172167994</v>
      </c>
      <c r="X175" s="227" t="str">
        <f t="shared" si="55"/>
        <v>0.999998463688191-0.000394114953925823i</v>
      </c>
      <c r="Y175" s="227" t="str">
        <f t="shared" si="56"/>
        <v>43.3355709654737+11.104948006942i</v>
      </c>
      <c r="Z175" s="227" t="str">
        <f t="shared" si="57"/>
        <v>24.3696092800211+6.23459521738396i</v>
      </c>
      <c r="AA175" s="227" t="str">
        <f t="shared" si="58"/>
        <v>29.5717280606014-9.89234733824806i</v>
      </c>
      <c r="AB175" s="227">
        <f t="shared" si="68"/>
        <v>29.878206695327712</v>
      </c>
      <c r="AC175" s="227">
        <f t="shared" si="69"/>
        <v>-18.496141337418223</v>
      </c>
      <c r="AD175" s="229">
        <f t="shared" si="70"/>
        <v>-9.6658589533223118</v>
      </c>
      <c r="AE175" s="229">
        <f t="shared" si="71"/>
        <v>120.61605983380082</v>
      </c>
      <c r="AF175" s="227">
        <f t="shared" si="59"/>
        <v>20.212347742005399</v>
      </c>
      <c r="AG175" s="227">
        <f t="shared" si="60"/>
        <v>102.1199184963826</v>
      </c>
      <c r="AH175" s="229" t="str">
        <f t="shared" si="61"/>
        <v>0.167365500739509-0.282818650783469i</v>
      </c>
    </row>
    <row r="176" spans="9:34" x14ac:dyDescent="0.2">
      <c r="I176" s="227">
        <v>172</v>
      </c>
      <c r="J176" s="227">
        <f t="shared" si="49"/>
        <v>2.6770210746067447</v>
      </c>
      <c r="K176" s="227">
        <f t="shared" si="72"/>
        <v>475.35829265545095</v>
      </c>
      <c r="L176" s="227">
        <f t="shared" si="62"/>
        <v>2986.7642400587033</v>
      </c>
      <c r="M176" s="227">
        <f t="shared" si="50"/>
        <v>8332.2744662492842</v>
      </c>
      <c r="N176" s="227">
        <f>SQRT((ABS(AC176)-171.5+'Small Signal'!C$59)^2)</f>
        <v>82.609553813168844</v>
      </c>
      <c r="O176" s="227">
        <f t="shared" si="63"/>
        <v>102.28804559030402</v>
      </c>
      <c r="P176" s="227">
        <f t="shared" si="64"/>
        <v>20.051288593998535</v>
      </c>
      <c r="Q176" s="227">
        <f t="shared" si="65"/>
        <v>475.35829265545095</v>
      </c>
      <c r="R176" s="227" t="str">
        <f t="shared" si="51"/>
        <v>0.0945666666666667+0.0140377919282759i</v>
      </c>
      <c r="S176" s="227" t="str">
        <f t="shared" si="52"/>
        <v>0.0085-35.6181372793299i</v>
      </c>
      <c r="T176" s="227" t="str">
        <f t="shared" si="53"/>
        <v>16.5049062455126-11.1194484565376i</v>
      </c>
      <c r="U176" s="227" t="str">
        <f t="shared" si="54"/>
        <v>96.2714700305914-8.07893515571365i</v>
      </c>
      <c r="V176" s="227">
        <f t="shared" si="66"/>
        <v>39.700429095200242</v>
      </c>
      <c r="W176" s="227">
        <f t="shared" si="67"/>
        <v>-4.7969233091107686</v>
      </c>
      <c r="X176" s="227" t="str">
        <f t="shared" si="55"/>
        <v>0.999998393134177-0.000403063095723347i</v>
      </c>
      <c r="Y176" s="227" t="str">
        <f t="shared" si="56"/>
        <v>43.3861299895409+11.3577655136486i</v>
      </c>
      <c r="Z176" s="227" t="str">
        <f t="shared" si="57"/>
        <v>24.3981495532268+6.37652196549826i</v>
      </c>
      <c r="AA176" s="227" t="str">
        <f t="shared" si="58"/>
        <v>29.4410540914488-10.0744415031228i</v>
      </c>
      <c r="AB176" s="227">
        <f t="shared" si="68"/>
        <v>29.859964931466614</v>
      </c>
      <c r="AC176" s="227">
        <f t="shared" si="69"/>
        <v>-18.890446186831159</v>
      </c>
      <c r="AD176" s="229">
        <f t="shared" si="70"/>
        <v>-9.8086763374680785</v>
      </c>
      <c r="AE176" s="229">
        <f t="shared" si="71"/>
        <v>121.17849177713518</v>
      </c>
      <c r="AF176" s="227">
        <f t="shared" si="59"/>
        <v>20.051288593998535</v>
      </c>
      <c r="AG176" s="227">
        <f t="shared" si="60"/>
        <v>102.28804559030402</v>
      </c>
      <c r="AH176" s="229" t="str">
        <f t="shared" si="61"/>
        <v>0.167359079815784-0.276576945238683i</v>
      </c>
    </row>
    <row r="177" spans="9:34" x14ac:dyDescent="0.2">
      <c r="I177" s="227">
        <v>173</v>
      </c>
      <c r="J177" s="227">
        <f t="shared" si="49"/>
        <v>2.6867711971335284</v>
      </c>
      <c r="K177" s="227">
        <f t="shared" si="72"/>
        <v>486.15101534952782</v>
      </c>
      <c r="L177" s="227">
        <f t="shared" si="62"/>
        <v>3054.5769167145909</v>
      </c>
      <c r="M177" s="227">
        <f t="shared" si="50"/>
        <v>8321.236701310334</v>
      </c>
      <c r="N177" s="227">
        <f>SQRT((ABS(AC177)-171.5+'Small Signal'!C$59)^2)</f>
        <v>82.207940944882239</v>
      </c>
      <c r="O177" s="227">
        <f t="shared" si="63"/>
        <v>102.45459146802799</v>
      </c>
      <c r="P177" s="227">
        <f t="shared" si="64"/>
        <v>19.891207431217623</v>
      </c>
      <c r="Q177" s="227">
        <f t="shared" si="65"/>
        <v>486.15101534952782</v>
      </c>
      <c r="R177" s="227" t="str">
        <f t="shared" si="51"/>
        <v>0.0945666666666667+0.0143565115085586i</v>
      </c>
      <c r="S177" s="227" t="str">
        <f t="shared" si="52"/>
        <v>0.0085-34.8274021653468i</v>
      </c>
      <c r="T177" s="227" t="str">
        <f t="shared" si="53"/>
        <v>16.2715793318583-11.2110633614074i</v>
      </c>
      <c r="U177" s="227" t="str">
        <f t="shared" si="54"/>
        <v>96.2826426353025-8.26634172653771i</v>
      </c>
      <c r="V177" s="227">
        <f t="shared" si="66"/>
        <v>39.702854791285937</v>
      </c>
      <c r="W177" s="227">
        <f t="shared" si="67"/>
        <v>-4.9070931992454749</v>
      </c>
      <c r="X177" s="227" t="str">
        <f t="shared" si="55"/>
        <v>0.99999831934002-0.000412214399671486i</v>
      </c>
      <c r="Y177" s="227" t="str">
        <f t="shared" si="56"/>
        <v>43.439055093074+11.6163683327182i</v>
      </c>
      <c r="Z177" s="227" t="str">
        <f t="shared" si="57"/>
        <v>24.4280253767501+6.52169567467093i</v>
      </c>
      <c r="AA177" s="227" t="str">
        <f t="shared" si="58"/>
        <v>29.3055486535004-10.2580976812966i</v>
      </c>
      <c r="AB177" s="227">
        <f t="shared" si="68"/>
        <v>29.840967433617919</v>
      </c>
      <c r="AC177" s="227">
        <f t="shared" si="69"/>
        <v>-19.292059055117747</v>
      </c>
      <c r="AD177" s="229">
        <f t="shared" si="70"/>
        <v>-9.9497600024002963</v>
      </c>
      <c r="AE177" s="229">
        <f t="shared" si="71"/>
        <v>121.74665052314573</v>
      </c>
      <c r="AF177" s="227">
        <f t="shared" si="59"/>
        <v>19.891207431217623</v>
      </c>
      <c r="AG177" s="227">
        <f t="shared" si="60"/>
        <v>102.45459146802799</v>
      </c>
      <c r="AH177" s="229" t="str">
        <f t="shared" si="61"/>
        <v>0.167352924103804-0.270474646710375i</v>
      </c>
    </row>
    <row r="178" spans="9:34" x14ac:dyDescent="0.2">
      <c r="I178" s="227">
        <v>174</v>
      </c>
      <c r="J178" s="227">
        <f t="shared" si="49"/>
        <v>2.6965213196603117</v>
      </c>
      <c r="K178" s="227">
        <f t="shared" si="72"/>
        <v>497.18878028847678</v>
      </c>
      <c r="L178" s="227">
        <f t="shared" si="62"/>
        <v>3123.9292392030966</v>
      </c>
      <c r="M178" s="227">
        <f t="shared" si="50"/>
        <v>8309.9483305904632</v>
      </c>
      <c r="N178" s="227">
        <f>SQRT((ABS(AC178)-171.5+'Small Signal'!C$59)^2)</f>
        <v>81.798953341103612</v>
      </c>
      <c r="O178" s="227">
        <f t="shared" si="63"/>
        <v>102.61931167912809</v>
      </c>
      <c r="P178" s="227">
        <f t="shared" si="64"/>
        <v>19.732111599824222</v>
      </c>
      <c r="Q178" s="227">
        <f t="shared" si="65"/>
        <v>497.18878028847678</v>
      </c>
      <c r="R178" s="227" t="str">
        <f t="shared" si="51"/>
        <v>0.0945666666666667+0.0146824674242546i</v>
      </c>
      <c r="S178" s="227" t="str">
        <f t="shared" si="52"/>
        <v>0.0085-34.0542216476524i</v>
      </c>
      <c r="T178" s="227" t="str">
        <f t="shared" si="53"/>
        <v>16.0344961351907-11.2984582188579i</v>
      </c>
      <c r="U178" s="227" t="str">
        <f t="shared" si="54"/>
        <v>96.2943109093054-8.45828258677586i</v>
      </c>
      <c r="V178" s="227">
        <f t="shared" si="66"/>
        <v>39.705391906586186</v>
      </c>
      <c r="W178" s="227">
        <f t="shared" si="67"/>
        <v>-5.019852768398434</v>
      </c>
      <c r="X178" s="227" t="str">
        <f t="shared" si="55"/>
        <v>0.999998242156919-0.000421573478444061i</v>
      </c>
      <c r="Y178" s="227" t="str">
        <f t="shared" si="56"/>
        <v>43.4944591180872+11.8808906567651i</v>
      </c>
      <c r="Z178" s="227" t="str">
        <f t="shared" si="57"/>
        <v>24.4593004368227+6.6701916026704i</v>
      </c>
      <c r="AA178" s="227" t="str">
        <f t="shared" si="58"/>
        <v>29.1650830330491-10.4432126516912i</v>
      </c>
      <c r="AB178" s="227">
        <f t="shared" si="68"/>
        <v>29.821186416665483</v>
      </c>
      <c r="AC178" s="227">
        <f t="shared" si="69"/>
        <v>-19.701046658896388</v>
      </c>
      <c r="AD178" s="229">
        <f t="shared" si="70"/>
        <v>-10.08907481684126</v>
      </c>
      <c r="AE178" s="229">
        <f t="shared" si="71"/>
        <v>122.32035833802448</v>
      </c>
      <c r="AF178" s="227">
        <f t="shared" si="59"/>
        <v>19.732111599824222</v>
      </c>
      <c r="AG178" s="227">
        <f t="shared" si="60"/>
        <v>102.61931167912809</v>
      </c>
      <c r="AH178" s="229" t="str">
        <f t="shared" si="61"/>
        <v>0.167347021191046-0.26450867937383i</v>
      </c>
    </row>
    <row r="179" spans="9:34" x14ac:dyDescent="0.2">
      <c r="I179" s="227">
        <v>175</v>
      </c>
      <c r="J179" s="227">
        <f t="shared" si="49"/>
        <v>2.706271442187095</v>
      </c>
      <c r="K179" s="227">
        <f t="shared" si="72"/>
        <v>508.47715100834768</v>
      </c>
      <c r="L179" s="227">
        <f t="shared" si="62"/>
        <v>3194.8561642521859</v>
      </c>
      <c r="M179" s="227">
        <f t="shared" si="50"/>
        <v>8298.4036642368992</v>
      </c>
      <c r="N179" s="227">
        <f>SQRT((ABS(AC179)-171.5+'Small Signal'!C$59)^2)</f>
        <v>81.382528086749801</v>
      </c>
      <c r="O179" s="227">
        <f t="shared" si="63"/>
        <v>102.78195448499159</v>
      </c>
      <c r="P179" s="227">
        <f t="shared" si="64"/>
        <v>19.574006961268346</v>
      </c>
      <c r="Q179" s="227">
        <f t="shared" si="65"/>
        <v>508.47715100834768</v>
      </c>
      <c r="R179" s="227" t="str">
        <f t="shared" si="51"/>
        <v>0.0945666666666667+0.0150158239719853i</v>
      </c>
      <c r="S179" s="227" t="str">
        <f t="shared" si="52"/>
        <v>0.0085-33.2982060080646i</v>
      </c>
      <c r="T179" s="227" t="str">
        <f t="shared" si="53"/>
        <v>15.7938098454003-11.3814445012896i</v>
      </c>
      <c r="U179" s="227" t="str">
        <f t="shared" si="54"/>
        <v>96.3064959336754-8.6548803952262i</v>
      </c>
      <c r="V179" s="227">
        <f t="shared" si="66"/>
        <v>39.708045559070641</v>
      </c>
      <c r="W179" s="227">
        <f t="shared" si="67"/>
        <v>-5.1352670454097353</v>
      </c>
      <c r="X179" s="227" t="str">
        <f t="shared" si="55"/>
        <v>0.99999816142924-0.000431145049442869i</v>
      </c>
      <c r="Y179" s="227" t="str">
        <f t="shared" si="56"/>
        <v>43.5524604858662+12.15146988512i</v>
      </c>
      <c r="Z179" s="227" t="str">
        <f t="shared" si="57"/>
        <v>24.49204156776+6.82208680157723i</v>
      </c>
      <c r="AA179" s="227" t="str">
        <f t="shared" si="58"/>
        <v>29.0195292867678-10.6296751519252i</v>
      </c>
      <c r="AB179" s="227">
        <f t="shared" si="68"/>
        <v>29.800593368767867</v>
      </c>
      <c r="AC179" s="227">
        <f t="shared" si="69"/>
        <v>-20.117471913250213</v>
      </c>
      <c r="AD179" s="229">
        <f t="shared" si="70"/>
        <v>-10.226586407499521</v>
      </c>
      <c r="AE179" s="229">
        <f t="shared" si="71"/>
        <v>122.8994263982418</v>
      </c>
      <c r="AF179" s="227">
        <f t="shared" si="59"/>
        <v>19.574006961268346</v>
      </c>
      <c r="AG179" s="227">
        <f t="shared" si="60"/>
        <v>102.78195448499159</v>
      </c>
      <c r="AH179" s="229" t="str">
        <f t="shared" si="61"/>
        <v>0.167341359174747-0.258676036119907i</v>
      </c>
    </row>
    <row r="180" spans="9:34" x14ac:dyDescent="0.2">
      <c r="I180" s="227">
        <v>176</v>
      </c>
      <c r="J180" s="227">
        <f t="shared" si="49"/>
        <v>2.7160215647138783</v>
      </c>
      <c r="K180" s="227">
        <f t="shared" si="72"/>
        <v>520.02181736191153</v>
      </c>
      <c r="L180" s="227">
        <f t="shared" si="62"/>
        <v>3267.3934422611887</v>
      </c>
      <c r="M180" s="227">
        <f t="shared" si="50"/>
        <v>8286.5968832122035</v>
      </c>
      <c r="N180" s="227">
        <f>SQRT((ABS(AC180)-171.5+'Small Signal'!C$59)^2)</f>
        <v>80.958606369590115</v>
      </c>
      <c r="O180" s="227">
        <f t="shared" si="63"/>
        <v>102.94226125644005</v>
      </c>
      <c r="P180" s="227">
        <f t="shared" si="64"/>
        <v>19.416897797698546</v>
      </c>
      <c r="Q180" s="227">
        <f t="shared" si="65"/>
        <v>520.02181736191153</v>
      </c>
      <c r="R180" s="227" t="str">
        <f t="shared" si="51"/>
        <v>0.0945666666666667+0.0153567491786276i</v>
      </c>
      <c r="S180" s="227" t="str">
        <f t="shared" si="52"/>
        <v>0.0085-32.5589741802818i</v>
      </c>
      <c r="T180" s="227" t="str">
        <f t="shared" si="53"/>
        <v>15.5496857110488-11.4598398379419i</v>
      </c>
      <c r="U180" s="227" t="str">
        <f t="shared" si="54"/>
        <v>96.3192195929998-8.85626199829661i</v>
      </c>
      <c r="V180" s="227">
        <f t="shared" si="66"/>
        <v>39.710821101730971</v>
      </c>
      <c r="W180" s="227">
        <f t="shared" si="67"/>
        <v>-5.2534029789389489</v>
      </c>
      <c r="X180" s="227" t="str">
        <f t="shared" si="55"/>
        <v>0.999998076994201-0.000440933937175461i</v>
      </c>
      <c r="Y180" s="227" t="str">
        <f t="shared" si="56"/>
        <v>43.6131834910984+12.428246703111i</v>
      </c>
      <c r="Z180" s="227" t="str">
        <f t="shared" si="57"/>
        <v>24.5263189178525+6.97746016184541i</v>
      </c>
      <c r="AA180" s="227" t="str">
        <f t="shared" si="58"/>
        <v>28.8687606636982-10.8173656482663i</v>
      </c>
      <c r="AB180" s="227">
        <f t="shared" si="68"/>
        <v>29.779159057119905</v>
      </c>
      <c r="AC180" s="227">
        <f t="shared" si="69"/>
        <v>-20.541393630409893</v>
      </c>
      <c r="AD180" s="229">
        <f t="shared" si="70"/>
        <v>-10.362261259421359</v>
      </c>
      <c r="AE180" s="229">
        <f t="shared" si="71"/>
        <v>123.48365488684993</v>
      </c>
      <c r="AF180" s="227">
        <f t="shared" si="59"/>
        <v>19.416897797698546</v>
      </c>
      <c r="AG180" s="227">
        <f t="shared" si="60"/>
        <v>102.94226125644005</v>
      </c>
      <c r="AH180" s="229" t="str">
        <f t="shared" si="61"/>
        <v>0.167335926637901-0.252973777039345i</v>
      </c>
    </row>
    <row r="181" spans="9:34" x14ac:dyDescent="0.2">
      <c r="I181" s="227">
        <v>177</v>
      </c>
      <c r="J181" s="227">
        <f t="shared" si="49"/>
        <v>2.7257716872406617</v>
      </c>
      <c r="K181" s="227">
        <f t="shared" si="72"/>
        <v>531.82859838660806</v>
      </c>
      <c r="L181" s="227">
        <f t="shared" si="62"/>
        <v>3341.5776353206488</v>
      </c>
      <c r="M181" s="227">
        <f t="shared" si="50"/>
        <v>8274.5220363612061</v>
      </c>
      <c r="N181" s="227">
        <f>SQRT((ABS(AC181)-171.5+'Small Signal'!C$59)^2)</f>
        <v>80.527133789794334</v>
      </c>
      <c r="O181" s="227">
        <f t="shared" si="63"/>
        <v>103.09996692561208</v>
      </c>
      <c r="P181" s="227">
        <f t="shared" si="64"/>
        <v>19.260786719231692</v>
      </c>
      <c r="Q181" s="227">
        <f t="shared" si="65"/>
        <v>531.82859838660806</v>
      </c>
      <c r="R181" s="227" t="str">
        <f t="shared" si="51"/>
        <v>0.0945666666666667+0.015705414886007i</v>
      </c>
      <c r="S181" s="227" t="str">
        <f t="shared" si="52"/>
        <v>0.0085-31.8361535578077i</v>
      </c>
      <c r="T181" s="227" t="str">
        <f t="shared" si="53"/>
        <v>15.3023007576722-11.5334689246881i</v>
      </c>
      <c r="U181" s="227" t="str">
        <f t="shared" si="54"/>
        <v>96.3325045958458-9.06255862629355i</v>
      </c>
      <c r="V181" s="227">
        <f t="shared" si="66"/>
        <v>39.713724133354141</v>
      </c>
      <c r="W181" s="227">
        <f t="shared" si="67"/>
        <v>-5.3743295130457334</v>
      </c>
      <c r="X181" s="227" t="str">
        <f t="shared" si="55"/>
        <v>0.999997988681543-0.000450945075686915i</v>
      </c>
      <c r="Y181" s="227" t="str">
        <f t="shared" si="56"/>
        <v>43.6767586131633+12.7113651630114i</v>
      </c>
      <c r="Z181" s="227" t="str">
        <f t="shared" si="57"/>
        <v>24.5622061249296+7.13639245726477i</v>
      </c>
      <c r="AA181" s="227" t="str">
        <f t="shared" si="58"/>
        <v>28.7126520575169-11.0061561222868i</v>
      </c>
      <c r="AB181" s="227">
        <f t="shared" si="68"/>
        <v>29.756853536210834</v>
      </c>
      <c r="AC181" s="227">
        <f t="shared" si="69"/>
        <v>-20.972866210205673</v>
      </c>
      <c r="AD181" s="229">
        <f t="shared" si="70"/>
        <v>-10.496066816979141</v>
      </c>
      <c r="AE181" s="229">
        <f t="shared" si="71"/>
        <v>124.07283313581775</v>
      </c>
      <c r="AF181" s="227">
        <f t="shared" si="59"/>
        <v>19.260786719231692</v>
      </c>
      <c r="AG181" s="227">
        <f t="shared" si="60"/>
        <v>103.09996692561208</v>
      </c>
      <c r="AH181" s="229" t="str">
        <f t="shared" si="61"/>
        <v>0.167330712626236-0.247399027940973i</v>
      </c>
    </row>
    <row r="182" spans="9:34" x14ac:dyDescent="0.2">
      <c r="I182" s="227">
        <v>178</v>
      </c>
      <c r="J182" s="227">
        <f t="shared" si="49"/>
        <v>2.7355218097674454</v>
      </c>
      <c r="K182" s="227">
        <f t="shared" si="72"/>
        <v>543.90344523760564</v>
      </c>
      <c r="L182" s="227">
        <f t="shared" si="62"/>
        <v>3417.4461356412803</v>
      </c>
      <c r="M182" s="227">
        <f t="shared" si="50"/>
        <v>8262.1730374113613</v>
      </c>
      <c r="N182" s="227">
        <f>SQRT((ABS(AC182)-171.5+'Small Signal'!C$59)^2)</f>
        <v>80.088060677014255</v>
      </c>
      <c r="O182" s="227">
        <f t="shared" si="63"/>
        <v>103.25480049264644</v>
      </c>
      <c r="P182" s="227">
        <f t="shared" si="64"/>
        <v>19.105674573811182</v>
      </c>
      <c r="Q182" s="227">
        <f t="shared" si="65"/>
        <v>543.90344523760564</v>
      </c>
      <c r="R182" s="227" t="str">
        <f t="shared" si="51"/>
        <v>0.0945666666666667+0.016061996837514i</v>
      </c>
      <c r="S182" s="227" t="str">
        <f t="shared" si="52"/>
        <v>0.0085-31.1293798061404i</v>
      </c>
      <c r="T182" s="227" t="str">
        <f t="shared" si="53"/>
        <v>15.0518434262043-11.6021644230376i</v>
      </c>
      <c r="U182" s="227" t="str">
        <f t="shared" si="54"/>
        <v>96.3463744944899-9.27390610163007i</v>
      </c>
      <c r="V182" s="227">
        <f t="shared" si="66"/>
        <v>39.716760509786674</v>
      </c>
      <c r="W182" s="227">
        <f t="shared" si="67"/>
        <v>-5.4981176668474703</v>
      </c>
      <c r="X182" s="227" t="str">
        <f t="shared" si="55"/>
        <v>0.999997896313189-0.000461183511046821i</v>
      </c>
      <c r="Y182" s="227" t="str">
        <f t="shared" si="56"/>
        <v>43.7433228457158+13.0009727666128i</v>
      </c>
      <c r="Z182" s="227" t="str">
        <f t="shared" si="57"/>
        <v>24.5997805022341+7.29896639079856i</v>
      </c>
      <c r="AA182" s="227" t="str">
        <f t="shared" si="58"/>
        <v>28.5510804892509-11.1959098771596i</v>
      </c>
      <c r="AB182" s="227">
        <f t="shared" si="68"/>
        <v>29.733646158753633</v>
      </c>
      <c r="AC182" s="227">
        <f t="shared" si="69"/>
        <v>-21.411939322985752</v>
      </c>
      <c r="AD182" s="229">
        <f t="shared" si="70"/>
        <v>-10.627971584942451</v>
      </c>
      <c r="AE182" s="229">
        <f t="shared" si="71"/>
        <v>124.66673981563218</v>
      </c>
      <c r="AF182" s="227">
        <f t="shared" si="59"/>
        <v>19.105674573811182</v>
      </c>
      <c r="AG182" s="227">
        <f t="shared" si="60"/>
        <v>103.25480049264644</v>
      </c>
      <c r="AH182" s="229" t="str">
        <f t="shared" si="61"/>
        <v>0.167325706626128-0.241948978903003i</v>
      </c>
    </row>
    <row r="183" spans="9:34" x14ac:dyDescent="0.2">
      <c r="I183" s="227">
        <v>179</v>
      </c>
      <c r="J183" s="227">
        <f t="shared" si="49"/>
        <v>2.7452719322942287</v>
      </c>
      <c r="K183" s="227">
        <f t="shared" si="72"/>
        <v>556.25244418745012</v>
      </c>
      <c r="L183" s="227">
        <f t="shared" si="62"/>
        <v>3495.0371844013193</v>
      </c>
      <c r="M183" s="227">
        <f t="shared" si="50"/>
        <v>8249.5436619049815</v>
      </c>
      <c r="N183" s="227">
        <f>SQRT((ABS(AC183)-171.5+'Small Signal'!C$59)^2)</f>
        <v>79.641342414213426</v>
      </c>
      <c r="O183" s="227">
        <f t="shared" si="63"/>
        <v>103.4064855872759</v>
      </c>
      <c r="P183" s="227">
        <f t="shared" si="64"/>
        <v>18.95156036041341</v>
      </c>
      <c r="Q183" s="227">
        <f t="shared" si="65"/>
        <v>556.25244418745012</v>
      </c>
      <c r="R183" s="227" t="str">
        <f t="shared" si="51"/>
        <v>0.0945666666666667+0.0164266747666862i</v>
      </c>
      <c r="S183" s="227" t="str">
        <f t="shared" si="52"/>
        <v>0.0085-30.4382966791316i</v>
      </c>
      <c r="T183" s="227" t="str">
        <f t="shared" si="53"/>
        <v>14.7985131313986-11.6657678403742i</v>
      </c>
      <c r="U183" s="227" t="str">
        <f t="shared" si="54"/>
        <v>96.3608537036819-9.49044505979023i</v>
      </c>
      <c r="V183" s="227">
        <f t="shared" si="66"/>
        <v>39.719936355710203</v>
      </c>
      <c r="W183" s="227">
        <f t="shared" si="67"/>
        <v>-5.6248406185268189</v>
      </c>
      <c r="X183" s="227" t="str">
        <f t="shared" si="55"/>
        <v>0.999997799702886-0.000471654403892729i</v>
      </c>
      <c r="Y183" s="227" t="str">
        <f t="shared" si="56"/>
        <v>43.8130200458021+13.2972205493579i</v>
      </c>
      <c r="Z183" s="227" t="str">
        <f t="shared" si="57"/>
        <v>24.6391232353042+7.46526664125616i</v>
      </c>
      <c r="AA183" s="227" t="str">
        <f t="shared" si="58"/>
        <v>28.3839256203773-11.38648136668i</v>
      </c>
      <c r="AB183" s="227">
        <f t="shared" si="68"/>
        <v>29.709505589458395</v>
      </c>
      <c r="AC183" s="227">
        <f t="shared" si="69"/>
        <v>-21.858657585786563</v>
      </c>
      <c r="AD183" s="229">
        <f t="shared" si="70"/>
        <v>-10.757945229044983</v>
      </c>
      <c r="AE183" s="229">
        <f t="shared" si="71"/>
        <v>125.26514317306246</v>
      </c>
      <c r="AF183" s="227">
        <f t="shared" si="59"/>
        <v>18.95156036041341</v>
      </c>
      <c r="AG183" s="227">
        <f t="shared" si="60"/>
        <v>103.4064855872759</v>
      </c>
      <c r="AH183" s="229" t="str">
        <f t="shared" si="61"/>
        <v>0.167320898543407-0.236620882856743i</v>
      </c>
    </row>
    <row r="184" spans="9:34" x14ac:dyDescent="0.2">
      <c r="I184" s="227">
        <v>180</v>
      </c>
      <c r="J184" s="227">
        <f t="shared" si="49"/>
        <v>2.755022054821012</v>
      </c>
      <c r="K184" s="227">
        <f t="shared" si="72"/>
        <v>568.88181969383027</v>
      </c>
      <c r="L184" s="227">
        <f t="shared" si="62"/>
        <v>3574.3898910218609</v>
      </c>
      <c r="M184" s="227">
        <f t="shared" si="50"/>
        <v>8236.6275440618301</v>
      </c>
      <c r="N184" s="227">
        <f>SQRT((ABS(AC184)-171.5+'Small Signal'!C$59)^2)</f>
        <v>79.18693976732186</v>
      </c>
      <c r="O184" s="227">
        <f t="shared" si="63"/>
        <v>103.55474108496368</v>
      </c>
      <c r="P184" s="227">
        <f t="shared" si="64"/>
        <v>18.798441146383698</v>
      </c>
      <c r="Q184" s="227">
        <f t="shared" si="65"/>
        <v>568.88181969383027</v>
      </c>
      <c r="R184" s="227" t="str">
        <f t="shared" si="51"/>
        <v>0.0945666666666667+0.0167996324878027i</v>
      </c>
      <c r="S184" s="227" t="str">
        <f t="shared" si="52"/>
        <v>0.0085-29.7625558394222i</v>
      </c>
      <c r="T184" s="227" t="str">
        <f t="shared" si="53"/>
        <v>14.542519741023-11.7241303833241i</v>
      </c>
      <c r="U184" s="227" t="str">
        <f t="shared" si="54"/>
        <v>96.37596751821-9.71232118395436i</v>
      </c>
      <c r="V184" s="227">
        <f t="shared" si="66"/>
        <v>39.723258076951922</v>
      </c>
      <c r="W184" s="227">
        <f t="shared" si="67"/>
        <v>-5.754573793983238</v>
      </c>
      <c r="X184" s="227" t="str">
        <f t="shared" si="55"/>
        <v>0.999997698655824-0.000482363032031344i</v>
      </c>
      <c r="Y184" s="227" t="str">
        <f t="shared" si="56"/>
        <v>43.8860013038234+13.6002631659539i</v>
      </c>
      <c r="Z184" s="227" t="str">
        <f t="shared" si="57"/>
        <v>24.6803195906053+7.63537991075327i</v>
      </c>
      <c r="AA184" s="227" t="str">
        <f t="shared" si="58"/>
        <v>28.2110702959806-11.5777160502606i</v>
      </c>
      <c r="AB184" s="227">
        <f t="shared" si="68"/>
        <v>29.68439982182279</v>
      </c>
      <c r="AC184" s="227">
        <f t="shared" si="69"/>
        <v>-22.313060232678144</v>
      </c>
      <c r="AD184" s="229">
        <f t="shared" si="70"/>
        <v>-10.885958675439092</v>
      </c>
      <c r="AE184" s="229">
        <f t="shared" si="71"/>
        <v>125.86780131764182</v>
      </c>
      <c r="AF184" s="227">
        <f t="shared" si="59"/>
        <v>18.798441146383698</v>
      </c>
      <c r="AG184" s="227">
        <f t="shared" si="60"/>
        <v>103.55474108496368</v>
      </c>
      <c r="AH184" s="229" t="str">
        <f t="shared" si="61"/>
        <v>0.167316278682994-0.231412054201951i</v>
      </c>
    </row>
    <row r="185" spans="9:34" x14ac:dyDescent="0.2">
      <c r="I185" s="227">
        <v>181</v>
      </c>
      <c r="J185" s="227">
        <f t="shared" si="49"/>
        <v>2.7647721773477953</v>
      </c>
      <c r="K185" s="227">
        <f t="shared" si="72"/>
        <v>581.79793753698118</v>
      </c>
      <c r="L185" s="227">
        <f t="shared" si="62"/>
        <v>3655.5442528797466</v>
      </c>
      <c r="M185" s="227">
        <f t="shared" si="50"/>
        <v>8223.4181735704788</v>
      </c>
      <c r="N185" s="227">
        <f>SQRT((ABS(AC185)-171.5+'Small Signal'!C$59)^2)</f>
        <v>78.724819219678039</v>
      </c>
      <c r="O185" s="227">
        <f t="shared" si="63"/>
        <v>103.69928177671574</v>
      </c>
      <c r="P185" s="227">
        <f t="shared" si="64"/>
        <v>18.646311989702706</v>
      </c>
      <c r="Q185" s="227">
        <f t="shared" si="65"/>
        <v>581.79793753698118</v>
      </c>
      <c r="R185" s="227" t="str">
        <f t="shared" si="51"/>
        <v>0.0945666666666667+0.0171810579885348i</v>
      </c>
      <c r="S185" s="227" t="str">
        <f t="shared" si="52"/>
        <v>0.0085-29.1018166828642i</v>
      </c>
      <c r="T185" s="227" t="str">
        <f t="shared" si="53"/>
        <v>14.2840829775247-11.7771137761208i</v>
      </c>
      <c r="U185" s="227" t="str">
        <f t="shared" si="54"/>
        <v>96.3917421289836-9.939685454256i</v>
      </c>
      <c r="V185" s="227">
        <f t="shared" si="66"/>
        <v>39.726732373352654</v>
      </c>
      <c r="W185" s="227">
        <f t="shared" si="67"/>
        <v>-5.8873949604440998</v>
      </c>
      <c r="X185" s="227" t="str">
        <f t="shared" si="55"/>
        <v>0.999997592968248-0.000493314793098782i</v>
      </c>
      <c r="Y185" s="227" t="str">
        <f t="shared" si="56"/>
        <v>43.9624253357852+13.9102589773624i</v>
      </c>
      <c r="Z185" s="227" t="str">
        <f t="shared" si="57"/>
        <v>24.7234591367199+7.80939497289755i</v>
      </c>
      <c r="AA185" s="227" t="str">
        <f t="shared" si="58"/>
        <v>28.032401117348-11.7694502772742i</v>
      </c>
      <c r="AB185" s="227">
        <f t="shared" si="68"/>
        <v>29.658296198109234</v>
      </c>
      <c r="AC185" s="227">
        <f t="shared" si="69"/>
        <v>-22.775180780321964</v>
      </c>
      <c r="AD185" s="229">
        <f t="shared" si="70"/>
        <v>-11.011984208406528</v>
      </c>
      <c r="AE185" s="229">
        <f t="shared" si="71"/>
        <v>126.4744625570377</v>
      </c>
      <c r="AF185" s="227">
        <f t="shared" si="59"/>
        <v>18.646311989702706</v>
      </c>
      <c r="AG185" s="227">
        <f t="shared" si="60"/>
        <v>103.69928177671574</v>
      </c>
      <c r="AH185" s="229" t="str">
        <f t="shared" si="61"/>
        <v>0.16731183772936-0.226319867453197i</v>
      </c>
    </row>
    <row r="186" spans="9:34" x14ac:dyDescent="0.2">
      <c r="I186" s="227">
        <v>182</v>
      </c>
      <c r="J186" s="227">
        <f t="shared" si="49"/>
        <v>2.7745222998745787</v>
      </c>
      <c r="K186" s="227">
        <f t="shared" si="72"/>
        <v>595.00730802833243</v>
      </c>
      <c r="L186" s="227">
        <f t="shared" si="62"/>
        <v>3738.5411754680968</v>
      </c>
      <c r="M186" s="227">
        <f t="shared" si="50"/>
        <v>8209.908892306812</v>
      </c>
      <c r="N186" s="227">
        <f>SQRT((ABS(AC186)-171.5+'Small Signal'!C$59)^2)</f>
        <v>78.254953310085995</v>
      </c>
      <c r="O186" s="227">
        <f t="shared" si="63"/>
        <v>103.83981909117091</v>
      </c>
      <c r="P186" s="227">
        <f t="shared" si="64"/>
        <v>18.495165866990437</v>
      </c>
      <c r="Q186" s="227">
        <f t="shared" si="65"/>
        <v>595.00730802833243</v>
      </c>
      <c r="R186" s="227" t="str">
        <f t="shared" si="51"/>
        <v>0.0945666666666667+0.0175711435247001i</v>
      </c>
      <c r="S186" s="227" t="str">
        <f t="shared" si="52"/>
        <v>0.0085-28.4557461668412i</v>
      </c>
      <c r="T186" s="227" t="str">
        <f t="shared" si="53"/>
        <v>14.023431744802-11.8245910359282i</v>
      </c>
      <c r="U186" s="227" t="str">
        <f t="shared" si="54"/>
        <v>96.4082046373218-10.1726944127188i</v>
      </c>
      <c r="V186" s="227">
        <f t="shared" si="66"/>
        <v>39.73036625221728</v>
      </c>
      <c r="W186" s="227">
        <f t="shared" si="67"/>
        <v>-6.023384325376087</v>
      </c>
      <c r="X186" s="227" t="str">
        <f t="shared" si="55"/>
        <v>0.999997482427046-0.000504515207281227i</v>
      </c>
      <c r="Y186" s="227" t="str">
        <f t="shared" si="56"/>
        <v>44.0424588993644+14.2273701390376i</v>
      </c>
      <c r="Z186" s="227" t="str">
        <f t="shared" si="57"/>
        <v>24.7686359789586+7.98740272162367i</v>
      </c>
      <c r="AA186" s="227" t="str">
        <f t="shared" si="58"/>
        <v>27.8478090430641-11.9615112042372i</v>
      </c>
      <c r="AB186" s="227">
        <f t="shared" si="68"/>
        <v>29.631161432675057</v>
      </c>
      <c r="AC186" s="227">
        <f t="shared" si="69"/>
        <v>-23.245046689914009</v>
      </c>
      <c r="AD186" s="229">
        <f t="shared" si="70"/>
        <v>-11.13599556568462</v>
      </c>
      <c r="AE186" s="229">
        <f t="shared" si="71"/>
        <v>127.08486578108491</v>
      </c>
      <c r="AF186" s="227">
        <f t="shared" si="59"/>
        <v>18.495165866990437</v>
      </c>
      <c r="AG186" s="227">
        <f t="shared" si="60"/>
        <v>103.83981909117091</v>
      </c>
      <c r="AH186" s="229" t="str">
        <f t="shared" si="61"/>
        <v>0.167307566727738-0.221341755916493i</v>
      </c>
    </row>
    <row r="187" spans="9:34" x14ac:dyDescent="0.2">
      <c r="I187" s="227">
        <v>183</v>
      </c>
      <c r="J187" s="227">
        <f t="shared" si="49"/>
        <v>2.7842724224013624</v>
      </c>
      <c r="K187" s="227">
        <f t="shared" si="72"/>
        <v>608.51658929199937</v>
      </c>
      <c r="L187" s="227">
        <f t="shared" si="62"/>
        <v>3823.4224930145251</v>
      </c>
      <c r="M187" s="227">
        <f t="shared" si="50"/>
        <v>8196.0928909780341</v>
      </c>
      <c r="N187" s="227">
        <f>SQRT((ABS(AC187)-171.5+'Small Signal'!C$59)^2)</f>
        <v>77.777320973189489</v>
      </c>
      <c r="O187" s="227">
        <f t="shared" si="63"/>
        <v>103.97606186702609</v>
      </c>
      <c r="P187" s="227">
        <f t="shared" si="64"/>
        <v>18.344993608056445</v>
      </c>
      <c r="Q187" s="227">
        <f t="shared" si="65"/>
        <v>608.51658929199937</v>
      </c>
      <c r="R187" s="227" t="str">
        <f t="shared" si="51"/>
        <v>0.0945666666666667+0.0179700857171683i</v>
      </c>
      <c r="S187" s="227" t="str">
        <f t="shared" si="52"/>
        <v>0.0085-27.8240186423991i</v>
      </c>
      <c r="T187" s="227" t="str">
        <f t="shared" si="53"/>
        <v>13.7608033836591-11.866447197295i</v>
      </c>
      <c r="U187" s="227" t="str">
        <f t="shared" si="54"/>
        <v>96.4253830670981-10.4115104450035i</v>
      </c>
      <c r="V187" s="227">
        <f t="shared" si="66"/>
        <v>39.734167042373208</v>
      </c>
      <c r="W187" s="227">
        <f t="shared" si="67"/>
        <v>-6.1626246410639096</v>
      </c>
      <c r="X187" s="227" t="str">
        <f t="shared" si="55"/>
        <v>0.999997366809319-0.00051596992009735i</v>
      </c>
      <c r="Y187" s="227" t="str">
        <f t="shared" si="56"/>
        <v>44.1262772354703+14.5517626902513i</v>
      </c>
      <c r="Z187" s="227" t="str">
        <f t="shared" si="57"/>
        <v>24.8159490083367+8.16949622058298i</v>
      </c>
      <c r="AA187" s="227" t="str">
        <f t="shared" si="58"/>
        <v>27.6571900173105-12.1537167484066i</v>
      </c>
      <c r="AB187" s="227">
        <f t="shared" si="68"/>
        <v>29.60296163881322</v>
      </c>
      <c r="AC187" s="227">
        <f t="shared" si="69"/>
        <v>-23.722679026810518</v>
      </c>
      <c r="AD187" s="229">
        <f t="shared" si="70"/>
        <v>-11.257968030756775</v>
      </c>
      <c r="AE187" s="229">
        <f t="shared" si="71"/>
        <v>127.69874089383661</v>
      </c>
      <c r="AF187" s="227">
        <f t="shared" si="59"/>
        <v>18.344993608056445</v>
      </c>
      <c r="AG187" s="227">
        <f t="shared" si="60"/>
        <v>103.97606186702609</v>
      </c>
      <c r="AH187" s="229" t="str">
        <f t="shared" si="61"/>
        <v>0.167303457066072-0.216475210395574i</v>
      </c>
    </row>
    <row r="188" spans="9:34" x14ac:dyDescent="0.2">
      <c r="I188" s="227">
        <v>184</v>
      </c>
      <c r="J188" s="227">
        <f t="shared" si="49"/>
        <v>2.7940225449281457</v>
      </c>
      <c r="K188" s="227">
        <f t="shared" si="72"/>
        <v>622.33259062077764</v>
      </c>
      <c r="L188" s="227">
        <f t="shared" si="62"/>
        <v>3910.2309895674784</v>
      </c>
      <c r="M188" s="227">
        <f t="shared" si="50"/>
        <v>8181.9632056904675</v>
      </c>
      <c r="N188" s="227">
        <f>SQRT((ABS(AC188)-171.5+'Small Signal'!C$59)^2)</f>
        <v>77.291907880718213</v>
      </c>
      <c r="O188" s="227">
        <f t="shared" si="63"/>
        <v>104.10771717328133</v>
      </c>
      <c r="P188" s="227">
        <f t="shared" si="64"/>
        <v>18.195783837797833</v>
      </c>
      <c r="Q188" s="227">
        <f t="shared" si="65"/>
        <v>622.33259062077764</v>
      </c>
      <c r="R188" s="227" t="str">
        <f t="shared" si="51"/>
        <v>0.0945666666666667+0.0183780856509671i</v>
      </c>
      <c r="S188" s="227" t="str">
        <f t="shared" si="52"/>
        <v>0.0085-27.2063156901049i</v>
      </c>
      <c r="T188" s="227" t="str">
        <f t="shared" si="53"/>
        <v>13.4964428604444-11.9025799782496i</v>
      </c>
      <c r="U188" s="227" t="str">
        <f t="shared" si="54"/>
        <v>96.4433063743133-10.6563020801768i</v>
      </c>
      <c r="V188" s="227">
        <f t="shared" si="66"/>
        <v>39.738142408861215</v>
      </c>
      <c r="W188" s="227">
        <f t="shared" si="67"/>
        <v>-6.3052013152499846</v>
      </c>
      <c r="X188" s="227" t="str">
        <f t="shared" si="55"/>
        <v>0.999997245881932-0.000527684705243912i</v>
      </c>
      <c r="Y188" s="227" t="str">
        <f t="shared" si="56"/>
        <v>44.2140645370734+14.8836066443119i</v>
      </c>
      <c r="Z188" s="227" t="str">
        <f t="shared" si="57"/>
        <v>24.8655021659137+8.35577075297478i</v>
      </c>
      <c r="AA188" s="227" t="str">
        <f t="shared" si="58"/>
        <v>27.4604456237101-12.3458755814333i</v>
      </c>
      <c r="AB188" s="227">
        <f t="shared" si="68"/>
        <v>29.573662359257202</v>
      </c>
      <c r="AC188" s="227">
        <f t="shared" si="69"/>
        <v>-24.208092119281797</v>
      </c>
      <c r="AD188" s="229">
        <f t="shared" si="70"/>
        <v>-11.377878521459371</v>
      </c>
      <c r="AE188" s="229">
        <f t="shared" si="71"/>
        <v>128.31580929256313</v>
      </c>
      <c r="AF188" s="227">
        <f t="shared" si="59"/>
        <v>18.195783837797833</v>
      </c>
      <c r="AG188" s="227">
        <f t="shared" si="60"/>
        <v>104.10771717328133</v>
      </c>
      <c r="AH188" s="229" t="str">
        <f t="shared" si="61"/>
        <v>0.167299500457647-0.21171777792713i</v>
      </c>
    </row>
    <row r="189" spans="9:34" x14ac:dyDescent="0.2">
      <c r="I189" s="227">
        <v>185</v>
      </c>
      <c r="J189" s="227">
        <f t="shared" si="49"/>
        <v>2.803772667454929</v>
      </c>
      <c r="K189" s="227">
        <f t="shared" si="72"/>
        <v>636.46227590834371</v>
      </c>
      <c r="L189" s="227">
        <f t="shared" si="62"/>
        <v>3999.0104205613852</v>
      </c>
      <c r="M189" s="227">
        <f t="shared" si="50"/>
        <v>8167.5127144394437</v>
      </c>
      <c r="N189" s="227">
        <f>SQRT((ABS(AC189)-171.5+'Small Signal'!C$59)^2)</f>
        <v>76.798706782037385</v>
      </c>
      <c r="O189" s="227">
        <f t="shared" si="63"/>
        <v>104.23449117422645</v>
      </c>
      <c r="P189" s="227">
        <f t="shared" si="64"/>
        <v>18.047522926225856</v>
      </c>
      <c r="Q189" s="227">
        <f t="shared" si="65"/>
        <v>636.46227590834371</v>
      </c>
      <c r="R189" s="227" t="str">
        <f t="shared" si="51"/>
        <v>0.0945666666666667+0.0187953489766385i</v>
      </c>
      <c r="S189" s="227" t="str">
        <f t="shared" si="52"/>
        <v>0.0085-26.6023259595483i</v>
      </c>
      <c r="T189" s="227" t="str">
        <f t="shared" si="53"/>
        <v>13.2306018942528-11.9329003809996i</v>
      </c>
      <c r="U189" s="227" t="str">
        <f t="shared" si="54"/>
        <v>96.4620044536687-10.9072443098223i</v>
      </c>
      <c r="V189" s="227">
        <f t="shared" si="66"/>
        <v>39.742300368288241</v>
      </c>
      <c r="W189" s="227">
        <f t="shared" si="67"/>
        <v>-6.4512025282641137</v>
      </c>
      <c r="X189" s="227" t="str">
        <f t="shared" si="55"/>
        <v>0.999997119401041-0.000539665467505971i</v>
      </c>
      <c r="Y189" s="227" t="str">
        <f t="shared" si="56"/>
        <v>44.3060144472696+15.2230760794419i</v>
      </c>
      <c r="Z189" s="227" t="str">
        <f t="shared" si="57"/>
        <v>24.9174047236044+8.54632387168182i</v>
      </c>
      <c r="AA189" s="227" t="str">
        <f t="shared" si="58"/>
        <v>27.2574837626367-12.5377871667226i</v>
      </c>
      <c r="AB189" s="227">
        <f t="shared" si="68"/>
        <v>29.543228600487303</v>
      </c>
      <c r="AC189" s="227">
        <f t="shared" si="69"/>
        <v>-24.701293217962625</v>
      </c>
      <c r="AD189" s="229">
        <f t="shared" si="70"/>
        <v>-11.495705674261448</v>
      </c>
      <c r="AE189" s="229">
        <f t="shared" si="71"/>
        <v>128.93578439218908</v>
      </c>
      <c r="AF189" s="227">
        <f t="shared" si="59"/>
        <v>18.047522926225856</v>
      </c>
      <c r="AG189" s="227">
        <f t="shared" si="60"/>
        <v>104.23449117422645</v>
      </c>
      <c r="AH189" s="229" t="str">
        <f t="shared" si="61"/>
        <v>0.167295688924386-0.207067060544403i</v>
      </c>
    </row>
    <row r="190" spans="9:34" x14ac:dyDescent="0.2">
      <c r="I190" s="227">
        <v>186</v>
      </c>
      <c r="J190" s="227">
        <f t="shared" si="49"/>
        <v>2.8135227899817123</v>
      </c>
      <c r="K190" s="227">
        <f t="shared" si="72"/>
        <v>650.91276715936772</v>
      </c>
      <c r="L190" s="227">
        <f t="shared" si="62"/>
        <v>4089.8055348713465</v>
      </c>
      <c r="M190" s="227">
        <f t="shared" si="50"/>
        <v>8152.7341335194797</v>
      </c>
      <c r="N190" s="227">
        <f>SQRT((ABS(AC190)-171.5+'Small Signal'!C$59)^2)</f>
        <v>76.297717842283475</v>
      </c>
      <c r="O190" s="227">
        <f t="shared" si="63"/>
        <v>104.35609003551386</v>
      </c>
      <c r="P190" s="227">
        <f t="shared" si="64"/>
        <v>17.900194947375802</v>
      </c>
      <c r="Q190" s="227">
        <f t="shared" si="65"/>
        <v>650.91276715936772</v>
      </c>
      <c r="R190" s="227" t="str">
        <f t="shared" si="51"/>
        <v>0.0945666666666667+0.0192220860138953i</v>
      </c>
      <c r="S190" s="227" t="str">
        <f t="shared" si="52"/>
        <v>0.0085-26.011745012407i</v>
      </c>
      <c r="T190" s="227" t="str">
        <f t="shared" si="53"/>
        <v>12.9635380289148-11.9573332207757i</v>
      </c>
      <c r="U190" s="227" t="str">
        <f t="shared" si="54"/>
        <v>96.4815081415942-11.1645189279009i</v>
      </c>
      <c r="V190" s="227">
        <f t="shared" si="66"/>
        <v>39.746649304867908</v>
      </c>
      <c r="W190" s="227">
        <f t="shared" si="67"/>
        <v>-6.6007193570997806</v>
      </c>
      <c r="X190" s="227" t="str">
        <f t="shared" si="55"/>
        <v>0.999996987111606-0.000551918245733157i</v>
      </c>
      <c r="Y190" s="227" t="str">
        <f t="shared" si="56"/>
        <v>44.4023305886568+15.5703492300327i</v>
      </c>
      <c r="Z190" s="227" t="str">
        <f t="shared" si="57"/>
        <v>24.9717715826305+8.74125544954682i</v>
      </c>
      <c r="AA190" s="227" t="str">
        <f t="shared" si="58"/>
        <v>27.0482193494981-12.7292418441485i</v>
      </c>
      <c r="AB190" s="227">
        <f t="shared" si="68"/>
        <v>29.511624870967776</v>
      </c>
      <c r="AC190" s="227">
        <f t="shared" si="69"/>
        <v>-25.202282157716521</v>
      </c>
      <c r="AD190" s="229">
        <f t="shared" si="70"/>
        <v>-11.611429923591974</v>
      </c>
      <c r="AE190" s="229">
        <f t="shared" si="71"/>
        <v>129.55837219323038</v>
      </c>
      <c r="AF190" s="227">
        <f t="shared" si="59"/>
        <v>17.900194947375802</v>
      </c>
      <c r="AG190" s="227">
        <f t="shared" si="60"/>
        <v>104.35609003551386</v>
      </c>
      <c r="AH190" s="229" t="str">
        <f t="shared" si="61"/>
        <v>0.16729201478076-0.202520714068465i</v>
      </c>
    </row>
    <row r="191" spans="9:34" x14ac:dyDescent="0.2">
      <c r="I191" s="227">
        <v>187</v>
      </c>
      <c r="J191" s="227">
        <f t="shared" si="49"/>
        <v>2.8232729125084957</v>
      </c>
      <c r="K191" s="227">
        <f t="shared" si="72"/>
        <v>665.6913480793321</v>
      </c>
      <c r="L191" s="227">
        <f t="shared" si="62"/>
        <v>4182.6620973686313</v>
      </c>
      <c r="M191" s="227">
        <f t="shared" si="50"/>
        <v>8137.6200138529612</v>
      </c>
      <c r="N191" s="227">
        <f>SQRT((ABS(AC191)-171.5+'Small Signal'!C$59)^2)</f>
        <v>75.7889489762415</v>
      </c>
      <c r="O191" s="227">
        <f t="shared" si="63"/>
        <v>104.47222086709469</v>
      </c>
      <c r="P191" s="227">
        <f t="shared" si="64"/>
        <v>17.75378164781765</v>
      </c>
      <c r="Q191" s="227">
        <f t="shared" si="65"/>
        <v>665.6913480793321</v>
      </c>
      <c r="R191" s="227" t="str">
        <f t="shared" si="51"/>
        <v>0.0945666666666667+0.0196585118576326i</v>
      </c>
      <c r="S191" s="227" t="str">
        <f t="shared" si="52"/>
        <v>0.0085-25.4342751689962i</v>
      </c>
      <c r="T191" s="227" t="str">
        <f t="shared" si="53"/>
        <v>12.6955136567514-11.9758175770392i</v>
      </c>
      <c r="U191" s="227" t="str">
        <f t="shared" si="54"/>
        <v>96.5018492151595-11.4283148928935i</v>
      </c>
      <c r="V191" s="227">
        <f t="shared" si="66"/>
        <v>39.751197987178941</v>
      </c>
      <c r="W191" s="227">
        <f t="shared" si="67"/>
        <v>-6.7538459069355889</v>
      </c>
      <c r="X191" s="227" t="str">
        <f t="shared" si="55"/>
        <v>0.999996848746874-0.000564449215883532i</v>
      </c>
      <c r="Y191" s="227" t="str">
        <f t="shared" si="56"/>
        <v>44.5032271263082+15.9256085779419i</v>
      </c>
      <c r="Z191" s="227" t="str">
        <f t="shared" si="57"/>
        <v>25.0287235908976+8.9406677295956i</v>
      </c>
      <c r="AA191" s="227" t="str">
        <f t="shared" si="58"/>
        <v>26.832575031046-12.9200209656983i</v>
      </c>
      <c r="AB191" s="227">
        <f t="shared" si="68"/>
        <v>29.478815223425805</v>
      </c>
      <c r="AC191" s="227">
        <f t="shared" si="69"/>
        <v>-25.711051023758486</v>
      </c>
      <c r="AD191" s="229">
        <f t="shared" si="70"/>
        <v>-11.725033575608155</v>
      </c>
      <c r="AE191" s="229">
        <f t="shared" si="71"/>
        <v>130.18327189085318</v>
      </c>
      <c r="AF191" s="227">
        <f t="shared" si="59"/>
        <v>17.75378164781765</v>
      </c>
      <c r="AG191" s="227">
        <f t="shared" si="60"/>
        <v>104.47222086709469</v>
      </c>
      <c r="AH191" s="229" t="str">
        <f t="shared" si="61"/>
        <v>0.167288470618296-0.198076446926638i</v>
      </c>
    </row>
    <row r="192" spans="9:34" x14ac:dyDescent="0.2">
      <c r="I192" s="227">
        <v>188</v>
      </c>
      <c r="J192" s="227">
        <f t="shared" si="49"/>
        <v>2.8330230350352794</v>
      </c>
      <c r="K192" s="227">
        <f t="shared" si="72"/>
        <v>680.80546774585071</v>
      </c>
      <c r="L192" s="227">
        <f t="shared" si="62"/>
        <v>4277.6269119882545</v>
      </c>
      <c r="M192" s="227">
        <f t="shared" si="50"/>
        <v>8122.1627372354742</v>
      </c>
      <c r="N192" s="227">
        <f>SQRT((ABS(AC192)-171.5+'Small Signal'!C$59)^2)</f>
        <v>75.272416175980084</v>
      </c>
      <c r="O192" s="227">
        <f t="shared" si="63"/>
        <v>104.5825926982516</v>
      </c>
      <c r="P192" s="227">
        <f t="shared" si="64"/>
        <v>17.608262425433168</v>
      </c>
      <c r="Q192" s="227">
        <f t="shared" si="65"/>
        <v>680.80546774585071</v>
      </c>
      <c r="R192" s="227" t="str">
        <f t="shared" si="51"/>
        <v>0.0945666666666667+0.0201048464863448i</v>
      </c>
      <c r="S192" s="227" t="str">
        <f t="shared" si="52"/>
        <v>0.0085-24.8696253582239i</v>
      </c>
      <c r="T192" s="227" t="str">
        <f t="shared" si="53"/>
        <v>12.4267950017564-11.9883071620569i</v>
      </c>
      <c r="U192" s="227" t="str">
        <f t="shared" si="54"/>
        <v>96.5230603861956-11.6988287138736i</v>
      </c>
      <c r="V192" s="227">
        <f t="shared" si="66"/>
        <v>39.755955585670456</v>
      </c>
      <c r="W192" s="227">
        <f t="shared" si="67"/>
        <v>-6.9106794506376676</v>
      </c>
      <c r="X192" s="227" t="str">
        <f t="shared" si="55"/>
        <v>0.999996704027841-0.000577264694136555i</v>
      </c>
      <c r="Y192" s="227" t="str">
        <f t="shared" si="56"/>
        <v>44.6089293667959+16.2890409434336i</v>
      </c>
      <c r="Z192" s="227" t="str">
        <f t="shared" si="57"/>
        <v>25.0883878806807+9.14466537497626i</v>
      </c>
      <c r="AA192" s="227" t="str">
        <f t="shared" si="58"/>
        <v>26.6104819163026-13.1098970855163i</v>
      </c>
      <c r="AB192" s="227">
        <f t="shared" si="68"/>
        <v>29.444763301265628</v>
      </c>
      <c r="AC192" s="227">
        <f t="shared" si="69"/>
        <v>-26.227583824019913</v>
      </c>
      <c r="AD192" s="229">
        <f t="shared" si="70"/>
        <v>-11.83650087583246</v>
      </c>
      <c r="AE192" s="229">
        <f t="shared" si="71"/>
        <v>130.81017652227152</v>
      </c>
      <c r="AF192" s="227">
        <f t="shared" si="59"/>
        <v>17.608262425433168</v>
      </c>
      <c r="AG192" s="227">
        <f t="shared" si="60"/>
        <v>104.5825926982516</v>
      </c>
      <c r="AH192" s="229" t="str">
        <f t="shared" si="61"/>
        <v>0.167285049290635-0.193732018997394i</v>
      </c>
    </row>
    <row r="193" spans="9:34" x14ac:dyDescent="0.2">
      <c r="I193" s="227">
        <v>189</v>
      </c>
      <c r="J193" s="227">
        <f t="shared" si="49"/>
        <v>2.8427731575620623</v>
      </c>
      <c r="K193" s="227">
        <f t="shared" si="72"/>
        <v>696.26274436333722</v>
      </c>
      <c r="L193" s="227">
        <f t="shared" si="62"/>
        <v>4374.7478453202566</v>
      </c>
      <c r="M193" s="227">
        <f t="shared" si="50"/>
        <v>8106.3545124958728</v>
      </c>
      <c r="N193" s="227">
        <f>SQRT((ABS(AC193)-171.5+'Small Signal'!C$59)^2)</f>
        <v>74.748143830137423</v>
      </c>
      <c r="O193" s="227">
        <f t="shared" si="63"/>
        <v>104.68691747943134</v>
      </c>
      <c r="P193" s="227">
        <f t="shared" si="64"/>
        <v>17.463614319071965</v>
      </c>
      <c r="Q193" s="227">
        <f t="shared" si="65"/>
        <v>696.26274436333722</v>
      </c>
      <c r="R193" s="227" t="str">
        <f t="shared" si="51"/>
        <v>0.0945666666666667+0.0205613148730052i</v>
      </c>
      <c r="S193" s="227" t="str">
        <f t="shared" si="52"/>
        <v>0.0085-24.3175109708789i</v>
      </c>
      <c r="T193" s="227" t="str">
        <f t="shared" si="53"/>
        <v>12.1576510704464-11.9947706027197i</v>
      </c>
      <c r="U193" s="227" t="str">
        <f t="shared" si="54"/>
        <v>96.5451752898817-11.9762648622885i</v>
      </c>
      <c r="V193" s="227">
        <f t="shared" si="66"/>
        <v>39.760931690945242</v>
      </c>
      <c r="W193" s="227">
        <f t="shared" si="67"/>
        <v>-7.071320576820864</v>
      </c>
      <c r="X193" s="227" t="str">
        <f t="shared" si="55"/>
        <v>0.99999655266269-0.000590371140076717i</v>
      </c>
      <c r="Y193" s="227" t="str">
        <f t="shared" si="56"/>
        <v>44.719674395928+16.6608375752959i</v>
      </c>
      <c r="Z193" s="227" t="str">
        <f t="shared" si="57"/>
        <v>25.1508982281137+9.35335551834536i</v>
      </c>
      <c r="AA193" s="227" t="str">
        <f t="shared" si="58"/>
        <v>26.3818803182264-13.2986342076505i</v>
      </c>
      <c r="AB193" s="227">
        <f t="shared" si="68"/>
        <v>29.409432389192354</v>
      </c>
      <c r="AC193" s="227">
        <f t="shared" si="69"/>
        <v>-26.751856169862574</v>
      </c>
      <c r="AD193" s="229">
        <f t="shared" si="70"/>
        <v>-11.945818070120387</v>
      </c>
      <c r="AE193" s="229">
        <f t="shared" si="71"/>
        <v>131.43877364929392</v>
      </c>
      <c r="AF193" s="227">
        <f t="shared" si="59"/>
        <v>17.463614319071965</v>
      </c>
      <c r="AG193" s="227">
        <f t="shared" si="60"/>
        <v>104.68691747943134</v>
      </c>
      <c r="AH193" s="229" t="str">
        <f t="shared" si="61"/>
        <v>0.167281743899128-0.189485240481194i</v>
      </c>
    </row>
    <row r="194" spans="9:34" x14ac:dyDescent="0.2">
      <c r="I194" s="227">
        <v>190</v>
      </c>
      <c r="J194" s="227">
        <f t="shared" si="49"/>
        <v>2.852523280088846</v>
      </c>
      <c r="K194" s="227">
        <f t="shared" si="72"/>
        <v>712.07096910293831</v>
      </c>
      <c r="L194" s="227">
        <f t="shared" si="62"/>
        <v>4474.0738507367114</v>
      </c>
      <c r="M194" s="227">
        <f t="shared" si="50"/>
        <v>8090.1873715691854</v>
      </c>
      <c r="N194" s="227">
        <f>SQRT((ABS(AC194)-171.5+'Small Signal'!C$59)^2)</f>
        <v>74.216165032630926</v>
      </c>
      <c r="O194" s="227">
        <f t="shared" si="63"/>
        <v>104.78491110508888</v>
      </c>
      <c r="P194" s="227">
        <f t="shared" si="64"/>
        <v>17.319812009625299</v>
      </c>
      <c r="Q194" s="227">
        <f t="shared" si="65"/>
        <v>712.07096910293831</v>
      </c>
      <c r="R194" s="227" t="str">
        <f t="shared" si="51"/>
        <v>0.0945666666666667+0.0210281470984625i</v>
      </c>
      <c r="S194" s="227" t="str">
        <f t="shared" si="52"/>
        <v>0.0085-23.7776537161735i</v>
      </c>
      <c r="T194" s="227" t="str">
        <f t="shared" si="53"/>
        <v>11.888352579081-11.9951916324218i</v>
      </c>
      <c r="U194" s="227" t="str">
        <f t="shared" si="54"/>
        <v>96.5682284669429-12.2608362113752i</v>
      </c>
      <c r="V194" s="227">
        <f t="shared" si="66"/>
        <v>39.766136332851708</v>
      </c>
      <c r="W194" s="227">
        <f t="shared" si="67"/>
        <v>-7.2358733470970069</v>
      </c>
      <c r="X194" s="227" t="str">
        <f t="shared" si="55"/>
        <v>0.999996394346204-0.000603775159949475i</v>
      </c>
      <c r="Y194" s="227" t="str">
        <f t="shared" si="56"/>
        <v>44.8357117580927+17.0411942395813i</v>
      </c>
      <c r="Z194" s="227" t="str">
        <f t="shared" si="57"/>
        <v>25.2163954361145+9.56684781038202i</v>
      </c>
      <c r="AA194" s="227" t="str">
        <f t="shared" si="58"/>
        <v>26.1467205017482-13.4859880945768i</v>
      </c>
      <c r="AB194" s="227">
        <f t="shared" si="68"/>
        <v>29.372785468092914</v>
      </c>
      <c r="AC194" s="227">
        <f t="shared" si="69"/>
        <v>-27.283834967369064</v>
      </c>
      <c r="AD194" s="229">
        <f t="shared" si="70"/>
        <v>-12.052973458467616</v>
      </c>
      <c r="AE194" s="229">
        <f t="shared" si="71"/>
        <v>132.06874607245794</v>
      </c>
      <c r="AF194" s="227">
        <f t="shared" si="59"/>
        <v>17.319812009625299</v>
      </c>
      <c r="AG194" s="227">
        <f t="shared" si="60"/>
        <v>104.78491110508888</v>
      </c>
      <c r="AH194" s="229" t="str">
        <f t="shared" si="61"/>
        <v>0.167278547778925-0.185333970796687i</v>
      </c>
    </row>
    <row r="195" spans="9:34" x14ac:dyDescent="0.2">
      <c r="I195" s="227">
        <v>191</v>
      </c>
      <c r="J195" s="227">
        <f t="shared" si="49"/>
        <v>2.8622734026156298</v>
      </c>
      <c r="K195" s="227">
        <f t="shared" si="72"/>
        <v>728.23811002962589</v>
      </c>
      <c r="L195" s="227">
        <f t="shared" si="62"/>
        <v>4575.6549930663759</v>
      </c>
      <c r="M195" s="227">
        <f t="shared" si="50"/>
        <v>8073.6531654803393</v>
      </c>
      <c r="N195" s="227">
        <f>SQRT((ABS(AC195)-171.5+'Small Signal'!C$59)^2)</f>
        <v>73.676521878449762</v>
      </c>
      <c r="O195" s="227">
        <f t="shared" si="63"/>
        <v>104.87629445130347</v>
      </c>
      <c r="P195" s="227">
        <f t="shared" si="64"/>
        <v>17.17682783298352</v>
      </c>
      <c r="Q195" s="227">
        <f t="shared" si="65"/>
        <v>728.23811002962589</v>
      </c>
      <c r="R195" s="227" t="str">
        <f t="shared" si="51"/>
        <v>0.0945666666666667+0.021505578467412i</v>
      </c>
      <c r="S195" s="227" t="str">
        <f t="shared" si="52"/>
        <v>0.0085-23.2497814814731i</v>
      </c>
      <c r="T195" s="227" t="str">
        <f t="shared" si="53"/>
        <v>11.6191708663038-11.9895691908238i</v>
      </c>
      <c r="U195" s="227" t="str">
        <f t="shared" si="54"/>
        <v>96.5922553385085-12.5527645052878i</v>
      </c>
      <c r="V195" s="227">
        <f t="shared" si="66"/>
        <v>39.771580000417501</v>
      </c>
      <c r="W195" s="227">
        <f t="shared" si="67"/>
        <v>-7.4044454631863692</v>
      </c>
      <c r="X195" s="227" t="str">
        <f t="shared" si="55"/>
        <v>0.999996228759147-0.000617483509991092i</v>
      </c>
      <c r="Y195" s="227" t="str">
        <f t="shared" si="56"/>
        <v>44.9573041803339+17.4303113063254i</v>
      </c>
      <c r="Z195" s="227" t="str">
        <f t="shared" si="57"/>
        <v>25.2850277425018+9.78525446705935i</v>
      </c>
      <c r="AA195" s="227" t="str">
        <f t="shared" si="58"/>
        <v>25.9049634333427-13.6717066392966i</v>
      </c>
      <c r="AB195" s="227">
        <f t="shared" si="68"/>
        <v>29.334785274199881</v>
      </c>
      <c r="AC195" s="227">
        <f t="shared" si="69"/>
        <v>-27.823478121550238</v>
      </c>
      <c r="AD195" s="229">
        <f t="shared" si="70"/>
        <v>-12.157957441216363</v>
      </c>
      <c r="AE195" s="229">
        <f t="shared" si="71"/>
        <v>132.6997725728537</v>
      </c>
      <c r="AF195" s="227">
        <f t="shared" si="59"/>
        <v>17.17682783298352</v>
      </c>
      <c r="AG195" s="227">
        <f t="shared" si="60"/>
        <v>104.87629445130347</v>
      </c>
      <c r="AH195" s="229" t="str">
        <f t="shared" si="61"/>
        <v>0.167275454485537-0.181276117501704i</v>
      </c>
    </row>
    <row r="196" spans="9:34" x14ac:dyDescent="0.2">
      <c r="I196" s="227">
        <v>192</v>
      </c>
      <c r="J196" s="227">
        <f t="shared" ref="J196:J259" si="73">1+I196*(LOG(fsw)-1)/500</f>
        <v>2.8720235251424127</v>
      </c>
      <c r="K196" s="227">
        <f t="shared" si="72"/>
        <v>744.77231611847253</v>
      </c>
      <c r="L196" s="227">
        <f t="shared" si="62"/>
        <v>4679.542473829697</v>
      </c>
      <c r="M196" s="227">
        <f t="shared" ref="M196:M259" si="74">SQRT((Fco_target-K197)^2)</f>
        <v>8056.7435602367041</v>
      </c>
      <c r="N196" s="227">
        <f>SQRT((ABS(AC196)-171.5+'Small Signal'!C$59)^2)</f>
        <v>73.129265744095534</v>
      </c>
      <c r="O196" s="227">
        <f t="shared" si="63"/>
        <v>104.96079442152653</v>
      </c>
      <c r="P196" s="227">
        <f t="shared" si="64"/>
        <v>17.034631805252914</v>
      </c>
      <c r="Q196" s="227">
        <f t="shared" si="65"/>
        <v>744.77231611847253</v>
      </c>
      <c r="R196" s="227" t="str">
        <f t="shared" ref="R196:R259" si="75">IMSUM(COMPLEX(DCRss,Lss*L196),COMPLEX(Rdsonss,0),COMPLEX(40/3*Risense,0))</f>
        <v>0.0945666666666667+0.0219938496269996i</v>
      </c>
      <c r="S196" s="227" t="str">
        <f t="shared" ref="S196:S259" si="76">IMSUM(COMPLEX(ESRss,0),IMDIV(COMPLEX(1,0),COMPLEX(0,L196*Cbulkss)))</f>
        <v>0.0085-22.7336281951387i</v>
      </c>
      <c r="T196" s="227" t="str">
        <f t="shared" ref="T196:T259" si="77">IMDIV(IMPRODUCT(S196,COMPLEX(Ross,0)),IMSUM(S196,COMPLEX(Ross,0)))</f>
        <v>11.3503768004637-11.9779174303625i</v>
      </c>
      <c r="U196" s="227" t="str">
        <f t="shared" ref="U196:U259" si="78">IMPRODUCT(COMPLEX(Vinss,0),COMPLEX(M^2,0),IMDIV(IMSUB(COMPLEX(1,0),IMDIV(IMPRODUCT(R196,COMPLEX(M^2,0)),COMPLEX(Ross,0))),IMSUM(COMPLEX(1,0),IMDIV(IMPRODUCT(R196,COMPLEX(M^2,0)),T196))))</f>
        <v>96.6172921725432-12.8522808601823i</v>
      </c>
      <c r="V196" s="227">
        <f t="shared" si="66"/>
        <v>39.777273662656832</v>
      </c>
      <c r="W196" s="227">
        <f t="shared" si="67"/>
        <v>-7.5771484446256103</v>
      </c>
      <c r="X196" s="227" t="str">
        <f t="shared" ref="X196:X259" si="79">IMSUM(COMPLEX(1,L196/(wn*q0)),IMPOWER(COMPLEX(0,L196/wn),2))</f>
        <v>0.999996055567624-0.000631503099834092i</v>
      </c>
      <c r="Y196" s="227" t="str">
        <f t="shared" ref="Y196:Y259" si="80">IMPRODUCT(COMPLEX(2*Ioutss*M^2,0),IMDIV(IMSUM(COMPLEX(1,0),IMDIV(COMPLEX(Ross,0),IMPRODUCT(COMPLEX(2,0),S196))),IMSUM(COMPLEX(1,0),IMDIV(IMPRODUCT(R196,COMPLEX(M^2,0)),T196))))</f>
        <v>45.0847283445686+17.8283938334869i</v>
      </c>
      <c r="Z196" s="227" t="str">
        <f t="shared" ref="Z196:Z259" si="81">IMPRODUCT(COMPLEX(Fm*40/3*Risense,0),Y196,X196)</f>
        <v>25.356951255223+10.0086903152387i</v>
      </c>
      <c r="AA196" s="227" t="str">
        <f t="shared" ref="AA196:AA259" si="82">IMDIV(IMPRODUCT(COMPLEX(Fm,0),U196),IMSUM(COMPLEX(1,0),Z196))</f>
        <v>25.6565815268184-13.8555303034429i</v>
      </c>
      <c r="AB196" s="227">
        <f t="shared" si="68"/>
        <v>29.295394362530494</v>
      </c>
      <c r="AC196" s="227">
        <f t="shared" si="69"/>
        <v>-28.370734255904456</v>
      </c>
      <c r="AD196" s="229">
        <f t="shared" si="70"/>
        <v>-12.26076255727758</v>
      </c>
      <c r="AE196" s="229">
        <f t="shared" si="71"/>
        <v>133.33152867743098</v>
      </c>
      <c r="AF196" s="227">
        <f t="shared" ref="AF196:AF259" si="83">AD196+AB196</f>
        <v>17.034631805252914</v>
      </c>
      <c r="AG196" s="227">
        <f t="shared" ref="AG196:AG259" si="84">AE196+AC196</f>
        <v>104.96079442152653</v>
      </c>
      <c r="AH196" s="229" t="str">
        <f t="shared" ref="AH196:AH259" si="85">IMDIV(IMPRODUCT(COMPLEX(gea*Rea*Rslss/(Rslss+Rshss),0),COMPLEX(1,L196*Ccompss*Rcompss),COMPLEX(1,k_3*L196*Cffss*Rshss)),IMPRODUCT(COMPLEX(1,L196*Rea*Ccompss),COMPLEX(1,L196*Rcompss*Chfss),COMPLEX(1,k_3*L196*Rffss*Cffss)))</f>
        <v>0.16727245778185-0.177309635238517i</v>
      </c>
    </row>
    <row r="197" spans="9:34" x14ac:dyDescent="0.2">
      <c r="I197" s="227">
        <v>193</v>
      </c>
      <c r="J197" s="227">
        <f t="shared" si="73"/>
        <v>2.8817736476691964</v>
      </c>
      <c r="K197" s="227">
        <f t="shared" si="72"/>
        <v>761.68192136210757</v>
      </c>
      <c r="L197" s="227">
        <f t="shared" ref="L197:L260" si="86">2*PI()*K197</f>
        <v>4785.7886570467117</v>
      </c>
      <c r="M197" s="227">
        <f t="shared" si="74"/>
        <v>8039.4500326273928</v>
      </c>
      <c r="N197" s="227">
        <f>SQRT((ABS(AC197)-171.5+'Small Signal'!C$59)^2)</f>
        <v>72.574457550149873</v>
      </c>
      <c r="O197" s="227">
        <f t="shared" ref="O197:O260" si="87">ABS(AG197)</f>
        <v>105.03814499347305</v>
      </c>
      <c r="P197" s="227">
        <f t="shared" ref="P197:P260" si="88">ABS(AF197)</f>
        <v>16.893191660515654</v>
      </c>
      <c r="Q197" s="227">
        <f t="shared" ref="Q197:Q260" si="89">K197</f>
        <v>761.68192136210757</v>
      </c>
      <c r="R197" s="227" t="str">
        <f t="shared" si="75"/>
        <v>0.0945666666666667+0.0224932066881195i</v>
      </c>
      <c r="S197" s="227" t="str">
        <f t="shared" si="76"/>
        <v>0.0085-22.2289336924152i</v>
      </c>
      <c r="T197" s="227" t="str">
        <f t="shared" si="77"/>
        <v>11.0822396909567-11.9602656294328i</v>
      </c>
      <c r="U197" s="227" t="str">
        <f t="shared" si="78"/>
        <v>96.6433760406276-13.1596262996869i</v>
      </c>
      <c r="V197" s="227">
        <f t="shared" ref="V197:V260" si="90">20*LOG(IMABS(U197))</f>
        <v>39.783228790284795</v>
      </c>
      <c r="W197" s="227">
        <f t="shared" ref="W197:W260" si="91">IF(DEGREES(IMARGUMENT(U197))&gt;0,DEGREES(IMARGUMENT(U197))-360, DEGREES(IMARGUMENT(U197)))</f>
        <v>-7.7540978178661293</v>
      </c>
      <c r="X197" s="227" t="str">
        <f t="shared" si="79"/>
        <v>0.999995874422405-0.000645840995990033i</v>
      </c>
      <c r="Y197" s="227" t="str">
        <f t="shared" si="80"/>
        <v>45.218275711627+18.2356516472271i</v>
      </c>
      <c r="Z197" s="227" t="str">
        <f t="shared" si="81"/>
        <v>25.432330416764+10.2372728360808i</v>
      </c>
      <c r="AA197" s="227" t="str">
        <f t="shared" si="82"/>
        <v>25.4015593795688-14.0371926234189i</v>
      </c>
      <c r="AB197" s="227">
        <f t="shared" ref="AB197:AB260" si="92">20*LOG(IMABS(AA197))</f>
        <v>29.254575174566252</v>
      </c>
      <c r="AC197" s="227">
        <f t="shared" ref="AC197:AC260" si="93">IF(DEGREES(IMARGUMENT(AA197))&gt;0,DEGREES(IMARGUMENT(AA197))-360, DEGREES(IMARGUMENT(AA197)))</f>
        <v>-28.925542449850134</v>
      </c>
      <c r="AD197" s="229">
        <f t="shared" ref="AD197:AD260" si="94">20*LOG(IMABS(AH197))</f>
        <v>-12.361383514050599</v>
      </c>
      <c r="AE197" s="229">
        <f t="shared" ref="AE197:AE260" si="95">180+DEGREES(IMARGUMENT(AH197))</f>
        <v>133.96368744332318</v>
      </c>
      <c r="AF197" s="227">
        <f t="shared" si="83"/>
        <v>16.893191660515654</v>
      </c>
      <c r="AG197" s="227">
        <f t="shared" si="84"/>
        <v>105.03814499347305</v>
      </c>
      <c r="AH197" s="229" t="str">
        <f t="shared" si="85"/>
        <v>0.167269551625538-0.173432524702806i</v>
      </c>
    </row>
    <row r="198" spans="9:34" x14ac:dyDescent="0.2">
      <c r="I198" s="227">
        <v>194</v>
      </c>
      <c r="J198" s="227">
        <f t="shared" si="73"/>
        <v>2.8915237701959793</v>
      </c>
      <c r="K198" s="227">
        <f t="shared" si="72"/>
        <v>778.97544897141847</v>
      </c>
      <c r="L198" s="227">
        <f t="shared" si="86"/>
        <v>4894.4470956308378</v>
      </c>
      <c r="M198" s="227">
        <f t="shared" si="74"/>
        <v>8021.7638659271597</v>
      </c>
      <c r="N198" s="227">
        <f>SQRT((ABS(AC198)-171.5+'Small Signal'!C$59)^2)</f>
        <v>72.012168003379145</v>
      </c>
      <c r="O198" s="227">
        <f t="shared" si="87"/>
        <v>105.10808825988859</v>
      </c>
      <c r="P198" s="227">
        <f t="shared" si="88"/>
        <v>16.75247290131378</v>
      </c>
      <c r="Q198" s="227">
        <f t="shared" si="89"/>
        <v>778.97544897141847</v>
      </c>
      <c r="R198" s="227" t="str">
        <f t="shared" si="75"/>
        <v>0.0945666666666667+0.0230039013494649i</v>
      </c>
      <c r="S198" s="227" t="str">
        <f t="shared" si="76"/>
        <v>0.0085-21.7354435842957i</v>
      </c>
      <c r="T198" s="227" t="str">
        <f t="shared" si="77"/>
        <v>10.8150262128667-11.9366580132309i</v>
      </c>
      <c r="U198" s="227" t="str">
        <f t="shared" si="78"/>
        <v>96.6705447637125-13.4750523273873i</v>
      </c>
      <c r="V198" s="227">
        <f t="shared" si="90"/>
        <v>39.789457378372923</v>
      </c>
      <c r="W198" s="227">
        <f t="shared" si="91"/>
        <v>-7.9354133176244055</v>
      </c>
      <c r="X198" s="227" t="str">
        <f t="shared" si="79"/>
        <v>0.999995684958222-0.00066050442541134i</v>
      </c>
      <c r="Y198" s="227" t="str">
        <f t="shared" si="80"/>
        <v>45.358253401137+18.6522994175034i</v>
      </c>
      <c r="Z198" s="227" t="str">
        <f t="shared" si="81"/>
        <v>25.511338500004+10.4711222056875i</v>
      </c>
      <c r="AA198" s="227" t="str">
        <f t="shared" si="82"/>
        <v>25.1398944930866-14.2164207860972i</v>
      </c>
      <c r="AB198" s="227">
        <f t="shared" si="92"/>
        <v>29.212290110099453</v>
      </c>
      <c r="AC198" s="227">
        <f t="shared" si="93"/>
        <v>-29.487831996620869</v>
      </c>
      <c r="AD198" s="229">
        <f t="shared" si="94"/>
        <v>-12.459817208785672</v>
      </c>
      <c r="AE198" s="229">
        <f t="shared" si="95"/>
        <v>134.59592025650946</v>
      </c>
      <c r="AF198" s="227">
        <f t="shared" si="83"/>
        <v>16.75247290131378</v>
      </c>
      <c r="AG198" s="227">
        <f t="shared" si="84"/>
        <v>105.10808825988859</v>
      </c>
      <c r="AH198" s="229" t="str">
        <f t="shared" si="85"/>
        <v>0.167266730156896-0.169642831635859i</v>
      </c>
    </row>
    <row r="199" spans="9:34" x14ac:dyDescent="0.2">
      <c r="I199" s="227">
        <v>195</v>
      </c>
      <c r="J199" s="227">
        <f t="shared" si="73"/>
        <v>2.901273892722763</v>
      </c>
      <c r="K199" s="227">
        <f t="shared" si="72"/>
        <v>796.6616156716517</v>
      </c>
      <c r="L199" s="227">
        <f t="shared" si="86"/>
        <v>5005.5725583820722</v>
      </c>
      <c r="M199" s="227">
        <f t="shared" si="74"/>
        <v>8003.6761455027872</v>
      </c>
      <c r="N199" s="227">
        <f>SQRT((ABS(AC199)-171.5+'Small Signal'!C$59)^2)</f>
        <v>71.442477815741853</v>
      </c>
      <c r="O199" s="227">
        <f t="shared" si="87"/>
        <v>105.17037545571536</v>
      </c>
      <c r="P199" s="227">
        <f t="shared" si="88"/>
        <v>16.612438861930737</v>
      </c>
      <c r="Q199" s="227">
        <f t="shared" si="89"/>
        <v>796.6616156716517</v>
      </c>
      <c r="R199" s="227" t="str">
        <f t="shared" si="75"/>
        <v>0.0945666666666667+0.0235261910243957i</v>
      </c>
      <c r="S199" s="227" t="str">
        <f t="shared" si="76"/>
        <v>0.0085-21.2529091292985i</v>
      </c>
      <c r="T199" s="227" t="str">
        <f t="shared" si="77"/>
        <v>10.5489993539933-11.9071534842958i</v>
      </c>
      <c r="U199" s="227" t="str">
        <f t="shared" si="78"/>
        <v>96.698836845288-13.7988215391645i</v>
      </c>
      <c r="V199" s="227">
        <f t="shared" si="90"/>
        <v>39.795971969979732</v>
      </c>
      <c r="W199" s="227">
        <f t="shared" si="91"/>
        <v>-8.1212191014147841</v>
      </c>
      <c r="X199" s="227" t="str">
        <f t="shared" si="79"/>
        <v>0.999995486793032-0.00067550077913403i</v>
      </c>
      <c r="Y199" s="227" t="str">
        <f t="shared" si="80"/>
        <v>45.5049851316098+19.0785567277834i</v>
      </c>
      <c r="Z199" s="227" t="str">
        <f t="shared" si="81"/>
        <v>25.5941581379649+10.7103613322899i</v>
      </c>
      <c r="AA199" s="227" t="str">
        <f t="shared" si="82"/>
        <v>24.8715979711687-14.3929362750583i</v>
      </c>
      <c r="AB199" s="227">
        <f t="shared" si="92"/>
        <v>29.168501603142076</v>
      </c>
      <c r="AC199" s="227">
        <f t="shared" si="93"/>
        <v>-30.057522184258136</v>
      </c>
      <c r="AD199" s="229">
        <f t="shared" si="94"/>
        <v>-12.556062741211338</v>
      </c>
      <c r="AE199" s="229">
        <f t="shared" si="95"/>
        <v>135.22789763997349</v>
      </c>
      <c r="AF199" s="227">
        <f t="shared" si="83"/>
        <v>16.612438861930737</v>
      </c>
      <c r="AG199" s="227">
        <f t="shared" si="84"/>
        <v>105.17037545571536</v>
      </c>
      <c r="AH199" s="229" t="str">
        <f t="shared" si="85"/>
        <v>0.167263987687015-0.165938645839438i</v>
      </c>
    </row>
    <row r="200" spans="9:34" x14ac:dyDescent="0.2">
      <c r="I200" s="227">
        <v>196</v>
      </c>
      <c r="J200" s="227">
        <f t="shared" si="73"/>
        <v>2.9110240152495463</v>
      </c>
      <c r="K200" s="227">
        <f>10^(J200)</f>
        <v>814.74933609602397</v>
      </c>
      <c r="L200" s="227">
        <f t="shared" si="86"/>
        <v>5119.2210575928602</v>
      </c>
      <c r="M200" s="227">
        <f t="shared" si="74"/>
        <v>7985.1777543196959</v>
      </c>
      <c r="N200" s="227">
        <f>SQRT((ABS(AC200)-171.5+'Small Signal'!C$59)^2)</f>
        <v>70.865477897642506</v>
      </c>
      <c r="O200" s="227">
        <f t="shared" si="87"/>
        <v>105.22476796405009</v>
      </c>
      <c r="P200" s="227">
        <f t="shared" si="88"/>
        <v>16.473050784432552</v>
      </c>
      <c r="Q200" s="227">
        <f t="shared" si="89"/>
        <v>814.74933609602397</v>
      </c>
      <c r="R200" s="227" t="str">
        <f t="shared" si="75"/>
        <v>0.0945666666666667+0.0240603389706864i</v>
      </c>
      <c r="S200" s="227" t="str">
        <f t="shared" si="76"/>
        <v>0.0085-20.7810871080897i</v>
      </c>
      <c r="T200" s="227" t="str">
        <f t="shared" si="77"/>
        <v>10.2844173930247-11.8718252657915i</v>
      </c>
      <c r="U200" s="227" t="str">
        <f t="shared" si="78"/>
        <v>96.7282913902042-14.1312082784618i</v>
      </c>
      <c r="V200" s="227">
        <f t="shared" si="90"/>
        <v>39.802785680790294</v>
      </c>
      <c r="W200" s="227">
        <f t="shared" si="91"/>
        <v>-8.3116439782778269</v>
      </c>
      <c r="X200" s="227" t="str">
        <f t="shared" si="79"/>
        <v>0.999995279527249-0.00069083761600312i</v>
      </c>
      <c r="Y200" s="227" t="str">
        <f t="shared" si="80"/>
        <v>45.6588122254771+19.5146481374935i</v>
      </c>
      <c r="Z200" s="227" t="str">
        <f t="shared" si="81"/>
        <v>25.6809818901282+10.9551158891926i</v>
      </c>
      <c r="AA200" s="227" t="str">
        <f t="shared" si="82"/>
        <v>24.5966951888829-14.5664555877129i</v>
      </c>
      <c r="AB200" s="227">
        <f t="shared" si="92"/>
        <v>29.12317220174911</v>
      </c>
      <c r="AC200" s="227">
        <f t="shared" si="93"/>
        <v>-30.634522102357504</v>
      </c>
      <c r="AD200" s="229">
        <f t="shared" si="94"/>
        <v>-12.650121417316559</v>
      </c>
      <c r="AE200" s="229">
        <f t="shared" si="95"/>
        <v>135.8592900664076</v>
      </c>
      <c r="AF200" s="227">
        <f t="shared" si="83"/>
        <v>16.473050784432552</v>
      </c>
      <c r="AG200" s="227">
        <f t="shared" si="84"/>
        <v>105.22476796405009</v>
      </c>
      <c r="AH200" s="229" t="str">
        <f t="shared" si="85"/>
        <v>0.167261318686327-0.162318100212871i</v>
      </c>
    </row>
    <row r="201" spans="9:34" x14ac:dyDescent="0.2">
      <c r="I201" s="227">
        <v>197</v>
      </c>
      <c r="J201" s="227">
        <f t="shared" si="73"/>
        <v>2.9207741377763297</v>
      </c>
      <c r="K201" s="227">
        <f>10^(J201)</f>
        <v>833.24772727911602</v>
      </c>
      <c r="L201" s="227">
        <f t="shared" si="86"/>
        <v>5235.4498772809247</v>
      </c>
      <c r="M201" s="227">
        <f t="shared" si="74"/>
        <v>7966.2593683465466</v>
      </c>
      <c r="N201" s="227">
        <f>SQRT((ABS(AC201)-171.5+'Small Signal'!C$59)^2)</f>
        <v>70.281269522764433</v>
      </c>
      <c r="O201" s="227">
        <f t="shared" si="87"/>
        <v>105.27103829322179</v>
      </c>
      <c r="P201" s="227">
        <f t="shared" si="88"/>
        <v>16.334267907313357</v>
      </c>
      <c r="Q201" s="227">
        <f t="shared" si="89"/>
        <v>833.24772727911602</v>
      </c>
      <c r="R201" s="227" t="str">
        <f t="shared" si="75"/>
        <v>0.0945666666666667+0.0246066144232203i</v>
      </c>
      <c r="S201" s="227" t="str">
        <f t="shared" si="76"/>
        <v>0.0085-20.3197397008899i</v>
      </c>
      <c r="T201" s="227" t="str">
        <f t="shared" si="77"/>
        <v>10.0215329171682-11.8307604615282i</v>
      </c>
      <c r="U201" s="227" t="str">
        <f t="shared" si="78"/>
        <v>96.7589480071525-14.4724993378084i</v>
      </c>
      <c r="V201" s="227">
        <f t="shared" si="90"/>
        <v>39.809912224798538</v>
      </c>
      <c r="W201" s="227">
        <f t="shared" si="91"/>
        <v>-8.5068216528023406</v>
      </c>
      <c r="X201" s="227" t="str">
        <f t="shared" si="79"/>
        <v>0.999995062742933-0.000706522666482639i</v>
      </c>
      <c r="Y201" s="227" t="str">
        <f t="shared" si="80"/>
        <v>45.8200946842366+19.9608032355971i</v>
      </c>
      <c r="Z201" s="227" t="str">
        <f t="shared" si="81"/>
        <v>25.7720128482191+11.2055143425557i</v>
      </c>
      <c r="AA201" s="227" t="str">
        <f t="shared" si="82"/>
        <v>24.3152264250894-14.7366910229739i</v>
      </c>
      <c r="AB201" s="227">
        <f t="shared" si="92"/>
        <v>29.076264651571918</v>
      </c>
      <c r="AC201" s="227">
        <f t="shared" si="93"/>
        <v>-31.218730477235578</v>
      </c>
      <c r="AD201" s="229">
        <f t="shared" si="94"/>
        <v>-12.741996744258561</v>
      </c>
      <c r="AE201" s="229">
        <f t="shared" si="95"/>
        <v>136.48976877045737</v>
      </c>
      <c r="AF201" s="227">
        <f t="shared" si="83"/>
        <v>16.334267907313357</v>
      </c>
      <c r="AG201" s="227">
        <f t="shared" si="84"/>
        <v>105.27103829322179</v>
      </c>
      <c r="AH201" s="229" t="str">
        <f t="shared" si="85"/>
        <v>0.167258717773441-0.158779369811839i</v>
      </c>
    </row>
    <row r="202" spans="9:34" x14ac:dyDescent="0.2">
      <c r="I202" s="227">
        <v>198</v>
      </c>
      <c r="J202" s="227">
        <f t="shared" si="73"/>
        <v>2.9305242603031134</v>
      </c>
      <c r="K202" s="227">
        <f>10^(J202)</f>
        <v>852.16611325226495</v>
      </c>
      <c r="L202" s="227">
        <f t="shared" si="86"/>
        <v>5354.3176020629662</v>
      </c>
      <c r="M202" s="227">
        <f t="shared" si="74"/>
        <v>7946.9114518555079</v>
      </c>
      <c r="N202" s="227">
        <f>SQRT((ABS(AC202)-171.5+'Small Signal'!C$59)^2)</f>
        <v>69.689964461852242</v>
      </c>
      <c r="O202" s="227">
        <f t="shared" si="87"/>
        <v>105.3089710173669</v>
      </c>
      <c r="P202" s="227">
        <f t="shared" si="88"/>
        <v>16.196047566474821</v>
      </c>
      <c r="Q202" s="227">
        <f t="shared" si="89"/>
        <v>852.16611325226495</v>
      </c>
      <c r="R202" s="227" t="str">
        <f t="shared" si="75"/>
        <v>0.0945666666666667+0.0251652927296959i</v>
      </c>
      <c r="S202" s="227" t="str">
        <f t="shared" si="76"/>
        <v>0.0085-19.8686343676019i</v>
      </c>
      <c r="T202" s="227" t="str">
        <f t="shared" si="77"/>
        <v>9.76059188698553-11.7840595376033i</v>
      </c>
      <c r="U202" s="227" t="str">
        <f t="shared" si="78"/>
        <v>96.7908466925712-14.8229947102024i</v>
      </c>
      <c r="V202" s="227">
        <f t="shared" si="90"/>
        <v>39.817365941066718</v>
      </c>
      <c r="W202" s="227">
        <f t="shared" si="91"/>
        <v>-8.7068909856328638</v>
      </c>
      <c r="X202" s="227" t="str">
        <f t="shared" si="79"/>
        <v>0.999994836002954-0.000722563836552125i</v>
      </c>
      <c r="Y202" s="227" t="str">
        <f t="shared" si="80"/>
        <v>45.989212339342+20.4172566834454i</v>
      </c>
      <c r="Z202" s="227" t="str">
        <f t="shared" si="81"/>
        <v>25.8674652846283+11.4616879729577i</v>
      </c>
      <c r="AA202" s="227" t="str">
        <f t="shared" si="82"/>
        <v>24.0272474510858-14.9033515383852i</v>
      </c>
      <c r="AB202" s="227">
        <f t="shared" si="92"/>
        <v>29.027741982912659</v>
      </c>
      <c r="AC202" s="227">
        <f t="shared" si="93"/>
        <v>-31.810035538147751</v>
      </c>
      <c r="AD202" s="229">
        <f t="shared" si="94"/>
        <v>-12.831694416437838</v>
      </c>
      <c r="AE202" s="229">
        <f t="shared" si="95"/>
        <v>137.11900655551466</v>
      </c>
      <c r="AF202" s="227">
        <f t="shared" si="83"/>
        <v>16.196047566474821</v>
      </c>
      <c r="AG202" s="227">
        <f t="shared" si="84"/>
        <v>105.3089710173669</v>
      </c>
      <c r="AH202" s="229" t="str">
        <f t="shared" si="85"/>
        <v>0.167256179704316-0.155320670928414i</v>
      </c>
    </row>
    <row r="203" spans="9:34" x14ac:dyDescent="0.2">
      <c r="I203" s="227">
        <v>199</v>
      </c>
      <c r="J203" s="227">
        <f t="shared" si="73"/>
        <v>2.9402743828298967</v>
      </c>
      <c r="K203" s="227">
        <f>10^(J203)</f>
        <v>871.51402974330347</v>
      </c>
      <c r="L203" s="227">
        <f t="shared" si="86"/>
        <v>5475.8841466839976</v>
      </c>
      <c r="M203" s="227">
        <f t="shared" si="74"/>
        <v>7927.1242526158094</v>
      </c>
      <c r="N203" s="227">
        <f>SQRT((ABS(AC203)-171.5+'Small Signal'!C$59)^2)</f>
        <v>69.0916850828674</v>
      </c>
      <c r="O203" s="227">
        <f t="shared" si="87"/>
        <v>105.33836367297874</v>
      </c>
      <c r="P203" s="227">
        <f t="shared" si="88"/>
        <v>16.058345308148546</v>
      </c>
      <c r="Q203" s="227">
        <f t="shared" si="89"/>
        <v>871.51402974330347</v>
      </c>
      <c r="R203" s="227" t="str">
        <f t="shared" si="75"/>
        <v>0.0945666666666667+0.0257366554894148i</v>
      </c>
      <c r="S203" s="227" t="str">
        <f t="shared" si="76"/>
        <v>0.0085-19.4275437306003i</v>
      </c>
      <c r="T203" s="227" t="str">
        <f t="shared" si="77"/>
        <v>9.50183275551436-11.7318357313369i</v>
      </c>
      <c r="U203" s="227" t="str">
        <f t="shared" si="78"/>
        <v>96.8240276934222-15.1830083942525i</v>
      </c>
      <c r="V203" s="227">
        <f t="shared" si="90"/>
        <v>39.825161821593561</v>
      </c>
      <c r="W203" s="227">
        <f t="shared" si="91"/>
        <v>-8.9119962717588717</v>
      </c>
      <c r="X203" s="227" t="str">
        <f t="shared" si="79"/>
        <v>0.999994598850105-0.000738969211691603i</v>
      </c>
      <c r="Y203" s="227" t="str">
        <f t="shared" si="80"/>
        <v>46.1665660849574+20.8842482447453i</v>
      </c>
      <c r="Z203" s="227" t="str">
        <f t="shared" si="81"/>
        <v>25.9675653469115+11.7237708895078i</v>
      </c>
      <c r="AA203" s="227" t="str">
        <f t="shared" si="82"/>
        <v>23.7328300678116-15.0661436748155i</v>
      </c>
      <c r="AB203" s="227">
        <f t="shared" si="92"/>
        <v>28.977567601010612</v>
      </c>
      <c r="AC203" s="227">
        <f t="shared" si="93"/>
        <v>-32.4083149171326</v>
      </c>
      <c r="AD203" s="229">
        <f t="shared" si="94"/>
        <v>-12.919222292862065</v>
      </c>
      <c r="AE203" s="229">
        <f t="shared" si="95"/>
        <v>137.74667859011134</v>
      </c>
      <c r="AF203" s="227">
        <f t="shared" si="83"/>
        <v>16.058345308148546</v>
      </c>
      <c r="AG203" s="227">
        <f t="shared" si="84"/>
        <v>105.33836367297874</v>
      </c>
      <c r="AH203" s="229" t="str">
        <f t="shared" si="85"/>
        <v>0.167253699361672-0.151940260191868i</v>
      </c>
    </row>
    <row r="204" spans="9:34" x14ac:dyDescent="0.2">
      <c r="I204" s="227">
        <v>200</v>
      </c>
      <c r="J204" s="227">
        <f t="shared" si="73"/>
        <v>2.95002450535668</v>
      </c>
      <c r="K204" s="227">
        <f>10^(J204)</f>
        <v>891.30122898300249</v>
      </c>
      <c r="L204" s="227">
        <f t="shared" si="86"/>
        <v>5600.2107862171097</v>
      </c>
      <c r="M204" s="227">
        <f t="shared" si="74"/>
        <v>7906.887796978177</v>
      </c>
      <c r="N204" s="227">
        <f>SQRT((ABS(AC204)-171.5+'Small Signal'!C$59)^2)</f>
        <v>68.486564415019387</v>
      </c>
      <c r="O204" s="227">
        <f t="shared" si="87"/>
        <v>105.35902760412682</v>
      </c>
      <c r="P204" s="227">
        <f t="shared" si="88"/>
        <v>15.921115013256705</v>
      </c>
      <c r="Q204" s="227">
        <f t="shared" si="89"/>
        <v>891.30122898300249</v>
      </c>
      <c r="R204" s="227" t="str">
        <f t="shared" si="75"/>
        <v>0.0945666666666667+0.0263209906952204i</v>
      </c>
      <c r="S204" s="227" t="str">
        <f t="shared" si="76"/>
        <v>0.0085-18.9962454601222i</v>
      </c>
      <c r="T204" s="227" t="str">
        <f t="shared" si="77"/>
        <v>9.24548564800625-11.6742143938759i</v>
      </c>
      <c r="U204" s="227" t="str">
        <f t="shared" si="78"/>
        <v>96.8585313459738-15.5528692573039i</v>
      </c>
      <c r="V204" s="227">
        <f t="shared" si="90"/>
        <v>39.833315540323291</v>
      </c>
      <c r="W204" s="227">
        <f t="shared" si="91"/>
        <v>-9.1222875379949784</v>
      </c>
      <c r="X204" s="227" t="str">
        <f t="shared" si="79"/>
        <v>0.999994350806181-0.000755747060957038i</v>
      </c>
      <c r="Y204" s="227" t="str">
        <f t="shared" si="80"/>
        <v>46.3525791992566+21.3620228001608i</v>
      </c>
      <c r="Z204" s="227" t="str">
        <f t="shared" si="81"/>
        <v>26.0725518021236+11.9919000350945i</v>
      </c>
      <c r="AA204" s="227" t="str">
        <f t="shared" si="82"/>
        <v>23.4320625839907-15.2247725459774i</v>
      </c>
      <c r="AB204" s="227">
        <f t="shared" si="92"/>
        <v>28.925705379246459</v>
      </c>
      <c r="AC204" s="227">
        <f t="shared" si="93"/>
        <v>-33.013435584980606</v>
      </c>
      <c r="AD204" s="229">
        <f t="shared" si="94"/>
        <v>-13.004590365989754</v>
      </c>
      <c r="AE204" s="229">
        <f t="shared" si="95"/>
        <v>138.37246318910744</v>
      </c>
      <c r="AF204" s="227">
        <f t="shared" si="83"/>
        <v>15.921115013256705</v>
      </c>
      <c r="AG204" s="227">
        <f t="shared" si="84"/>
        <v>105.35902760412682</v>
      </c>
      <c r="AH204" s="229" t="str">
        <f t="shared" si="85"/>
        <v>0.167251271744693-0.1486364336898i</v>
      </c>
    </row>
    <row r="205" spans="9:34" x14ac:dyDescent="0.2">
      <c r="I205" s="227">
        <v>201</v>
      </c>
      <c r="J205" s="227">
        <f t="shared" si="73"/>
        <v>2.9597746278834633</v>
      </c>
      <c r="K205" s="227">
        <f t="shared" ref="K205:K253" si="96">10^(J205)</f>
        <v>911.53768462063488</v>
      </c>
      <c r="L205" s="227">
        <f t="shared" si="86"/>
        <v>5727.360186948873</v>
      </c>
      <c r="M205" s="227">
        <f t="shared" si="74"/>
        <v>7886.1918848476571</v>
      </c>
      <c r="N205" s="227">
        <f>SQRT((ABS(AC205)-171.5+'Small Signal'!C$59)^2)</f>
        <v>67.874746174306352</v>
      </c>
      <c r="O205" s="227">
        <f t="shared" si="87"/>
        <v>105.37078874931726</v>
      </c>
      <c r="P205" s="227">
        <f t="shared" si="88"/>
        <v>15.78430903258857</v>
      </c>
      <c r="Q205" s="227">
        <f t="shared" si="89"/>
        <v>911.53768462063488</v>
      </c>
      <c r="R205" s="227" t="str">
        <f t="shared" si="75"/>
        <v>0.0945666666666667+0.0269185928786597i</v>
      </c>
      <c r="S205" s="227" t="str">
        <f t="shared" si="76"/>
        <v>0.0085-18.5745221622036i</v>
      </c>
      <c r="T205" s="227" t="str">
        <f t="shared" si="77"/>
        <v>8.99177160778508-11.6113322734285i</v>
      </c>
      <c r="U205" s="227" t="str">
        <f t="shared" si="78"/>
        <v>96.894397887346-15.9329219611242i</v>
      </c>
      <c r="V205" s="227">
        <f t="shared" si="90"/>
        <v>39.841843483325604</v>
      </c>
      <c r="W205" s="227">
        <f t="shared" si="91"/>
        <v>-9.3379208611852142</v>
      </c>
      <c r="X205" s="227" t="str">
        <f t="shared" si="79"/>
        <v>0.999994091371019-0.000772905841148308i</v>
      </c>
      <c r="Y205" s="227" t="str">
        <f t="shared" si="80"/>
        <v>46.5476987615616+21.8508303436718i</v>
      </c>
      <c r="Z205" s="227" t="str">
        <f t="shared" si="81"/>
        <v>26.1826768350892+12.2662151811334i</v>
      </c>
      <c r="AA205" s="227" t="str">
        <f t="shared" si="82"/>
        <v>23.1250502276412-15.3789428891411i</v>
      </c>
      <c r="AB205" s="227">
        <f t="shared" si="92"/>
        <v>28.872119754907267</v>
      </c>
      <c r="AC205" s="227">
        <f t="shared" si="93"/>
        <v>-33.625253825693648</v>
      </c>
      <c r="AD205" s="229">
        <f t="shared" si="94"/>
        <v>-13.087810722318697</v>
      </c>
      <c r="AE205" s="229">
        <f t="shared" si="95"/>
        <v>138.9960425750109</v>
      </c>
      <c r="AF205" s="227">
        <f t="shared" si="83"/>
        <v>15.78430903258857</v>
      </c>
      <c r="AG205" s="227">
        <f t="shared" si="84"/>
        <v>105.37078874931726</v>
      </c>
      <c r="AH205" s="229" t="str">
        <f t="shared" si="85"/>
        <v>0.167248891958934-0.145407526109145i</v>
      </c>
    </row>
    <row r="206" spans="9:34" x14ac:dyDescent="0.2">
      <c r="I206" s="227">
        <v>202</v>
      </c>
      <c r="J206" s="227">
        <f t="shared" si="73"/>
        <v>2.9695247504102467</v>
      </c>
      <c r="K206" s="227">
        <f t="shared" si="96"/>
        <v>932.23359675115444</v>
      </c>
      <c r="L206" s="227">
        <f t="shared" si="86"/>
        <v>5857.3964379660329</v>
      </c>
      <c r="M206" s="227">
        <f t="shared" si="74"/>
        <v>7865.026084542309</v>
      </c>
      <c r="N206" s="227">
        <f>SQRT((ABS(AC206)-171.5+'Small Signal'!C$59)^2)</f>
        <v>67.256384748348069</v>
      </c>
      <c r="O206" s="227">
        <f t="shared" si="87"/>
        <v>105.37348836335984</v>
      </c>
      <c r="P206" s="227">
        <f t="shared" si="88"/>
        <v>15.647878332064813</v>
      </c>
      <c r="Q206" s="227">
        <f t="shared" si="89"/>
        <v>932.23359675115444</v>
      </c>
      <c r="R206" s="227" t="str">
        <f t="shared" si="75"/>
        <v>0.0945666666666667+0.0275297632584404i</v>
      </c>
      <c r="S206" s="227" t="str">
        <f t="shared" si="76"/>
        <v>0.0085-18.1621612691023i</v>
      </c>
      <c r="T206" s="227" t="str">
        <f t="shared" si="77"/>
        <v>8.74090191284949-11.5433367465638i</v>
      </c>
      <c r="U206" s="227" t="str">
        <f t="shared" si="78"/>
        <v>96.9316672361368-16.3235279551031i</v>
      </c>
      <c r="V206" s="227">
        <f t="shared" si="90"/>
        <v>39.850762780173682</v>
      </c>
      <c r="W206" s="227">
        <f t="shared" si="91"/>
        <v>-9.5590587088000234</v>
      </c>
      <c r="X206" s="227" t="str">
        <f t="shared" si="79"/>
        <v>0.999993820021483-0.000790454201071824i</v>
      </c>
      <c r="Y206" s="227" t="str">
        <f t="shared" si="80"/>
        <v>46.7523971732621+22.3509259573706i</v>
      </c>
      <c r="Z206" s="227" t="str">
        <f t="shared" si="81"/>
        <v>26.2982069050724+12.546858909924i</v>
      </c>
      <c r="AA206" s="227" t="str">
        <f t="shared" si="82"/>
        <v>22.8119154835372-15.5283601725049i</v>
      </c>
      <c r="AB206" s="227">
        <f t="shared" si="92"/>
        <v>28.816775827113034</v>
      </c>
      <c r="AC206" s="227">
        <f t="shared" si="93"/>
        <v>-34.243615251651946</v>
      </c>
      <c r="AD206" s="229">
        <f t="shared" si="94"/>
        <v>-13.16889749504822</v>
      </c>
      <c r="AE206" s="229">
        <f t="shared" si="95"/>
        <v>139.61710361501179</v>
      </c>
      <c r="AF206" s="227">
        <f t="shared" si="83"/>
        <v>15.647878332064813</v>
      </c>
      <c r="AG206" s="227">
        <f t="shared" si="84"/>
        <v>105.37348836335984</v>
      </c>
      <c r="AH206" s="229" t="str">
        <f t="shared" si="85"/>
        <v>0.167246555206463-0.142251909896629i</v>
      </c>
    </row>
    <row r="207" spans="9:34" x14ac:dyDescent="0.2">
      <c r="I207" s="227">
        <v>203</v>
      </c>
      <c r="J207" s="227">
        <f t="shared" si="73"/>
        <v>2.9792748729370304</v>
      </c>
      <c r="K207" s="227">
        <f t="shared" si="96"/>
        <v>953.39939705650295</v>
      </c>
      <c r="L207" s="227">
        <f t="shared" si="86"/>
        <v>5990.3850834592959</v>
      </c>
      <c r="M207" s="227">
        <f t="shared" si="74"/>
        <v>7843.3797275351562</v>
      </c>
      <c r="N207" s="227">
        <f>SQRT((ABS(AC207)-171.5+'Small Signal'!C$59)^2)</f>
        <v>66.631645138474738</v>
      </c>
      <c r="O207" s="227">
        <f t="shared" si="87"/>
        <v>105.3669836680437</v>
      </c>
      <c r="P207" s="227">
        <f t="shared" si="88"/>
        <v>15.511772647255933</v>
      </c>
      <c r="Q207" s="227">
        <f t="shared" si="89"/>
        <v>953.39939705650295</v>
      </c>
      <c r="R207" s="227" t="str">
        <f t="shared" si="75"/>
        <v>0.0945666666666667+0.0281548098922587i</v>
      </c>
      <c r="S207" s="227" t="str">
        <f t="shared" si="76"/>
        <v>0.0085-17.7589549321545i</v>
      </c>
      <c r="T207" s="227" t="str">
        <f t="shared" si="77"/>
        <v>8.49307746692654-11.4703850053632i</v>
      </c>
      <c r="U207" s="227" t="str">
        <f t="shared" si="78"/>
        <v>96.970378737976-16.7250665423356i</v>
      </c>
      <c r="V207" s="227">
        <f t="shared" si="90"/>
        <v>39.86009133654526</v>
      </c>
      <c r="W207" s="227">
        <f t="shared" si="91"/>
        <v>-9.7858703037445345</v>
      </c>
      <c r="X207" s="227" t="str">
        <f t="shared" si="79"/>
        <v>0.999993536210416-0.000808400985899914i</v>
      </c>
      <c r="Y207" s="227" t="str">
        <f t="shared" si="80"/>
        <v>46.9671737911935+22.8625697608622i</v>
      </c>
      <c r="Z207" s="227" t="str">
        <f t="shared" si="81"/>
        <v>26.4194236657248+12.8339765824366i</v>
      </c>
      <c r="AA207" s="227" t="str">
        <f t="shared" si="82"/>
        <v>22.4927983494753-15.6727317537676i</v>
      </c>
      <c r="AB207" s="227">
        <f t="shared" si="92"/>
        <v>28.759639456464573</v>
      </c>
      <c r="AC207" s="227">
        <f t="shared" si="93"/>
        <v>-34.868354861525262</v>
      </c>
      <c r="AD207" s="229">
        <f t="shared" si="94"/>
        <v>-13.24786680920864</v>
      </c>
      <c r="AE207" s="229">
        <f t="shared" si="95"/>
        <v>140.23533852956896</v>
      </c>
      <c r="AF207" s="227">
        <f t="shared" si="83"/>
        <v>15.511772647255933</v>
      </c>
      <c r="AG207" s="227">
        <f t="shared" si="84"/>
        <v>105.3669836680437</v>
      </c>
      <c r="AH207" s="229" t="str">
        <f t="shared" si="85"/>
        <v>0.167244256776198-0.139167994438238i</v>
      </c>
    </row>
    <row r="208" spans="9:34" x14ac:dyDescent="0.2">
      <c r="I208" s="227">
        <v>204</v>
      </c>
      <c r="J208" s="227">
        <f t="shared" si="73"/>
        <v>2.9890249954638137</v>
      </c>
      <c r="K208" s="227">
        <f t="shared" si="96"/>
        <v>975.04575406365495</v>
      </c>
      <c r="L208" s="227">
        <f t="shared" si="86"/>
        <v>6126.3931557605974</v>
      </c>
      <c r="M208" s="227">
        <f t="shared" si="74"/>
        <v>7821.2419030767678</v>
      </c>
      <c r="N208" s="227">
        <f>SQRT((ABS(AC208)-171.5+'Small Signal'!C$59)^2)</f>
        <v>66.000702857267612</v>
      </c>
      <c r="O208" s="227">
        <f t="shared" si="87"/>
        <v>105.35114842596394</v>
      </c>
      <c r="P208" s="227">
        <f t="shared" si="88"/>
        <v>15.375940646223686</v>
      </c>
      <c r="Q208" s="227">
        <f t="shared" si="89"/>
        <v>975.04575406365495</v>
      </c>
      <c r="R208" s="227" t="str">
        <f t="shared" si="75"/>
        <v>0.0945666666666667+0.0287940478320748i</v>
      </c>
      <c r="S208" s="227" t="str">
        <f t="shared" si="76"/>
        <v>0.0085-17.3646999170096i</v>
      </c>
      <c r="T208" s="227" t="str">
        <f t="shared" si="77"/>
        <v>8.2484882677446-11.3926432084416i</v>
      </c>
      <c r="U208" s="227" t="str">
        <f t="shared" si="78"/>
        <v>97.0105708712897-17.1379360244011i</v>
      </c>
      <c r="V208" s="227">
        <f t="shared" si="90"/>
        <v>39.869847868067005</v>
      </c>
      <c r="W208" s="227">
        <f t="shared" si="91"/>
        <v>-10.018532015359533</v>
      </c>
      <c r="X208" s="227" t="str">
        <f t="shared" si="79"/>
        <v>0.999993239365529-0.000826755241629202i</v>
      </c>
      <c r="Y208" s="227" t="str">
        <f t="shared" si="80"/>
        <v>47.1925566829491+23.3860268308439i</v>
      </c>
      <c r="Z208" s="227" t="str">
        <f t="shared" si="81"/>
        <v>26.546624953636+13.1277162890151i</v>
      </c>
      <c r="AA208" s="227" t="str">
        <f t="shared" si="82"/>
        <v>22.1678565045835-15.8117680835224i</v>
      </c>
      <c r="AB208" s="227">
        <f t="shared" si="92"/>
        <v>28.700677365930893</v>
      </c>
      <c r="AC208" s="227">
        <f t="shared" si="93"/>
        <v>-35.499297142732381</v>
      </c>
      <c r="AD208" s="229">
        <f t="shared" si="94"/>
        <v>-13.324736719707207</v>
      </c>
      <c r="AE208" s="229">
        <f t="shared" si="95"/>
        <v>140.85044556869633</v>
      </c>
      <c r="AF208" s="227">
        <f t="shared" si="83"/>
        <v>15.375940646223686</v>
      </c>
      <c r="AG208" s="227">
        <f t="shared" si="84"/>
        <v>105.35114842596394</v>
      </c>
      <c r="AH208" s="229" t="str">
        <f t="shared" si="85"/>
        <v>0.167241992034405-0.136154225257297i</v>
      </c>
    </row>
    <row r="209" spans="9:34" x14ac:dyDescent="0.2">
      <c r="I209" s="227">
        <v>205</v>
      </c>
      <c r="J209" s="227">
        <f t="shared" si="73"/>
        <v>2.998775117990597</v>
      </c>
      <c r="K209" s="227">
        <f t="shared" si="96"/>
        <v>997.1835785220436</v>
      </c>
      <c r="L209" s="227">
        <f t="shared" si="86"/>
        <v>6265.4892091304655</v>
      </c>
      <c r="M209" s="227">
        <f t="shared" si="74"/>
        <v>7798.6014526957424</v>
      </c>
      <c r="N209" s="227">
        <f>SQRT((ABS(AC209)-171.5+'Small Signal'!C$59)^2)</f>
        <v>65.363743780001357</v>
      </c>
      <c r="O209" s="227">
        <f t="shared" si="87"/>
        <v>105.32587343245318</v>
      </c>
      <c r="P209" s="227">
        <f t="shared" si="88"/>
        <v>15.240330099669691</v>
      </c>
      <c r="Q209" s="227">
        <f t="shared" si="89"/>
        <v>997.1835785220436</v>
      </c>
      <c r="R209" s="227" t="str">
        <f t="shared" si="75"/>
        <v>0.0945666666666667+0.0294477992829132i</v>
      </c>
      <c r="S209" s="227" t="str">
        <f t="shared" si="76"/>
        <v>0.0085-16.9791975011905i</v>
      </c>
      <c r="T209" s="227" t="str">
        <f t="shared" si="77"/>
        <v>8.00731295435282-11.3102856039642i</v>
      </c>
      <c r="U209" s="227" t="str">
        <f t="shared" si="78"/>
        <v>97.0522809079447-17.5625549311378i</v>
      </c>
      <c r="V209" s="227">
        <f t="shared" si="90"/>
        <v>39.880051935418983</v>
      </c>
      <c r="W209" s="227">
        <f t="shared" si="91"/>
        <v>-10.257227778777267</v>
      </c>
      <c r="X209" s="227" t="str">
        <f t="shared" si="79"/>
        <v>0.999992928888254-0.000845526219640193i</v>
      </c>
      <c r="Y209" s="227" t="str">
        <f t="shared" si="80"/>
        <v>47.429104514477+23.921567085757i</v>
      </c>
      <c r="Z209" s="227" t="str">
        <f t="shared" si="81"/>
        <v>26.680125851305+13.428228780093i</v>
      </c>
      <c r="AA209" s="227" t="str">
        <f t="shared" si="82"/>
        <v>21.8372653834268-15.9451839461996i</v>
      </c>
      <c r="AB209" s="227">
        <f t="shared" si="92"/>
        <v>28.639857242459431</v>
      </c>
      <c r="AC209" s="227">
        <f t="shared" si="93"/>
        <v>-36.136256219998657</v>
      </c>
      <c r="AD209" s="229">
        <f t="shared" si="94"/>
        <v>-13.39952714278974</v>
      </c>
      <c r="AE209" s="229">
        <f t="shared" si="95"/>
        <v>141.46212965245184</v>
      </c>
      <c r="AF209" s="227">
        <f t="shared" si="83"/>
        <v>15.240330099669691</v>
      </c>
      <c r="AG209" s="227">
        <f t="shared" si="84"/>
        <v>105.32587343245318</v>
      </c>
      <c r="AH209" s="229" t="str">
        <f t="shared" si="85"/>
        <v>0.167239756415366-0.133209083230744i</v>
      </c>
    </row>
    <row r="210" spans="9:34" x14ac:dyDescent="0.2">
      <c r="I210" s="227">
        <v>206</v>
      </c>
      <c r="J210" s="227">
        <f t="shared" si="73"/>
        <v>3.0085252405173804</v>
      </c>
      <c r="K210" s="227">
        <f t="shared" si="96"/>
        <v>1019.8240289030692</v>
      </c>
      <c r="L210" s="227">
        <f t="shared" si="86"/>
        <v>6407.7433543124544</v>
      </c>
      <c r="M210" s="227">
        <f t="shared" si="74"/>
        <v>7775.4469645743266</v>
      </c>
      <c r="N210" s="227">
        <f>SQRT((ABS(AC210)-171.5+'Small Signal'!C$59)^2)</f>
        <v>64.720963948720822</v>
      </c>
      <c r="O210" s="227">
        <f t="shared" si="87"/>
        <v>105.29106692121829</v>
      </c>
      <c r="P210" s="227">
        <f t="shared" si="88"/>
        <v>15.104888057296465</v>
      </c>
      <c r="Q210" s="227">
        <f t="shared" si="89"/>
        <v>1019.8240289030692</v>
      </c>
      <c r="R210" s="227" t="str">
        <f t="shared" si="75"/>
        <v>0.0945666666666667+0.0301163937652685i</v>
      </c>
      <c r="S210" s="227" t="str">
        <f t="shared" si="76"/>
        <v>0.0085-16.6022533739289i</v>
      </c>
      <c r="T210" s="227" t="str">
        <f t="shared" si="77"/>
        <v>7.7697184343885-11.2234936327755i</v>
      </c>
      <c r="U210" s="227" t="str">
        <f t="shared" si="78"/>
        <v>97.0955445227235-17.9993633422315i</v>
      </c>
      <c r="V210" s="227">
        <f t="shared" si="90"/>
        <v>39.890723980709176</v>
      </c>
      <c r="W210" s="227">
        <f t="shared" si="91"/>
        <v>-10.50214954499101</v>
      </c>
      <c r="X210" s="227" t="str">
        <f t="shared" si="79"/>
        <v>0.999992604152534-0.000864723381360398i</v>
      </c>
      <c r="Y210" s="227" t="str">
        <f t="shared" si="80"/>
        <v>47.6774085812645+24.4694651296154i</v>
      </c>
      <c r="Z210" s="227" t="str">
        <f t="shared" si="81"/>
        <v>26.8202598308823+13.7356673735769i</v>
      </c>
      <c r="AA210" s="227" t="str">
        <f t="shared" si="82"/>
        <v>21.5012181502941-16.0726997304264i</v>
      </c>
      <c r="AB210" s="227">
        <f t="shared" si="92"/>
        <v>28.577147838757785</v>
      </c>
      <c r="AC210" s="227">
        <f t="shared" si="93"/>
        <v>-36.779036051279171</v>
      </c>
      <c r="AD210" s="229">
        <f t="shared" si="94"/>
        <v>-13.47225978146132</v>
      </c>
      <c r="AE210" s="229">
        <f t="shared" si="95"/>
        <v>142.07010297249747</v>
      </c>
      <c r="AF210" s="227">
        <f t="shared" si="83"/>
        <v>15.104888057296465</v>
      </c>
      <c r="AG210" s="227">
        <f t="shared" si="84"/>
        <v>105.29106692121829</v>
      </c>
      <c r="AH210" s="229" t="str">
        <f t="shared" si="85"/>
        <v>0.16723754541218-0.130331083823223i</v>
      </c>
    </row>
    <row r="211" spans="9:34" x14ac:dyDescent="0.2">
      <c r="I211" s="227">
        <v>207</v>
      </c>
      <c r="J211" s="227">
        <f t="shared" si="73"/>
        <v>3.0182753630441641</v>
      </c>
      <c r="K211" s="227">
        <f t="shared" si="96"/>
        <v>1042.978517024485</v>
      </c>
      <c r="L211" s="227">
        <f t="shared" si="86"/>
        <v>6553.2272938721981</v>
      </c>
      <c r="M211" s="227">
        <f t="shared" si="74"/>
        <v>7751.7667677963509</v>
      </c>
      <c r="N211" s="227">
        <f>SQRT((ABS(AC211)-171.5+'Small Signal'!C$59)^2)</f>
        <v>64.072569328016868</v>
      </c>
      <c r="O211" s="227">
        <f t="shared" si="87"/>
        <v>105.24665488002989</v>
      </c>
      <c r="P211" s="227">
        <f t="shared" si="88"/>
        <v>14.969561029218053</v>
      </c>
      <c r="Q211" s="227">
        <f t="shared" si="89"/>
        <v>1042.978517024485</v>
      </c>
      <c r="R211" s="227" t="str">
        <f t="shared" si="75"/>
        <v>0.0945666666666667+0.0308001682811993i</v>
      </c>
      <c r="S211" s="227" t="str">
        <f t="shared" si="76"/>
        <v>0.0085-16.2336775382232i</v>
      </c>
      <c r="T211" s="227" t="str">
        <f t="shared" si="77"/>
        <v>7.53585959129358-11.1324550196377i</v>
      </c>
      <c r="U211" s="227" t="str">
        <f t="shared" si="78"/>
        <v>97.1403953447583-18.4488243080001i</v>
      </c>
      <c r="V211" s="227">
        <f t="shared" si="90"/>
        <v>39.901885365120449</v>
      </c>
      <c r="W211" s="227">
        <f t="shared" si="91"/>
        <v>-10.753497764214799</v>
      </c>
      <c r="X211" s="227" t="str">
        <f t="shared" si="79"/>
        <v>0.999992264503559-0.000884356403033319i</v>
      </c>
      <c r="Y211" s="227" t="str">
        <f t="shared" si="80"/>
        <v>47.9380949954759+25.0300000482118i</v>
      </c>
      <c r="Z211" s="227" t="str">
        <f t="shared" si="81"/>
        <v>26.96737998563+14.0501878350385i</v>
      </c>
      <c r="AA211" s="227" t="str">
        <f t="shared" si="82"/>
        <v>21.1599255688085-16.194042719861i</v>
      </c>
      <c r="AB211" s="227">
        <f t="shared" si="92"/>
        <v>28.512519074664642</v>
      </c>
      <c r="AC211" s="227">
        <f t="shared" si="93"/>
        <v>-37.427430671983124</v>
      </c>
      <c r="AD211" s="229">
        <f t="shared" si="94"/>
        <v>-13.542958045446589</v>
      </c>
      <c r="AE211" s="229">
        <f t="shared" si="95"/>
        <v>142.67408555201303</v>
      </c>
      <c r="AF211" s="227">
        <f t="shared" si="83"/>
        <v>14.969561029218053</v>
      </c>
      <c r="AG211" s="227">
        <f t="shared" si="84"/>
        <v>105.24665488002989</v>
      </c>
      <c r="AH211" s="229" t="str">
        <f t="shared" si="85"/>
        <v>0.167235354567683-0.127518776338575i</v>
      </c>
    </row>
    <row r="212" spans="9:34" x14ac:dyDescent="0.2">
      <c r="I212" s="227">
        <v>208</v>
      </c>
      <c r="J212" s="227">
        <f t="shared" si="73"/>
        <v>3.0280254855709474</v>
      </c>
      <c r="K212" s="227">
        <f t="shared" si="96"/>
        <v>1066.6587138024611</v>
      </c>
      <c r="L212" s="227">
        <f t="shared" si="86"/>
        <v>6702.0143583386989</v>
      </c>
      <c r="M212" s="227">
        <f t="shared" si="74"/>
        <v>7727.5489264645403</v>
      </c>
      <c r="N212" s="227">
        <f>SQRT((ABS(AC212)-171.5+'Small Signal'!C$59)^2)</f>
        <v>63.418775511904414</v>
      </c>
      <c r="O212" s="227">
        <f t="shared" si="87"/>
        <v>105.19258127355772</v>
      </c>
      <c r="P212" s="227">
        <f t="shared" si="88"/>
        <v>14.834295171208549</v>
      </c>
      <c r="Q212" s="227">
        <f t="shared" si="89"/>
        <v>1066.6587138024611</v>
      </c>
      <c r="R212" s="227" t="str">
        <f t="shared" si="75"/>
        <v>0.0945666666666667+0.0314994674841919i</v>
      </c>
      <c r="S212" s="227" t="str">
        <f t="shared" si="76"/>
        <v>0.0085-15.8732842150721i</v>
      </c>
      <c r="T212" s="227" t="str">
        <f t="shared" si="77"/>
        <v>7.30587907062913-11.0373628603489i</v>
      </c>
      <c r="U212" s="227" t="str">
        <f t="shared" si="78"/>
        <v>97.1868644431362-18.9114253773608i</v>
      </c>
      <c r="V212" s="227">
        <f t="shared" si="90"/>
        <v>39.913558407823913</v>
      </c>
      <c r="W212" s="227">
        <f t="shared" si="91"/>
        <v>-11.01148190534709</v>
      </c>
      <c r="X212" s="227" t="str">
        <f t="shared" si="79"/>
        <v>0.99999190925645-0.000904435180595715i</v>
      </c>
      <c r="Y212" s="227" t="str">
        <f t="shared" si="80"/>
        <v>48.2118270425331+25.6034551498455i</v>
      </c>
      <c r="Z212" s="227" t="str">
        <f t="shared" si="81"/>
        <v>27.1218603566786+14.371948226258i</v>
      </c>
      <c r="AA212" s="227" t="str">
        <f t="shared" si="82"/>
        <v>20.8136157628852-16.3089483948377i</v>
      </c>
      <c r="AB212" s="227">
        <f t="shared" si="92"/>
        <v>28.445942137505988</v>
      </c>
      <c r="AC212" s="227">
        <f t="shared" si="93"/>
        <v>-38.081224488095593</v>
      </c>
      <c r="AD212" s="229">
        <f t="shared" si="94"/>
        <v>-13.611646966297439</v>
      </c>
      <c r="AE212" s="229">
        <f t="shared" si="95"/>
        <v>143.27380576165331</v>
      </c>
      <c r="AF212" s="227">
        <f t="shared" si="83"/>
        <v>14.834295171208549</v>
      </c>
      <c r="AG212" s="227">
        <f t="shared" si="84"/>
        <v>105.19258127355772</v>
      </c>
      <c r="AH212" s="229" t="str">
        <f t="shared" si="85"/>
        <v>0.167233179465474-0.124770743188386i</v>
      </c>
    </row>
    <row r="213" spans="9:34" x14ac:dyDescent="0.2">
      <c r="I213" s="227">
        <v>209</v>
      </c>
      <c r="J213" s="227">
        <f t="shared" si="73"/>
        <v>3.0377756080977307</v>
      </c>
      <c r="K213" s="227">
        <f t="shared" si="96"/>
        <v>1090.876555134271</v>
      </c>
      <c r="L213" s="227">
        <f t="shared" si="86"/>
        <v>6854.1795431663331</v>
      </c>
      <c r="M213" s="227">
        <f t="shared" si="74"/>
        <v>7702.7812336842926</v>
      </c>
      <c r="N213" s="227">
        <f>SQRT((ABS(AC213)-171.5+'Small Signal'!C$59)^2)</f>
        <v>62.759807381593163</v>
      </c>
      <c r="O213" s="227">
        <f t="shared" si="87"/>
        <v>105.12880817127007</v>
      </c>
      <c r="P213" s="227">
        <f t="shared" si="88"/>
        <v>14.699036472527924</v>
      </c>
      <c r="Q213" s="227">
        <f t="shared" si="89"/>
        <v>1090.876555134271</v>
      </c>
      <c r="R213" s="227" t="str">
        <f t="shared" si="75"/>
        <v>0.0945666666666667+0.0322146438528818i</v>
      </c>
      <c r="S213" s="227" t="str">
        <f t="shared" si="76"/>
        <v>0.0085-15.520891749833i</v>
      </c>
      <c r="T213" s="227" t="str">
        <f t="shared" si="77"/>
        <v>7.0799071438335-10.9384147121929i</v>
      </c>
      <c r="U213" s="227" t="str">
        <f t="shared" si="78"/>
        <v>97.2349797378353-19.3876802416299i</v>
      </c>
      <c r="V213" s="227">
        <f t="shared" si="90"/>
        <v>39.92576642614258</v>
      </c>
      <c r="W213" s="227">
        <f t="shared" si="91"/>
        <v>-11.276321014620143</v>
      </c>
      <c r="X213" s="227" t="str">
        <f t="shared" si="79"/>
        <v>0.999991537694873-0.000924969834665611i</v>
      </c>
      <c r="Y213" s="227" t="str">
        <f t="shared" si="80"/>
        <v>48.4993077219335+26.1901176415175i</v>
      </c>
      <c r="Z213" s="227" t="str">
        <f t="shared" si="81"/>
        <v>27.28409736339+14.701108716984i</v>
      </c>
      <c r="AA213" s="227" t="str">
        <f t="shared" si="82"/>
        <v>20.4625338660369-16.4171617345067i</v>
      </c>
      <c r="AB213" s="227">
        <f t="shared" si="92"/>
        <v>28.377389580807453</v>
      </c>
      <c r="AC213" s="227">
        <f t="shared" si="93"/>
        <v>-38.740192618406844</v>
      </c>
      <c r="AD213" s="229">
        <f t="shared" si="94"/>
        <v>-13.678353108279529</v>
      </c>
      <c r="AE213" s="229">
        <f t="shared" si="95"/>
        <v>143.8690007896769</v>
      </c>
      <c r="AF213" s="227">
        <f t="shared" si="83"/>
        <v>14.699036472527924</v>
      </c>
      <c r="AG213" s="227">
        <f t="shared" si="84"/>
        <v>105.12880817127007</v>
      </c>
      <c r="AH213" s="229" t="str">
        <f t="shared" si="85"/>
        <v>0.167231015721011-0.122085599177195i</v>
      </c>
    </row>
    <row r="214" spans="9:34" x14ac:dyDescent="0.2">
      <c r="I214" s="227">
        <v>210</v>
      </c>
      <c r="J214" s="227">
        <f t="shared" si="73"/>
        <v>3.047525730624514</v>
      </c>
      <c r="K214" s="227">
        <f t="shared" si="96"/>
        <v>1115.6442479145194</v>
      </c>
      <c r="L214" s="227">
        <f t="shared" si="86"/>
        <v>7009.7995465359281</v>
      </c>
      <c r="M214" s="227">
        <f t="shared" si="74"/>
        <v>7677.45120541084</v>
      </c>
      <c r="N214" s="227">
        <f>SQRT((ABS(AC214)-171.5+'Small Signal'!C$59)^2)</f>
        <v>62.09589871432425</v>
      </c>
      <c r="O214" s="227">
        <f t="shared" si="87"/>
        <v>105.05531577913612</v>
      </c>
      <c r="P214" s="227">
        <f t="shared" si="88"/>
        <v>14.563730945045091</v>
      </c>
      <c r="Q214" s="227">
        <f t="shared" si="89"/>
        <v>1115.6442479145194</v>
      </c>
      <c r="R214" s="227" t="str">
        <f t="shared" si="75"/>
        <v>0.0945666666666667+0.0329460578687189i</v>
      </c>
      <c r="S214" s="227" t="str">
        <f t="shared" si="76"/>
        <v>0.0085-15.1763225206598i</v>
      </c>
      <c r="T214" s="227" t="str">
        <f t="shared" si="77"/>
        <v>6.85806164703838-10.835811694767i</v>
      </c>
      <c r="U214" s="227" t="str">
        <f t="shared" si="78"/>
        <v>97.2847653259213-19.8781305034884i</v>
      </c>
      <c r="V214" s="227">
        <f t="shared" si="90"/>
        <v>39.938533776934008</v>
      </c>
      <c r="W214" s="227">
        <f t="shared" si="91"/>
        <v>-11.548244316799464</v>
      </c>
      <c r="X214" s="227" t="str">
        <f t="shared" si="79"/>
        <v>0.999991149069597-0.000945970715643547i</v>
      </c>
      <c r="Y214" s="227" t="str">
        <f t="shared" si="80"/>
        <v>48.8012824884234+26.7902782301247i</v>
      </c>
      <c r="Z214" s="227" t="str">
        <f t="shared" si="81"/>
        <v>27.4545113463777+15.0378313539777i</v>
      </c>
      <c r="AA214" s="227" t="str">
        <f t="shared" si="82"/>
        <v>20.106941557125-16.5184385086382i</v>
      </c>
      <c r="AB214" s="227">
        <f t="shared" si="92"/>
        <v>28.306835420725314</v>
      </c>
      <c r="AC214" s="227">
        <f t="shared" si="93"/>
        <v>-39.404101285675758</v>
      </c>
      <c r="AD214" s="229">
        <f t="shared" si="94"/>
        <v>-13.743104475680223</v>
      </c>
      <c r="AE214" s="229">
        <f t="shared" si="95"/>
        <v>144.45941706481187</v>
      </c>
      <c r="AF214" s="227">
        <f t="shared" si="83"/>
        <v>14.563730945045091</v>
      </c>
      <c r="AG214" s="227">
        <f t="shared" si="84"/>
        <v>105.05531577913612</v>
      </c>
      <c r="AH214" s="229" t="str">
        <f t="shared" si="85"/>
        <v>0.167228858972791-0.119461990804013i</v>
      </c>
    </row>
    <row r="215" spans="9:34" x14ac:dyDescent="0.2">
      <c r="I215" s="227">
        <v>211</v>
      </c>
      <c r="J215" s="227">
        <f t="shared" si="73"/>
        <v>3.0572758531512974</v>
      </c>
      <c r="K215" s="227">
        <f t="shared" si="96"/>
        <v>1140.9742761879713</v>
      </c>
      <c r="L215" s="227">
        <f t="shared" si="86"/>
        <v>7168.9528080141245</v>
      </c>
      <c r="M215" s="227">
        <f t="shared" si="74"/>
        <v>7651.5460741567258</v>
      </c>
      <c r="N215" s="227">
        <f>SQRT((ABS(AC215)-171.5+'Small Signal'!C$59)^2)</f>
        <v>61.427291743879323</v>
      </c>
      <c r="O215" s="227">
        <f t="shared" si="87"/>
        <v>104.97210237472883</v>
      </c>
      <c r="P215" s="227">
        <f t="shared" si="88"/>
        <v>14.428324812358122</v>
      </c>
      <c r="Q215" s="227">
        <f t="shared" si="89"/>
        <v>1140.9742761879713</v>
      </c>
      <c r="R215" s="227" t="str">
        <f t="shared" si="75"/>
        <v>0.0945666666666667+0.0336940781976664i</v>
      </c>
      <c r="S215" s="227" t="str">
        <f t="shared" si="76"/>
        <v>0.0085-14.8394028489739i</v>
      </c>
      <c r="T215" s="227" t="str">
        <f t="shared" si="77"/>
        <v>6.64044799189592-10.7297576077627i</v>
      </c>
      <c r="U215" s="227" t="str">
        <f t="shared" si="78"/>
        <v>97.3362407115711-20.383347581206i</v>
      </c>
      <c r="V215" s="227">
        <f t="shared" si="90"/>
        <v>39.951885899146561</v>
      </c>
      <c r="W215" s="227">
        <f t="shared" si="91"/>
        <v>-11.827491862620729</v>
      </c>
      <c r="X215" s="227" t="str">
        <f t="shared" si="79"/>
        <v>0.999990742596985-0.000967448408929646i</v>
      </c>
      <c r="Y215" s="227" t="str">
        <f t="shared" si="80"/>
        <v>49.1185422111905+27.4042306365744i</v>
      </c>
      <c r="Z215" s="227" t="str">
        <f t="shared" si="81"/>
        <v>27.633548233104+15.3822797804948i</v>
      </c>
      <c r="AA215" s="227" t="str">
        <f t="shared" si="82"/>
        <v>19.7471164818259-16.6125465478436i</v>
      </c>
      <c r="AB215" s="227">
        <f t="shared" si="92"/>
        <v>28.234255229547294</v>
      </c>
      <c r="AC215" s="227">
        <f t="shared" si="93"/>
        <v>-40.072708256120691</v>
      </c>
      <c r="AD215" s="229">
        <f t="shared" si="94"/>
        <v>-13.805930417189172</v>
      </c>
      <c r="AE215" s="229">
        <f t="shared" si="95"/>
        <v>145.04481063084953</v>
      </c>
      <c r="AF215" s="227">
        <f t="shared" si="83"/>
        <v>14.428324812358122</v>
      </c>
      <c r="AG215" s="227">
        <f t="shared" si="84"/>
        <v>104.97210237472883</v>
      </c>
      <c r="AH215" s="229" t="str">
        <f t="shared" si="85"/>
        <v>0.167226704873565-0.116898595579798i</v>
      </c>
    </row>
    <row r="216" spans="9:34" x14ac:dyDescent="0.2">
      <c r="I216" s="227">
        <v>212</v>
      </c>
      <c r="J216" s="227">
        <f t="shared" si="73"/>
        <v>3.0670259756780807</v>
      </c>
      <c r="K216" s="227">
        <f t="shared" si="96"/>
        <v>1166.8794074420862</v>
      </c>
      <c r="L216" s="227">
        <f t="shared" si="86"/>
        <v>7331.7195480905375</v>
      </c>
      <c r="M216" s="227">
        <f t="shared" si="74"/>
        <v>7625.0527825564059</v>
      </c>
      <c r="N216" s="227">
        <f>SQRT((ABS(AC216)-171.5+'Small Signal'!C$59)^2)</f>
        <v>60.754236673778905</v>
      </c>
      <c r="O216" s="227">
        <f t="shared" si="87"/>
        <v>104.87918414617189</v>
      </c>
      <c r="P216" s="227">
        <f t="shared" si="88"/>
        <v>14.292764697614199</v>
      </c>
      <c r="Q216" s="227">
        <f t="shared" si="89"/>
        <v>1166.8794074420862</v>
      </c>
      <c r="R216" s="227" t="str">
        <f t="shared" si="75"/>
        <v>0.0945666666666667+0.0344590818760255i</v>
      </c>
      <c r="S216" s="227" t="str">
        <f t="shared" si="76"/>
        <v>0.0085-14.5099629119216i</v>
      </c>
      <c r="T216" s="227" t="str">
        <f t="shared" si="77"/>
        <v>6.42715924478765-10.6204580717344i</v>
      </c>
      <c r="U216" s="227" t="str">
        <f t="shared" si="78"/>
        <v>97.3894199269122-20.9039347590198i</v>
      </c>
      <c r="V216" s="227">
        <f t="shared" si="90"/>
        <v>39.96584935748519</v>
      </c>
      <c r="W216" s="227">
        <f t="shared" si="91"/>
        <v>-12.114315226505934</v>
      </c>
      <c r="X216" s="227" t="str">
        <f t="shared" si="79"/>
        <v>0.999990317457412-0.000989413740259147i</v>
      </c>
      <c r="Y216" s="227" t="str">
        <f t="shared" si="80"/>
        <v>49.4519263703765+28.0322710088663i</v>
      </c>
      <c r="Z216" s="227" t="str">
        <f t="shared" si="81"/>
        <v>27.8216813368884+15.7346188983024i</v>
      </c>
      <c r="AA216" s="227" t="str">
        <f t="shared" si="82"/>
        <v>19.383351560327-16.6992669807114i</v>
      </c>
      <c r="AB216" s="227">
        <f t="shared" si="92"/>
        <v>28.159626225614687</v>
      </c>
      <c r="AC216" s="227">
        <f t="shared" si="93"/>
        <v>-40.745763326221095</v>
      </c>
      <c r="AD216" s="229">
        <f t="shared" si="94"/>
        <v>-13.866861528000488</v>
      </c>
      <c r="AE216" s="229">
        <f t="shared" si="95"/>
        <v>145.62494747239299</v>
      </c>
      <c r="AF216" s="227">
        <f t="shared" si="83"/>
        <v>14.292764697614199</v>
      </c>
      <c r="AG216" s="227">
        <f t="shared" si="84"/>
        <v>104.87918414617189</v>
      </c>
      <c r="AH216" s="229" t="str">
        <f t="shared" si="85"/>
        <v>0.167224549081582-0.114394121360535i</v>
      </c>
    </row>
    <row r="217" spans="9:34" x14ac:dyDescent="0.2">
      <c r="I217" s="227">
        <v>213</v>
      </c>
      <c r="J217" s="227">
        <f t="shared" si="73"/>
        <v>3.0767760982048644</v>
      </c>
      <c r="K217" s="227">
        <f t="shared" si="96"/>
        <v>1193.3726990424052</v>
      </c>
      <c r="L217" s="227">
        <f t="shared" si="86"/>
        <v>7498.1818086124867</v>
      </c>
      <c r="M217" s="227">
        <f t="shared" si="74"/>
        <v>7597.9579767847499</v>
      </c>
      <c r="N217" s="227">
        <f>SQRT((ABS(AC217)-171.5+'Small Signal'!C$59)^2)</f>
        <v>60.076991144635173</v>
      </c>
      <c r="O217" s="227">
        <f t="shared" si="87"/>
        <v>104.77659493623096</v>
      </c>
      <c r="P217" s="227">
        <f t="shared" si="88"/>
        <v>14.156997808748958</v>
      </c>
      <c r="Q217" s="227">
        <f t="shared" si="89"/>
        <v>1193.3726990424052</v>
      </c>
      <c r="R217" s="227" t="str">
        <f t="shared" si="75"/>
        <v>0.0945666666666667+0.0352414545004787i</v>
      </c>
      <c r="S217" s="227" t="str">
        <f t="shared" si="76"/>
        <v>0.0085-14.1878366567761i</v>
      </c>
      <c r="T217" s="227" t="str">
        <f t="shared" si="77"/>
        <v>6.21827627029411-10.508119697315i</v>
      </c>
      <c r="U217" s="227" t="str">
        <f t="shared" si="78"/>
        <v>97.4443105288354-21.4405293953904i</v>
      </c>
      <c r="V217" s="227">
        <f t="shared" si="90"/>
        <v>39.980451887098042</v>
      </c>
      <c r="W217" s="227">
        <f t="shared" si="91"/>
        <v>-12.408978258979049</v>
      </c>
      <c r="X217" s="227" t="str">
        <f t="shared" si="79"/>
        <v>0.999989872793608-0.00101187778115906i</v>
      </c>
      <c r="Y217" s="227" t="str">
        <f t="shared" si="80"/>
        <v>49.8023265119782+28.6746972180099i</v>
      </c>
      <c r="Z217" s="227" t="str">
        <f t="shared" si="81"/>
        <v>28.0194133011543+16.0950144630952i</v>
      </c>
      <c r="AA217" s="227" t="str">
        <f t="shared" si="82"/>
        <v>19.0159541830771-16.7783954262463i</v>
      </c>
      <c r="AB217" s="227">
        <f t="shared" si="92"/>
        <v>28.082927359025994</v>
      </c>
      <c r="AC217" s="227">
        <f t="shared" si="93"/>
        <v>-41.423008855364834</v>
      </c>
      <c r="AD217" s="229">
        <f t="shared" si="94"/>
        <v>-13.925929550277036</v>
      </c>
      <c r="AE217" s="229">
        <f t="shared" si="95"/>
        <v>146.19960379159579</v>
      </c>
      <c r="AF217" s="227">
        <f t="shared" si="83"/>
        <v>14.156997808748958</v>
      </c>
      <c r="AG217" s="227">
        <f t="shared" si="84"/>
        <v>104.77659493623096</v>
      </c>
      <c r="AH217" s="229" t="str">
        <f t="shared" si="85"/>
        <v>0.167222387251852-0.111947305695599i</v>
      </c>
    </row>
    <row r="218" spans="9:34" x14ac:dyDescent="0.2">
      <c r="I218" s="227">
        <v>214</v>
      </c>
      <c r="J218" s="227">
        <f t="shared" si="73"/>
        <v>3.0865262207316477</v>
      </c>
      <c r="K218" s="227">
        <f t="shared" si="96"/>
        <v>1220.4675048140618</v>
      </c>
      <c r="L218" s="227">
        <f t="shared" si="86"/>
        <v>7668.4234941378445</v>
      </c>
      <c r="M218" s="227">
        <f t="shared" si="74"/>
        <v>7570.2479998260915</v>
      </c>
      <c r="N218" s="227">
        <f>SQRT((ABS(AC218)-171.5+'Small Signal'!C$59)^2)</f>
        <v>59.395819657550874</v>
      </c>
      <c r="O218" s="227">
        <f t="shared" si="87"/>
        <v>104.66438589368008</v>
      </c>
      <c r="P218" s="227">
        <f t="shared" si="88"/>
        <v>14.020972119888423</v>
      </c>
      <c r="Q218" s="227">
        <f t="shared" si="89"/>
        <v>1220.4675048140618</v>
      </c>
      <c r="R218" s="227" t="str">
        <f t="shared" si="75"/>
        <v>0.0945666666666667+0.0360415904224479i</v>
      </c>
      <c r="S218" s="227" t="str">
        <f t="shared" si="76"/>
        <v>0.0085-13.8728617172394i</v>
      </c>
      <c r="T218" s="227" t="str">
        <f t="shared" si="77"/>
        <v>6.01386793439037-10.3929492877193i</v>
      </c>
      <c r="U218" s="227" t="str">
        <f t="shared" si="78"/>
        <v>97.5009124548864-21.9938053017785i</v>
      </c>
      <c r="V218" s="227">
        <f t="shared" si="90"/>
        <v>39.99572243917023</v>
      </c>
      <c r="W218" s="227">
        <f t="shared" si="91"/>
        <v>-12.711757898641114</v>
      </c>
      <c r="X218" s="227" t="str">
        <f t="shared" si="79"/>
        <v>0.99998940770894-0.00103485185452873i</v>
      </c>
      <c r="Y218" s="227" t="str">
        <f t="shared" si="80"/>
        <v>50.1706899841905+29.33180801814i</v>
      </c>
      <c r="Z218" s="227" t="str">
        <f t="shared" si="81"/>
        <v>28.2272782018523+16.4636326027603i</v>
      </c>
      <c r="AA218" s="227" t="str">
        <f t="shared" si="82"/>
        <v>18.6452452977397-16.8497431300508i</v>
      </c>
      <c r="AB218" s="227">
        <f t="shared" si="92"/>
        <v>28.004139392493212</v>
      </c>
      <c r="AC218" s="227">
        <f t="shared" si="93"/>
        <v>-42.104180342449133</v>
      </c>
      <c r="AD218" s="229">
        <f t="shared" si="94"/>
        <v>-13.983167272604788</v>
      </c>
      <c r="AE218" s="229">
        <f t="shared" si="95"/>
        <v>146.7685662361292</v>
      </c>
      <c r="AF218" s="227">
        <f t="shared" si="83"/>
        <v>14.020972119888423</v>
      </c>
      <c r="AG218" s="227">
        <f t="shared" si="84"/>
        <v>104.66438589368008</v>
      </c>
      <c r="AH218" s="229" t="str">
        <f t="shared" si="85"/>
        <v>0.167220215027402-0.109556915191044i</v>
      </c>
    </row>
    <row r="219" spans="9:34" x14ac:dyDescent="0.2">
      <c r="I219" s="227">
        <v>215</v>
      </c>
      <c r="J219" s="227">
        <f t="shared" si="73"/>
        <v>3.096276343258431</v>
      </c>
      <c r="K219" s="227">
        <f t="shared" si="96"/>
        <v>1248.1774817727201</v>
      </c>
      <c r="L219" s="227">
        <f t="shared" si="86"/>
        <v>7842.5304142267705</v>
      </c>
      <c r="M219" s="227">
        <f t="shared" si="74"/>
        <v>7541.9088845904871</v>
      </c>
      <c r="N219" s="227">
        <f>SQRT((ABS(AC219)-171.5+'Small Signal'!C$59)^2)</f>
        <v>58.710992955889282</v>
      </c>
      <c r="O219" s="227">
        <f t="shared" si="87"/>
        <v>104.5426250348676</v>
      </c>
      <c r="P219" s="227">
        <f t="shared" si="88"/>
        <v>13.884636547703199</v>
      </c>
      <c r="Q219" s="227">
        <f t="shared" si="89"/>
        <v>1248.1774817727201</v>
      </c>
      <c r="R219" s="227" t="str">
        <f t="shared" si="75"/>
        <v>0.0945666666666667+0.0368598929468658i</v>
      </c>
      <c r="S219" s="227" t="str">
        <f t="shared" si="76"/>
        <v>0.0085-13.5648793316019i</v>
      </c>
      <c r="T219" s="227" t="str">
        <f t="shared" si="77"/>
        <v>5.81399136251243-10.2751530787425i</v>
      </c>
      <c r="U219" s="227" t="str">
        <f t="shared" si="78"/>
        <v>97.5592167189589-22.5644753055045i</v>
      </c>
      <c r="V219" s="227">
        <f t="shared" si="90"/>
        <v>40.011691227278511</v>
      </c>
      <c r="W219" s="227">
        <f t="shared" si="91"/>
        <v>-13.022945049026186</v>
      </c>
      <c r="X219" s="227" t="str">
        <f t="shared" si="79"/>
        <v>0.999988921265593-0.00105834754034708i</v>
      </c>
      <c r="Y219" s="227" t="str">
        <f t="shared" si="80"/>
        <v>50.5580239803456+30.0039020492719i</v>
      </c>
      <c r="Z219" s="227" t="str">
        <f t="shared" si="81"/>
        <v>28.4458438221719+16.8406392462899i</v>
      </c>
      <c r="AA219" s="227" t="str">
        <f t="shared" si="82"/>
        <v>18.2715583918489-16.9131380329188i</v>
      </c>
      <c r="AB219" s="227">
        <f t="shared" si="92"/>
        <v>27.923244976746386</v>
      </c>
      <c r="AC219" s="227">
        <f t="shared" si="93"/>
        <v>-42.789007044110711</v>
      </c>
      <c r="AD219" s="229">
        <f t="shared" si="94"/>
        <v>-14.038608429043187</v>
      </c>
      <c r="AE219" s="229">
        <f t="shared" si="95"/>
        <v>147.33163207897832</v>
      </c>
      <c r="AF219" s="227">
        <f t="shared" si="83"/>
        <v>13.884636547703199</v>
      </c>
      <c r="AG219" s="227">
        <f t="shared" si="84"/>
        <v>104.5426250348676</v>
      </c>
      <c r="AH219" s="229" t="str">
        <f t="shared" si="85"/>
        <v>0.167218028030505-0.107221744887527i</v>
      </c>
    </row>
    <row r="220" spans="9:34" x14ac:dyDescent="0.2">
      <c r="I220" s="227">
        <v>216</v>
      </c>
      <c r="J220" s="227">
        <f t="shared" si="73"/>
        <v>3.1060264657852144</v>
      </c>
      <c r="K220" s="227">
        <f t="shared" si="96"/>
        <v>1276.5165970083247</v>
      </c>
      <c r="L220" s="227">
        <f t="shared" si="86"/>
        <v>8020.5903266935902</v>
      </c>
      <c r="M220" s="227">
        <f t="shared" si="74"/>
        <v>7512.9263468736517</v>
      </c>
      <c r="N220" s="227">
        <f>SQRT((ABS(AC220)-171.5+'Small Signal'!C$59)^2)</f>
        <v>58.022787368168679</v>
      </c>
      <c r="O220" s="227">
        <f t="shared" si="87"/>
        <v>104.41139671919974</v>
      </c>
      <c r="P220" s="227">
        <f t="shared" si="88"/>
        <v>13.747941121557023</v>
      </c>
      <c r="Q220" s="227">
        <f t="shared" si="89"/>
        <v>1276.5165970083247</v>
      </c>
      <c r="R220" s="227" t="str">
        <f t="shared" si="75"/>
        <v>0.0945666666666667+0.0376967745354599i</v>
      </c>
      <c r="S220" s="227" t="str">
        <f t="shared" si="76"/>
        <v>0.0085-13.2637342627197i</v>
      </c>
      <c r="T220" s="227" t="str">
        <f t="shared" si="77"/>
        <v>5.61869224740188-10.1549360198151i</v>
      </c>
      <c r="U220" s="227" t="str">
        <f t="shared" si="78"/>
        <v>97.6192039247655-23.1532940112308i</v>
      </c>
      <c r="V220" s="227">
        <f t="shared" si="90"/>
        <v>40.028389774320786</v>
      </c>
      <c r="W220" s="227">
        <f t="shared" si="91"/>
        <v>-13.342845526182705</v>
      </c>
      <c r="X220" s="227" t="str">
        <f t="shared" si="79"/>
        <v>0.999988412482685-0.00108237668150946i</v>
      </c>
      <c r="Y220" s="227" t="str">
        <f t="shared" si="80"/>
        <v>50.9653999158935+30.6912766577451i</v>
      </c>
      <c r="Z220" s="227" t="str">
        <f t="shared" si="81"/>
        <v>28.67571411494+17.2261994492239i</v>
      </c>
      <c r="AA220" s="227" t="str">
        <f t="shared" si="82"/>
        <v>17.8952383769976-16.9684257609037i</v>
      </c>
      <c r="AB220" s="227">
        <f t="shared" si="92"/>
        <v>27.840228719910151</v>
      </c>
      <c r="AC220" s="227">
        <f t="shared" si="93"/>
        <v>-43.477212631831307</v>
      </c>
      <c r="AD220" s="229">
        <f t="shared" si="94"/>
        <v>-14.092287598353128</v>
      </c>
      <c r="AE220" s="229">
        <f t="shared" si="95"/>
        <v>147.88860935103105</v>
      </c>
      <c r="AF220" s="227">
        <f t="shared" si="83"/>
        <v>13.747941121557023</v>
      </c>
      <c r="AG220" s="227">
        <f t="shared" si="84"/>
        <v>104.41139671919974</v>
      </c>
      <c r="AH220" s="229" t="str">
        <f t="shared" si="85"/>
        <v>0.167215821853874-0.104940617652525i</v>
      </c>
    </row>
    <row r="221" spans="9:34" x14ac:dyDescent="0.2">
      <c r="I221" s="227">
        <v>217</v>
      </c>
      <c r="J221" s="227">
        <f t="shared" si="73"/>
        <v>3.1157765883119977</v>
      </c>
      <c r="K221" s="227">
        <f t="shared" si="96"/>
        <v>1305.4991347251598</v>
      </c>
      <c r="L221" s="227">
        <f t="shared" si="86"/>
        <v>8202.692981840788</v>
      </c>
      <c r="M221" s="227">
        <f t="shared" si="74"/>
        <v>7483.2857781570829</v>
      </c>
      <c r="N221" s="227">
        <f>SQRT((ABS(AC221)-171.5+'Small Signal'!C$59)^2)</f>
        <v>57.331484115212533</v>
      </c>
      <c r="O221" s="227">
        <f t="shared" si="87"/>
        <v>104.27080104294322</v>
      </c>
      <c r="P221" s="227">
        <f t="shared" si="88"/>
        <v>13.610837146360492</v>
      </c>
      <c r="Q221" s="227">
        <f t="shared" si="89"/>
        <v>1305.4991347251598</v>
      </c>
      <c r="R221" s="227" t="str">
        <f t="shared" si="75"/>
        <v>0.0945666666666667+0.0385526570146517i</v>
      </c>
      <c r="S221" s="227" t="str">
        <f t="shared" si="76"/>
        <v>0.0085-12.9692747197678i</v>
      </c>
      <c r="T221" s="227" t="str">
        <f t="shared" si="77"/>
        <v>5.42800520147945-10.0325010990321i</v>
      </c>
      <c r="U221" s="227" t="str">
        <f t="shared" si="78"/>
        <v>97.6808425719536-23.7610607766283i</v>
      </c>
      <c r="V221" s="227">
        <f t="shared" si="90"/>
        <v>40.045850959791764</v>
      </c>
      <c r="W221" s="227">
        <f t="shared" si="91"/>
        <v>-13.671781083404985</v>
      </c>
      <c r="X221" s="227" t="str">
        <f t="shared" si="79"/>
        <v>0.999987880334288-0.00110695138979699i</v>
      </c>
      <c r="Y221" s="227" t="str">
        <f t="shared" si="80"/>
        <v>51.3939581693609+31.3942265054866i</v>
      </c>
      <c r="Z221" s="227" t="str">
        <f t="shared" si="81"/>
        <v>28.9175318694953+17.6204765992949i</v>
      </c>
      <c r="AA221" s="227" t="str">
        <f t="shared" si="82"/>
        <v>17.5166403816744-17.0154705265066i</v>
      </c>
      <c r="AB221" s="227">
        <f t="shared" si="92"/>
        <v>27.75507725031386</v>
      </c>
      <c r="AC221" s="227">
        <f t="shared" si="93"/>
        <v>-44.168515884787467</v>
      </c>
      <c r="AD221" s="229">
        <f t="shared" si="94"/>
        <v>-14.144240103953369</v>
      </c>
      <c r="AE221" s="229">
        <f t="shared" si="95"/>
        <v>148.43931692773069</v>
      </c>
      <c r="AF221" s="227">
        <f t="shared" si="83"/>
        <v>13.610837146360492</v>
      </c>
      <c r="AG221" s="227">
        <f t="shared" si="84"/>
        <v>104.27080104294322</v>
      </c>
      <c r="AH221" s="229" t="str">
        <f t="shared" si="85"/>
        <v>0.1672135920518-0.102712383586553i</v>
      </c>
    </row>
    <row r="222" spans="9:34" x14ac:dyDescent="0.2">
      <c r="I222" s="227">
        <v>218</v>
      </c>
      <c r="J222" s="227">
        <f t="shared" si="73"/>
        <v>3.125526710838781</v>
      </c>
      <c r="K222" s="227">
        <f t="shared" si="96"/>
        <v>1335.1397034417289</v>
      </c>
      <c r="L222" s="227">
        <f t="shared" si="86"/>
        <v>8388.9301676971809</v>
      </c>
      <c r="M222" s="227">
        <f t="shared" si="74"/>
        <v>7452.9722382446907</v>
      </c>
      <c r="N222" s="227">
        <f>SQRT((ABS(AC222)-171.5+'Small Signal'!C$59)^2)</f>
        <v>56.637368585090115</v>
      </c>
      <c r="O222" s="227">
        <f t="shared" si="87"/>
        <v>104.12095315644441</v>
      </c>
      <c r="P222" s="227">
        <f t="shared" si="88"/>
        <v>13.473277357116979</v>
      </c>
      <c r="Q222" s="227">
        <f t="shared" si="89"/>
        <v>1335.1397034417289</v>
      </c>
      <c r="R222" s="227" t="str">
        <f t="shared" si="75"/>
        <v>0.0945666666666667+0.0394279717881768i</v>
      </c>
      <c r="S222" s="227" t="str">
        <f t="shared" si="76"/>
        <v>0.0085-12.6813522817305i</v>
      </c>
      <c r="T222" s="227" t="str">
        <f t="shared" si="77"/>
        <v>5.24195414842246-9.90804871444314i</v>
      </c>
      <c r="U222" s="227" t="str">
        <f t="shared" si="78"/>
        <v>97.7440871261016-24.3886229187832i</v>
      </c>
      <c r="V222" s="227">
        <f t="shared" si="90"/>
        <v>40.064109067119333</v>
      </c>
      <c r="W222" s="227">
        <f t="shared" si="91"/>
        <v>-14.010090520161697</v>
      </c>
      <c r="X222" s="227" t="str">
        <f t="shared" si="79"/>
        <v>0.999987323747359-0.00113208405198147i</v>
      </c>
      <c r="Y222" s="227" t="str">
        <f t="shared" si="80"/>
        <v>51.8449132198831+32.1130419346403i</v>
      </c>
      <c r="Z222" s="227" t="str">
        <f t="shared" si="81"/>
        <v>29.1719816013131+18.0236314833573i</v>
      </c>
      <c r="AA222" s="227" t="str">
        <f t="shared" si="82"/>
        <v>17.1361284610991-17.0541559313623i</v>
      </c>
      <c r="AB222" s="227">
        <f t="shared" si="92"/>
        <v>27.667779272240093</v>
      </c>
      <c r="AC222" s="227">
        <f t="shared" si="93"/>
        <v>-44.862631414909877</v>
      </c>
      <c r="AD222" s="229">
        <f t="shared" si="94"/>
        <v>-14.194501915123114</v>
      </c>
      <c r="AE222" s="229">
        <f t="shared" si="95"/>
        <v>148.9835845713543</v>
      </c>
      <c r="AF222" s="227">
        <f t="shared" si="83"/>
        <v>13.473277357116979</v>
      </c>
      <c r="AG222" s="227">
        <f t="shared" si="84"/>
        <v>104.12095315644441</v>
      </c>
      <c r="AH222" s="229" t="str">
        <f t="shared" si="85"/>
        <v>0.167211334131204-0.100535919443075i</v>
      </c>
    </row>
    <row r="223" spans="9:34" x14ac:dyDescent="0.2">
      <c r="I223" s="227">
        <v>219</v>
      </c>
      <c r="J223" s="227">
        <f t="shared" si="73"/>
        <v>3.1352768333655643</v>
      </c>
      <c r="K223" s="227">
        <f t="shared" si="96"/>
        <v>1365.4532433541208</v>
      </c>
      <c r="L223" s="227">
        <f t="shared" si="86"/>
        <v>8579.3957562833239</v>
      </c>
      <c r="M223" s="227">
        <f t="shared" si="74"/>
        <v>7421.970447732263</v>
      </c>
      <c r="N223" s="227">
        <f>SQRT((ABS(AC223)-171.5+'Small Signal'!C$59)^2)</f>
        <v>55.940729579708048</v>
      </c>
      <c r="O223" s="227">
        <f t="shared" si="87"/>
        <v>103.96198251044537</v>
      </c>
      <c r="P223" s="227">
        <f t="shared" si="88"/>
        <v>13.335216064237892</v>
      </c>
      <c r="Q223" s="227">
        <f t="shared" si="89"/>
        <v>1365.4532433541208</v>
      </c>
      <c r="R223" s="227" t="str">
        <f t="shared" si="75"/>
        <v>0.0945666666666667+0.0403231600545316i</v>
      </c>
      <c r="S223" s="227" t="str">
        <f t="shared" si="76"/>
        <v>0.0085-12.3998218225907i</v>
      </c>
      <c r="T223" s="227" t="str">
        <f t="shared" si="77"/>
        <v>5.06055274861614-9.7817760932801i</v>
      </c>
      <c r="U223" s="227" t="str">
        <f t="shared" si="78"/>
        <v>97.8088758196947-25.0368791689372i</v>
      </c>
      <c r="V223" s="227">
        <f t="shared" si="90"/>
        <v>40.083199830714108</v>
      </c>
      <c r="W223" s="227">
        <f t="shared" si="91"/>
        <v>-14.358130882976344</v>
      </c>
      <c r="X223" s="227" t="str">
        <f t="shared" si="79"/>
        <v>0.999986741599575-0.00115778733606886i</v>
      </c>
      <c r="Y223" s="227" t="str">
        <f t="shared" si="80"/>
        <v>52.3195592167605+32.8480070488041i</v>
      </c>
      <c r="Z223" s="227" t="str">
        <f t="shared" si="81"/>
        <v>29.4397926842541+18.4358211936887i</v>
      </c>
      <c r="AA223" s="227" t="str">
        <f t="shared" si="82"/>
        <v>16.7540742335409-17.084385661713i</v>
      </c>
      <c r="AB223" s="227">
        <f t="shared" si="92"/>
        <v>27.578325614167788</v>
      </c>
      <c r="AC223" s="227">
        <f t="shared" si="93"/>
        <v>-45.559270420291952</v>
      </c>
      <c r="AD223" s="229">
        <f t="shared" si="94"/>
        <v>-14.243109549929896</v>
      </c>
      <c r="AE223" s="229">
        <f t="shared" si="95"/>
        <v>149.52125293073732</v>
      </c>
      <c r="AF223" s="227">
        <f t="shared" si="83"/>
        <v>13.335216064237892</v>
      </c>
      <c r="AG223" s="227">
        <f t="shared" si="84"/>
        <v>103.96198251044537</v>
      </c>
      <c r="AH223" s="229" t="str">
        <f t="shared" si="85"/>
        <v>0.167209043542605-0.0984101280618156i</v>
      </c>
    </row>
    <row r="224" spans="9:34" x14ac:dyDescent="0.2">
      <c r="I224" s="227">
        <v>220</v>
      </c>
      <c r="J224" s="227">
        <f t="shared" si="73"/>
        <v>3.1450269558923485</v>
      </c>
      <c r="K224" s="227">
        <f t="shared" si="96"/>
        <v>1396.4550338665483</v>
      </c>
      <c r="L224" s="227">
        <f t="shared" si="86"/>
        <v>8774.1857509272686</v>
      </c>
      <c r="M224" s="227">
        <f t="shared" si="74"/>
        <v>7390.2647803059617</v>
      </c>
      <c r="N224" s="227">
        <f>SQRT((ABS(AC224)-171.5+'Small Signal'!C$59)^2)</f>
        <v>55.241858537224914</v>
      </c>
      <c r="O224" s="227">
        <f t="shared" si="87"/>
        <v>103.79403203770551</v>
      </c>
      <c r="P224" s="227">
        <f t="shared" si="88"/>
        <v>13.196609288800877</v>
      </c>
      <c r="Q224" s="227">
        <f t="shared" si="89"/>
        <v>1396.4550338665483</v>
      </c>
      <c r="R224" s="227" t="str">
        <f t="shared" si="75"/>
        <v>0.0945666666666667+0.0412386730293582i</v>
      </c>
      <c r="S224" s="227" t="str">
        <f t="shared" si="76"/>
        <v>0.0085-12.1245414381798i</v>
      </c>
      <c r="T224" s="227" t="str">
        <f t="shared" si="77"/>
        <v>4.88380485320992-9.65387676021358i</v>
      </c>
      <c r="U224" s="227" t="str">
        <f t="shared" si="78"/>
        <v>97.8751281464057-25.7067833941344i</v>
      </c>
      <c r="V224" s="227">
        <f t="shared" si="90"/>
        <v>40.103160482308837</v>
      </c>
      <c r="W224" s="227">
        <f t="shared" si="91"/>
        <v>-14.716278766779567</v>
      </c>
      <c r="X224" s="227" t="str">
        <f t="shared" si="79"/>
        <v>0.999986132717073-0.00118407419768455i</v>
      </c>
      <c r="Y224" s="227" t="str">
        <f t="shared" si="80"/>
        <v>52.8192760195252+33.5993974659291i</v>
      </c>
      <c r="Z224" s="227" t="str">
        <f t="shared" si="81"/>
        <v>29.7217427470018+18.8571978482619i</v>
      </c>
      <c r="AA224" s="227" t="str">
        <f t="shared" si="82"/>
        <v>16.3708554536326-17.1060840690142i</v>
      </c>
      <c r="AB224" s="227">
        <f t="shared" si="92"/>
        <v>27.486709269123967</v>
      </c>
      <c r="AC224" s="227">
        <f t="shared" si="93"/>
        <v>-46.258141462775093</v>
      </c>
      <c r="AD224" s="229">
        <f t="shared" si="94"/>
        <v>-14.29009998032309</v>
      </c>
      <c r="AE224" s="229">
        <f t="shared" si="95"/>
        <v>150.05217350048059</v>
      </c>
      <c r="AF224" s="227">
        <f t="shared" si="83"/>
        <v>13.196609288800877</v>
      </c>
      <c r="AG224" s="227">
        <f t="shared" si="84"/>
        <v>103.79403203770551</v>
      </c>
      <c r="AH224" s="229" t="str">
        <f t="shared" si="85"/>
        <v>0.16720671567098-0.0963339378151834i</v>
      </c>
    </row>
    <row r="225" spans="9:34" x14ac:dyDescent="0.2">
      <c r="I225" s="227">
        <v>221</v>
      </c>
      <c r="J225" s="227">
        <f t="shared" si="73"/>
        <v>3.1547770784191318</v>
      </c>
      <c r="K225" s="227">
        <f t="shared" si="96"/>
        <v>1428.1607012928498</v>
      </c>
      <c r="L225" s="227">
        <f t="shared" si="86"/>
        <v>8973.3983346545283</v>
      </c>
      <c r="M225" s="227">
        <f t="shared" si="74"/>
        <v>7357.8392548659258</v>
      </c>
      <c r="N225" s="227">
        <f>SQRT((ABS(AC225)-171.5+'Small Signal'!C$59)^2)</f>
        <v>54.541048734736023</v>
      </c>
      <c r="O225" s="227">
        <f t="shared" si="87"/>
        <v>103.61725727659746</v>
      </c>
      <c r="P225" s="227">
        <f t="shared" si="88"/>
        <v>13.057414887026091</v>
      </c>
      <c r="Q225" s="227">
        <f t="shared" si="89"/>
        <v>1428.1607012928498</v>
      </c>
      <c r="R225" s="227" t="str">
        <f t="shared" si="75"/>
        <v>0.0945666666666667+0.0421749721728763i</v>
      </c>
      <c r="S225" s="227" t="str">
        <f t="shared" si="76"/>
        <v>0.0085-11.8553723746512i</v>
      </c>
      <c r="T225" s="227" t="str">
        <f t="shared" si="77"/>
        <v>4.71170498163113-9.52454005518432i</v>
      </c>
      <c r="U225" s="227" t="str">
        <f t="shared" si="78"/>
        <v>97.9427420054982-26.3993486052803i</v>
      </c>
      <c r="V225" s="227">
        <f t="shared" si="90"/>
        <v>40.124029796074218</v>
      </c>
      <c r="W225" s="227">
        <f t="shared" si="91"/>
        <v>-15.084931726105921</v>
      </c>
      <c r="X225" s="227" t="str">
        <f t="shared" si="79"/>
        <v>0.99998549587208-0.00121095788660356i</v>
      </c>
      <c r="Y225" s="227" t="str">
        <f t="shared" si="80"/>
        <v>53.3455357502283+34.3674776907331i</v>
      </c>
      <c r="Z225" s="227" t="str">
        <f t="shared" si="81"/>
        <v>30.0186613570536+19.2879070955192i</v>
      </c>
      <c r="AA225" s="227" t="str">
        <f t="shared" si="82"/>
        <v>15.9868545340855-17.1191966291993i</v>
      </c>
      <c r="AB225" s="227">
        <f t="shared" si="92"/>
        <v>27.39292542681849</v>
      </c>
      <c r="AC225" s="227">
        <f t="shared" si="93"/>
        <v>-46.958951265263984</v>
      </c>
      <c r="AD225" s="229">
        <f t="shared" si="94"/>
        <v>-14.335510539792399</v>
      </c>
      <c r="AE225" s="229">
        <f t="shared" si="95"/>
        <v>150.57620854186143</v>
      </c>
      <c r="AF225" s="227">
        <f t="shared" si="83"/>
        <v>13.057414887026091</v>
      </c>
      <c r="AG225" s="227">
        <f t="shared" si="84"/>
        <v>103.61725727659746</v>
      </c>
      <c r="AH225" s="229" t="str">
        <f t="shared" si="85"/>
        <v>0.167204345826478-0.0943063020675227i</v>
      </c>
    </row>
    <row r="226" spans="9:34" x14ac:dyDescent="0.2">
      <c r="I226" s="227">
        <v>222</v>
      </c>
      <c r="J226" s="227">
        <f t="shared" si="73"/>
        <v>3.1645272009459151</v>
      </c>
      <c r="K226" s="227">
        <f t="shared" si="96"/>
        <v>1460.586226732886</v>
      </c>
      <c r="L226" s="227">
        <f t="shared" si="86"/>
        <v>9177.1339196769404</v>
      </c>
      <c r="M226" s="227">
        <f t="shared" si="74"/>
        <v>7324.677527471089</v>
      </c>
      <c r="N226" s="227">
        <f>SQRT((ABS(AC226)-171.5+'Small Signal'!C$59)^2)</f>
        <v>53.8385944758829</v>
      </c>
      <c r="O226" s="227">
        <f t="shared" si="87"/>
        <v>103.43182544371055</v>
      </c>
      <c r="P226" s="227">
        <f t="shared" si="88"/>
        <v>12.917592663360859</v>
      </c>
      <c r="Q226" s="227">
        <f t="shared" si="89"/>
        <v>1460.586226732886</v>
      </c>
      <c r="R226" s="227" t="str">
        <f t="shared" si="75"/>
        <v>0.0945666666666667+0.0431325294224816i</v>
      </c>
      <c r="S226" s="227" t="str">
        <f t="shared" si="76"/>
        <v>0.0085-11.5921789585424i</v>
      </c>
      <c r="T226" s="227" t="str">
        <f t="shared" si="77"/>
        <v>4.54423881758234-9.39395070084547i</v>
      </c>
      <c r="U226" s="227" t="str">
        <f t="shared" si="78"/>
        <v>98.0115904468166-27.1156512719246i</v>
      </c>
      <c r="V226" s="227">
        <f t="shared" si="90"/>
        <v>40.145848131891441</v>
      </c>
      <c r="W226" s="227">
        <f t="shared" si="91"/>
        <v>-15.464509806437686</v>
      </c>
      <c r="X226" s="227" t="str">
        <f t="shared" si="79"/>
        <v>0.999984829780439-0.00123845195342905i</v>
      </c>
      <c r="Y226" s="227" t="str">
        <f t="shared" si="80"/>
        <v>53.899909902991+35.1524980460813i</v>
      </c>
      <c r="Z226" s="227" t="str">
        <f t="shared" si="81"/>
        <v>30.3314340174865+19.7280863694469i</v>
      </c>
      <c r="AA226" s="227" t="str">
        <f t="shared" si="82"/>
        <v>15.6024570279521-17.1236902754419i</v>
      </c>
      <c r="AB226" s="227">
        <f t="shared" si="92"/>
        <v>27.296971497306394</v>
      </c>
      <c r="AC226" s="227">
        <f t="shared" si="93"/>
        <v>-47.661405524117093</v>
      </c>
      <c r="AD226" s="229">
        <f t="shared" si="94"/>
        <v>-14.379378833945536</v>
      </c>
      <c r="AE226" s="229">
        <f t="shared" si="95"/>
        <v>151.09323096782765</v>
      </c>
      <c r="AF226" s="227">
        <f t="shared" si="83"/>
        <v>12.917592663360859</v>
      </c>
      <c r="AG226" s="227">
        <f t="shared" si="84"/>
        <v>103.43182544371055</v>
      </c>
      <c r="AH226" s="229" t="str">
        <f t="shared" si="85"/>
        <v>0.167201929235008-0.0923261986469221i</v>
      </c>
    </row>
    <row r="227" spans="9:34" x14ac:dyDescent="0.2">
      <c r="I227" s="227">
        <v>223</v>
      </c>
      <c r="J227" s="227">
        <f t="shared" si="73"/>
        <v>3.1742773234726984</v>
      </c>
      <c r="K227" s="227">
        <f t="shared" si="96"/>
        <v>1493.7479541277221</v>
      </c>
      <c r="L227" s="227">
        <f t="shared" si="86"/>
        <v>9385.49519800487</v>
      </c>
      <c r="M227" s="227">
        <f t="shared" si="74"/>
        <v>7290.7628831010807</v>
      </c>
      <c r="N227" s="227">
        <f>SQRT((ABS(AC227)-171.5+'Small Signal'!C$59)^2)</f>
        <v>53.134790268216449</v>
      </c>
      <c r="O227" s="227">
        <f t="shared" si="87"/>
        <v>103.23791446277801</v>
      </c>
      <c r="P227" s="227">
        <f t="shared" si="88"/>
        <v>12.777104471671516</v>
      </c>
      <c r="Q227" s="227">
        <f t="shared" si="89"/>
        <v>1493.7479541277221</v>
      </c>
      <c r="R227" s="227" t="str">
        <f t="shared" si="75"/>
        <v>0.0945666666666667+0.0441118274306229i</v>
      </c>
      <c r="S227" s="227" t="str">
        <f t="shared" si="76"/>
        <v>0.0085-11.3348285283891i</v>
      </c>
      <c r="T227" s="227" t="str">
        <f t="shared" si="77"/>
        <v>4.38138371876513-9.26228841918735i</v>
      </c>
      <c r="U227" s="227" t="str">
        <f t="shared" si="78"/>
        <v>98.081517959534-27.8568359647455i</v>
      </c>
      <c r="V227" s="227">
        <f t="shared" si="90"/>
        <v>40.168657476037822</v>
      </c>
      <c r="W227" s="227">
        <f t="shared" si="91"/>
        <v>-15.855457207032787</v>
      </c>
      <c r="X227" s="227" t="str">
        <f t="shared" si="79"/>
        <v>0.999984133099019-0.00126657025642241i</v>
      </c>
      <c r="Y227" s="227" t="str">
        <f t="shared" si="80"/>
        <v>54.4840770593599+35.9546910930145i</v>
      </c>
      <c r="Z227" s="227" t="str">
        <f t="shared" si="81"/>
        <v>30.6610065036657+20.1778628552302i</v>
      </c>
      <c r="AA227" s="227" t="str">
        <f t="shared" si="82"/>
        <v>15.2180500841517-17.1195536006447i</v>
      </c>
      <c r="AB227" s="227">
        <f t="shared" si="92"/>
        <v>27.198847125990756</v>
      </c>
      <c r="AC227" s="227">
        <f t="shared" si="93"/>
        <v>-48.365209731783544</v>
      </c>
      <c r="AD227" s="229">
        <f t="shared" si="94"/>
        <v>-14.421742654319241</v>
      </c>
      <c r="AE227" s="229">
        <f t="shared" si="95"/>
        <v>151.60312419456156</v>
      </c>
      <c r="AF227" s="227">
        <f t="shared" si="83"/>
        <v>12.777104471671516</v>
      </c>
      <c r="AG227" s="227">
        <f t="shared" si="84"/>
        <v>103.23791446277801</v>
      </c>
      <c r="AH227" s="229" t="str">
        <f t="shared" si="85"/>
        <v>0.167199461028641-0.09039262932931i</v>
      </c>
    </row>
    <row r="228" spans="9:34" x14ac:dyDescent="0.2">
      <c r="I228" s="227">
        <v>224</v>
      </c>
      <c r="J228" s="227">
        <f t="shared" si="73"/>
        <v>3.1840274459994817</v>
      </c>
      <c r="K228" s="227">
        <f t="shared" si="96"/>
        <v>1527.6625984977304</v>
      </c>
      <c r="L228" s="227">
        <f t="shared" si="86"/>
        <v>9598.5871932087266</v>
      </c>
      <c r="M228" s="227">
        <f t="shared" si="74"/>
        <v>7256.0782272310953</v>
      </c>
      <c r="N228" s="227">
        <f>SQRT((ABS(AC228)-171.5+'Small Signal'!C$59)^2)</f>
        <v>52.429929995262114</v>
      </c>
      <c r="O228" s="227">
        <f t="shared" si="87"/>
        <v>103.0357119574582</v>
      </c>
      <c r="P228" s="227">
        <f t="shared" si="88"/>
        <v>12.635914304162576</v>
      </c>
      <c r="Q228" s="227">
        <f t="shared" si="89"/>
        <v>1527.6625984977304</v>
      </c>
      <c r="R228" s="227" t="str">
        <f t="shared" si="75"/>
        <v>0.0945666666666667+0.045113359808081i</v>
      </c>
      <c r="S228" s="227" t="str">
        <f t="shared" si="76"/>
        <v>0.0085-11.0831913678581i</v>
      </c>
      <c r="T228" s="227" t="str">
        <f t="shared" si="77"/>
        <v>4.22310923582922-9.12972759649831i</v>
      </c>
      <c r="U228" s="227" t="str">
        <f t="shared" si="78"/>
        <v>98.1523362393525-28.624120347097i</v>
      </c>
      <c r="V228" s="227">
        <f t="shared" si="90"/>
        <v>40.192501478390966</v>
      </c>
      <c r="W228" s="227">
        <f t="shared" si="91"/>
        <v>-16.258244087699723</v>
      </c>
      <c r="X228" s="227" t="str">
        <f t="shared" si="79"/>
        <v>0.999983404423005-0.00129532696848853i</v>
      </c>
      <c r="Y228" s="227" t="str">
        <f t="shared" si="80"/>
        <v>55.0998312615199+36.7742674576632i</v>
      </c>
      <c r="Z228" s="227" t="str">
        <f t="shared" si="81"/>
        <v>31.0083895690146+20.6373511193246i</v>
      </c>
      <c r="AA228" s="227" t="str">
        <f t="shared" si="82"/>
        <v>14.834020889368-17.1067969273501i</v>
      </c>
      <c r="AB228" s="227">
        <f t="shared" si="92"/>
        <v>27.098554199854412</v>
      </c>
      <c r="AC228" s="227">
        <f t="shared" si="93"/>
        <v>-49.070070004737893</v>
      </c>
      <c r="AD228" s="229">
        <f t="shared" si="94"/>
        <v>-14.462639895691837</v>
      </c>
      <c r="AE228" s="229">
        <f t="shared" si="95"/>
        <v>152.10578196219609</v>
      </c>
      <c r="AF228" s="227">
        <f t="shared" si="83"/>
        <v>12.635914304162576</v>
      </c>
      <c r="AG228" s="227">
        <f t="shared" si="84"/>
        <v>103.0357119574582</v>
      </c>
      <c r="AH228" s="229" t="str">
        <f t="shared" si="85"/>
        <v>0.167196936235835-0.0885046193345696i</v>
      </c>
    </row>
    <row r="229" spans="9:34" x14ac:dyDescent="0.2">
      <c r="I229" s="227">
        <v>225</v>
      </c>
      <c r="J229" s="227">
        <f t="shared" si="73"/>
        <v>3.193777568526265</v>
      </c>
      <c r="K229" s="227">
        <f t="shared" si="96"/>
        <v>1562.347254367716</v>
      </c>
      <c r="L229" s="227">
        <f t="shared" si="86"/>
        <v>9816.5173133556</v>
      </c>
      <c r="M229" s="227">
        <f t="shared" si="74"/>
        <v>7220.6060772154779</v>
      </c>
      <c r="N229" s="227">
        <f>SQRT((ABS(AC229)-171.5+'Small Signal'!C$59)^2)</f>
        <v>51.724306088278666</v>
      </c>
      <c r="O229" s="227">
        <f t="shared" si="87"/>
        <v>102.82541421559179</v>
      </c>
      <c r="P229" s="227">
        <f t="shared" si="88"/>
        <v>12.493988367758972</v>
      </c>
      <c r="Q229" s="227">
        <f t="shared" si="89"/>
        <v>1562.347254367716</v>
      </c>
      <c r="R229" s="227" t="str">
        <f t="shared" si="75"/>
        <v>0.0945666666666667+0.0461376313727713i</v>
      </c>
      <c r="S229" s="227" t="str">
        <f t="shared" si="76"/>
        <v>0.0085-10.8371406403642i</v>
      </c>
      <c r="T229" s="227" t="str">
        <f t="shared" si="77"/>
        <v>4.0693776363285-8.99643699544312i</v>
      </c>
      <c r="U229" s="227" t="str">
        <f t="shared" si="78"/>
        <v>98.2238193591343-29.4188005370472i</v>
      </c>
      <c r="V229" s="227">
        <f t="shared" si="90"/>
        <v>40.217425485083929</v>
      </c>
      <c r="W229" s="227">
        <f t="shared" si="91"/>
        <v>-16.673368533226647</v>
      </c>
      <c r="X229" s="227" t="str">
        <f t="shared" si="79"/>
        <v>0.99998264228307-0.00132473658431948i</v>
      </c>
      <c r="Y229" s="227" t="str">
        <f t="shared" si="80"/>
        <v>55.7490910989418+37.6114109699841i</v>
      </c>
      <c r="Z229" s="227" t="str">
        <f t="shared" si="81"/>
        <v>31.3746640509172+21.1066503502733i</v>
      </c>
      <c r="AA229" s="227" t="str">
        <f t="shared" si="82"/>
        <v>14.4507551096205-17.0854522442767i</v>
      </c>
      <c r="AB229" s="227">
        <f t="shared" si="92"/>
        <v>26.996096844882874</v>
      </c>
      <c r="AC229" s="227">
        <f t="shared" si="93"/>
        <v>-49.775693911721326</v>
      </c>
      <c r="AD229" s="229">
        <f t="shared" si="94"/>
        <v>-14.502108477123903</v>
      </c>
      <c r="AE229" s="229">
        <f t="shared" si="95"/>
        <v>152.60110812731313</v>
      </c>
      <c r="AF229" s="227">
        <f t="shared" si="83"/>
        <v>12.493988367758972</v>
      </c>
      <c r="AG229" s="227">
        <f t="shared" si="84"/>
        <v>102.82541421559179</v>
      </c>
      <c r="AH229" s="229" t="str">
        <f t="shared" si="85"/>
        <v>0.167194349771461-0.0866612168344226i</v>
      </c>
    </row>
    <row r="230" spans="9:34" x14ac:dyDescent="0.2">
      <c r="I230" s="227">
        <v>226</v>
      </c>
      <c r="J230" s="227">
        <f t="shared" si="73"/>
        <v>3.2035276910530484</v>
      </c>
      <c r="K230" s="227">
        <f t="shared" si="96"/>
        <v>1597.8194043833332</v>
      </c>
      <c r="L230" s="227">
        <f t="shared" si="86"/>
        <v>10039.395405147798</v>
      </c>
      <c r="M230" s="227">
        <f t="shared" si="74"/>
        <v>7184.3285534756678</v>
      </c>
      <c r="N230" s="227">
        <f>SQRT((ABS(AC230)-171.5+'Small Signal'!C$59)^2)</f>
        <v>51.018208702725104</v>
      </c>
      <c r="O230" s="227">
        <f t="shared" si="87"/>
        <v>102.60722513260373</v>
      </c>
      <c r="P230" s="227">
        <f t="shared" si="88"/>
        <v>12.351295147805889</v>
      </c>
      <c r="Q230" s="227">
        <f t="shared" si="89"/>
        <v>1597.8194043833332</v>
      </c>
      <c r="R230" s="227" t="str">
        <f t="shared" si="75"/>
        <v>0.0945666666666667+0.0471851584041946i</v>
      </c>
      <c r="S230" s="227" t="str">
        <f t="shared" si="76"/>
        <v>0.0085-10.5965523251386i</v>
      </c>
      <c r="T230" s="227" t="str">
        <f t="shared" si="77"/>
        <v>3.92014442977414-8.8625795127194i</v>
      </c>
      <c r="U230" s="227" t="str">
        <f t="shared" si="78"/>
        <v>98.2956982566644-30.2422568608922i</v>
      </c>
      <c r="V230" s="227">
        <f t="shared" si="90"/>
        <v>40.243476565334014</v>
      </c>
      <c r="W230" s="227">
        <f t="shared" si="91"/>
        <v>-17.101358690528038</v>
      </c>
      <c r="X230" s="227" t="str">
        <f t="shared" si="79"/>
        <v>0.999981845142407-0.0013548139277006i</v>
      </c>
      <c r="Y230" s="227" t="str">
        <f t="shared" si="80"/>
        <v>56.4339095674127+38.4662730036606i</v>
      </c>
      <c r="Z230" s="227" t="str">
        <f t="shared" si="81"/>
        <v>31.7609864096861+21.5858411478141i</v>
      </c>
      <c r="AA230" s="227" t="str">
        <f t="shared" si="82"/>
        <v>14.0686353448255-17.0555730102048i</v>
      </c>
      <c r="AB230" s="227">
        <f t="shared" si="92"/>
        <v>26.891481414718832</v>
      </c>
      <c r="AC230" s="227">
        <f t="shared" si="93"/>
        <v>-50.481791297274903</v>
      </c>
      <c r="AD230" s="229">
        <f t="shared" si="94"/>
        <v>-14.540186266912944</v>
      </c>
      <c r="AE230" s="229">
        <f t="shared" si="95"/>
        <v>153.08901642987863</v>
      </c>
      <c r="AF230" s="227">
        <f t="shared" si="83"/>
        <v>12.351295147805889</v>
      </c>
      <c r="AG230" s="227">
        <f t="shared" si="84"/>
        <v>102.60722513260373</v>
      </c>
      <c r="AH230" s="229" t="str">
        <f t="shared" si="85"/>
        <v>0.16719169642659-0.0848614924718254i</v>
      </c>
    </row>
    <row r="231" spans="9:34" x14ac:dyDescent="0.2">
      <c r="I231" s="227">
        <v>227</v>
      </c>
      <c r="J231" s="227">
        <f t="shared" si="73"/>
        <v>3.2132778135798317</v>
      </c>
      <c r="K231" s="227">
        <f t="shared" si="96"/>
        <v>1634.0969281231435</v>
      </c>
      <c r="L231" s="227">
        <f t="shared" si="86"/>
        <v>10267.333809290631</v>
      </c>
      <c r="M231" s="227">
        <f t="shared" si="74"/>
        <v>7147.2273704880863</v>
      </c>
      <c r="N231" s="227">
        <f>SQRT((ABS(AC231)-171.5+'Small Signal'!C$59)^2)</f>
        <v>50.311924904375147</v>
      </c>
      <c r="O231" s="227">
        <f t="shared" si="87"/>
        <v>102.38135514164777</v>
      </c>
      <c r="P231" s="227">
        <f t="shared" si="88"/>
        <v>12.20780545905567</v>
      </c>
      <c r="Q231" s="227">
        <f t="shared" si="89"/>
        <v>1634.0969281231435</v>
      </c>
      <c r="R231" s="227" t="str">
        <f t="shared" si="75"/>
        <v>0.0945666666666667+0.048256468903666i</v>
      </c>
      <c r="S231" s="227" t="str">
        <f t="shared" si="76"/>
        <v>0.0085-10.3613051547171i</v>
      </c>
      <c r="T231" s="227" t="str">
        <f t="shared" si="77"/>
        <v>3.77535889019737-8.72831198047779i</v>
      </c>
      <c r="U231" s="227" t="str">
        <f t="shared" si="78"/>
        <v>98.3676544402528-31.0959600180417i</v>
      </c>
      <c r="V231" s="227">
        <f t="shared" si="90"/>
        <v>40.270703530922418</v>
      </c>
      <c r="W231" s="227">
        <f t="shared" si="91"/>
        <v>-17.542775095055458</v>
      </c>
      <c r="X231" s="227" t="str">
        <f t="shared" si="79"/>
        <v>0.999981011393632-0.00138557415898227i</v>
      </c>
      <c r="Y231" s="227" t="str">
        <f t="shared" si="80"/>
        <v>57.1564847625007+39.3389658883422i</v>
      </c>
      <c r="Z231" s="227" t="str">
        <f t="shared" si="81"/>
        <v>32.1685947352335+22.0749817875807i</v>
      </c>
      <c r="AA231" s="227" t="str">
        <f t="shared" si="82"/>
        <v>13.6880396094627-17.017233827443i</v>
      </c>
      <c r="AB231" s="227">
        <f t="shared" si="92"/>
        <v>26.784716470661554</v>
      </c>
      <c r="AC231" s="227">
        <f t="shared" si="93"/>
        <v>-51.188075095624853</v>
      </c>
      <c r="AD231" s="229">
        <f t="shared" si="94"/>
        <v>-14.576911011605883</v>
      </c>
      <c r="AE231" s="229">
        <f t="shared" si="95"/>
        <v>153.56943023727263</v>
      </c>
      <c r="AF231" s="227">
        <f t="shared" si="83"/>
        <v>12.20780545905567</v>
      </c>
      <c r="AG231" s="227">
        <f t="shared" si="84"/>
        <v>102.38135514164777</v>
      </c>
      <c r="AH231" s="229" t="str">
        <f t="shared" si="85"/>
        <v>0.167188970858044-0.0831045388916325i</v>
      </c>
    </row>
    <row r="232" spans="9:34" x14ac:dyDescent="0.2">
      <c r="I232" s="227">
        <v>228</v>
      </c>
      <c r="J232" s="227">
        <f t="shared" si="73"/>
        <v>3.223027936106615</v>
      </c>
      <c r="K232" s="227">
        <f t="shared" si="96"/>
        <v>1671.1981111107257</v>
      </c>
      <c r="L232" s="227">
        <f t="shared" si="86"/>
        <v>10500.44741711719</v>
      </c>
      <c r="M232" s="227">
        <f t="shared" si="74"/>
        <v>7109.2838275673848</v>
      </c>
      <c r="N232" s="227">
        <f>SQRT((ABS(AC232)-171.5+'Small Signal'!C$59)^2)</f>
        <v>49.60573786992687</v>
      </c>
      <c r="O232" s="227">
        <f t="shared" si="87"/>
        <v>102.14802013796638</v>
      </c>
      <c r="P232" s="227">
        <f t="shared" si="88"/>
        <v>12.063492484023154</v>
      </c>
      <c r="Q232" s="227">
        <f t="shared" si="89"/>
        <v>1671.1981111107257</v>
      </c>
      <c r="R232" s="227" t="str">
        <f t="shared" si="75"/>
        <v>0.0945666666666667+0.0493521028604508i</v>
      </c>
      <c r="S232" s="227" t="str">
        <f t="shared" si="76"/>
        <v>0.0085-10.1312805538158i</v>
      </c>
      <c r="T232" s="227" t="str">
        <f t="shared" si="77"/>
        <v>3.63496457296552-8.59378500946265i</v>
      </c>
      <c r="U232" s="227" t="str">
        <f t="shared" si="78"/>
        <v>98.4393127978785-31.9814776752151i</v>
      </c>
      <c r="V232" s="227">
        <f t="shared" si="90"/>
        <v>40.299156946511161</v>
      </c>
      <c r="W232" s="227">
        <f t="shared" si="91"/>
        <v>-17.998213204638095</v>
      </c>
      <c r="X232" s="227" t="str">
        <f t="shared" si="79"/>
        <v>0.999980139355544-0.00141703278272151i</v>
      </c>
      <c r="Y232" s="227" t="str">
        <f t="shared" si="80"/>
        <v>57.9191714721188+40.2295552441209i</v>
      </c>
      <c r="Z232" s="227" t="str">
        <f t="shared" si="81"/>
        <v>32.5988152575027+22.5741038767148i</v>
      </c>
      <c r="AA232" s="227" t="str">
        <f t="shared" si="82"/>
        <v>13.3093398520905-16.9705299885731i</v>
      </c>
      <c r="AB232" s="227">
        <f t="shared" si="92"/>
        <v>26.675812753199629</v>
      </c>
      <c r="AC232" s="227">
        <f t="shared" si="93"/>
        <v>-51.89426213007313</v>
      </c>
      <c r="AD232" s="229">
        <f t="shared" si="94"/>
        <v>-14.612320269176475</v>
      </c>
      <c r="AE232" s="229">
        <f t="shared" si="95"/>
        <v>154.04228226803951</v>
      </c>
      <c r="AF232" s="227">
        <f t="shared" si="83"/>
        <v>12.063492484023154</v>
      </c>
      <c r="AG232" s="227">
        <f t="shared" si="84"/>
        <v>102.14802013796638</v>
      </c>
      <c r="AH232" s="229" t="str">
        <f t="shared" si="85"/>
        <v>0.167186167577674-0.0813894702822893i</v>
      </c>
    </row>
    <row r="233" spans="9:34" x14ac:dyDescent="0.2">
      <c r="I233" s="227">
        <v>229</v>
      </c>
      <c r="J233" s="227">
        <f t="shared" si="73"/>
        <v>3.2327780586333987</v>
      </c>
      <c r="K233" s="227">
        <f t="shared" si="96"/>
        <v>1709.1416540314265</v>
      </c>
      <c r="L233" s="227">
        <f t="shared" si="86"/>
        <v>10738.853728498874</v>
      </c>
      <c r="M233" s="227">
        <f t="shared" si="74"/>
        <v>7070.4787994404733</v>
      </c>
      <c r="N233" s="227">
        <f>SQRT((ABS(AC233)-171.5+'Small Signal'!C$59)^2)</f>
        <v>48.89992610676677</v>
      </c>
      <c r="O233" s="227">
        <f t="shared" si="87"/>
        <v>101.90744040471017</v>
      </c>
      <c r="P233" s="227">
        <f t="shared" si="88"/>
        <v>11.918331798900597</v>
      </c>
      <c r="Q233" s="227">
        <f t="shared" si="89"/>
        <v>1709.1416540314265</v>
      </c>
      <c r="R233" s="227" t="str">
        <f t="shared" si="75"/>
        <v>0.0945666666666667+0.0504726125239447i</v>
      </c>
      <c r="S233" s="227" t="str">
        <f t="shared" si="76"/>
        <v>0.0085-9.90636257956326i</v>
      </c>
      <c r="T233" s="227" t="str">
        <f t="shared" si="77"/>
        <v>3.4988998229327-8.45914287164867i</v>
      </c>
      <c r="U233" s="227" t="str">
        <f t="shared" si="78"/>
        <v>98.510233378241-32.9004815047537i</v>
      </c>
      <c r="V233" s="227">
        <f t="shared" si="90"/>
        <v>40.328889128638338</v>
      </c>
      <c r="W233" s="227">
        <f t="shared" si="91"/>
        <v>-18.46830616066735</v>
      </c>
      <c r="X233" s="227" t="str">
        <f t="shared" si="79"/>
        <v>0.999979227269735-0.0014492056554969i</v>
      </c>
      <c r="Y233" s="227" t="str">
        <f t="shared" si="80"/>
        <v>58.7244937346773+41.1380510633256i</v>
      </c>
      <c r="Z233" s="227" t="str">
        <f t="shared" si="81"/>
        <v>33.0530693976875+23.0832073017242i</v>
      </c>
      <c r="AA233" s="227" t="str">
        <f t="shared" si="82"/>
        <v>12.9329005258848-16.9155769015776i</v>
      </c>
      <c r="AB233" s="227">
        <f t="shared" si="92"/>
        <v>26.564783145337451</v>
      </c>
      <c r="AC233" s="227">
        <f t="shared" si="93"/>
        <v>-52.600073893233223</v>
      </c>
      <c r="AD233" s="229">
        <f t="shared" si="94"/>
        <v>-14.646451346436853</v>
      </c>
      <c r="AE233" s="229">
        <f t="shared" si="95"/>
        <v>154.5075142979434</v>
      </c>
      <c r="AF233" s="227">
        <f t="shared" si="83"/>
        <v>11.918331798900597</v>
      </c>
      <c r="AG233" s="227">
        <f t="shared" si="84"/>
        <v>101.90744040471017</v>
      </c>
      <c r="AH233" s="229" t="str">
        <f t="shared" si="85"/>
        <v>0.167183280941371-0.0797154219283143i</v>
      </c>
    </row>
    <row r="234" spans="9:34" x14ac:dyDescent="0.2">
      <c r="I234" s="227">
        <v>230</v>
      </c>
      <c r="J234" s="227">
        <f t="shared" si="73"/>
        <v>3.242528181160182</v>
      </c>
      <c r="K234" s="227">
        <f t="shared" si="96"/>
        <v>1747.9466821583385</v>
      </c>
      <c r="L234" s="227">
        <f t="shared" si="86"/>
        <v>10982.672911070578</v>
      </c>
      <c r="M234" s="227">
        <f t="shared" si="74"/>
        <v>7030.7927266064835</v>
      </c>
      <c r="N234" s="227">
        <f>SQRT((ABS(AC234)-171.5+'Small Signal'!C$59)^2)</f>
        <v>48.194762696361479</v>
      </c>
      <c r="O234" s="227">
        <f t="shared" si="87"/>
        <v>101.65983954719401</v>
      </c>
      <c r="P234" s="227">
        <f t="shared" si="88"/>
        <v>11.772301387320054</v>
      </c>
      <c r="Q234" s="227">
        <f t="shared" si="89"/>
        <v>1747.9466821583385</v>
      </c>
      <c r="R234" s="227" t="str">
        <f t="shared" si="75"/>
        <v>0.0945666666666667+0.0516185626820317i</v>
      </c>
      <c r="S234" s="227" t="str">
        <f t="shared" si="76"/>
        <v>0.0085-9.68643786306066i</v>
      </c>
      <c r="T234" s="227" t="str">
        <f t="shared" si="77"/>
        <v>3.36709827134181-8.32452342000894i</v>
      </c>
      <c r="U234" s="227" t="str">
        <f t="shared" si="78"/>
        <v>98.5799019920905-33.8547546772123i</v>
      </c>
      <c r="V234" s="227">
        <f t="shared" si="90"/>
        <v>40.359954130825038</v>
      </c>
      <c r="W234" s="227">
        <f t="shared" si="91"/>
        <v>-18.953727798432016</v>
      </c>
      <c r="X234" s="227" t="str">
        <f t="shared" si="79"/>
        <v>0.999978273297041-0.00148210899390105i</v>
      </c>
      <c r="Y234" s="227" t="str">
        <f t="shared" si="80"/>
        <v>59.5751584300259+42.06439733564i</v>
      </c>
      <c r="Z234" s="227" t="str">
        <f t="shared" si="81"/>
        <v>33.5328813975975+23.6022543535496i</v>
      </c>
      <c r="AA234" s="227" t="str">
        <f t="shared" si="82"/>
        <v>12.55907722165-16.8525093997531i</v>
      </c>
      <c r="AB234" s="227">
        <f t="shared" si="92"/>
        <v>26.451642628041657</v>
      </c>
      <c r="AC234" s="227">
        <f t="shared" si="93"/>
        <v>-53.305237303638521</v>
      </c>
      <c r="AD234" s="229">
        <f t="shared" si="94"/>
        <v>-14.679341240721604</v>
      </c>
      <c r="AE234" s="229">
        <f t="shared" si="95"/>
        <v>154.96507685083253</v>
      </c>
      <c r="AF234" s="227">
        <f t="shared" si="83"/>
        <v>11.772301387320054</v>
      </c>
      <c r="AG234" s="227">
        <f t="shared" si="84"/>
        <v>101.65983954719401</v>
      </c>
      <c r="AH234" s="229" t="str">
        <f t="shared" si="85"/>
        <v>0.167180305137737-0.0780815497733445i</v>
      </c>
    </row>
    <row r="235" spans="9:34" x14ac:dyDescent="0.2">
      <c r="I235" s="227">
        <v>231</v>
      </c>
      <c r="J235" s="227">
        <f t="shared" si="73"/>
        <v>3.2522783036869654</v>
      </c>
      <c r="K235" s="227">
        <f t="shared" si="96"/>
        <v>1787.632754992328</v>
      </c>
      <c r="L235" s="227">
        <f t="shared" si="86"/>
        <v>11232.027860800761</v>
      </c>
      <c r="M235" s="227">
        <f t="shared" si="74"/>
        <v>6990.2056054779068</v>
      </c>
      <c r="N235" s="227">
        <f>SQRT((ABS(AC235)-171.5+'Small Signal'!C$59)^2)</f>
        <v>47.490514565460359</v>
      </c>
      <c r="O235" s="227">
        <f t="shared" si="87"/>
        <v>101.40544344220882</v>
      </c>
      <c r="P235" s="227">
        <f t="shared" si="88"/>
        <v>11.625381642350368</v>
      </c>
      <c r="Q235" s="227">
        <f t="shared" si="89"/>
        <v>1787.632754992328</v>
      </c>
      <c r="R235" s="227" t="str">
        <f t="shared" si="75"/>
        <v>0.0945666666666667+0.0527905309457636i</v>
      </c>
      <c r="S235" s="227" t="str">
        <f t="shared" si="76"/>
        <v>0.0085-9.47139555223825i</v>
      </c>
      <c r="T235" s="227" t="str">
        <f t="shared" si="77"/>
        <v>3.23948931922232-8.19005804294781i</v>
      </c>
      <c r="U235" s="227" t="str">
        <f t="shared" si="78"/>
        <v>98.6477194591452-34.8461998117676i</v>
      </c>
      <c r="V235" s="227">
        <f t="shared" si="90"/>
        <v>40.392407711743544</v>
      </c>
      <c r="W235" s="227">
        <f t="shared" si="91"/>
        <v>-19.455195930439785</v>
      </c>
      <c r="X235" s="227" t="str">
        <f t="shared" si="79"/>
        <v>0.999977275513837-0.00151575938271454i</v>
      </c>
      <c r="Y235" s="227" t="str">
        <f t="shared" si="80"/>
        <v>60.4740699694412+43.0084599786417i</v>
      </c>
      <c r="Z235" s="227" t="str">
        <f t="shared" si="81"/>
        <v>34.0398865639151+24.1311628957068i</v>
      </c>
      <c r="AA235" s="227" t="str">
        <f t="shared" si="82"/>
        <v>12.1882153738579-16.7814809440148i</v>
      </c>
      <c r="AB235" s="227">
        <f t="shared" si="92"/>
        <v>26.336408228197268</v>
      </c>
      <c r="AC235" s="227">
        <f t="shared" si="93"/>
        <v>-54.009485434539648</v>
      </c>
      <c r="AD235" s="229">
        <f t="shared" si="94"/>
        <v>-14.7110265858469</v>
      </c>
      <c r="AE235" s="229">
        <f t="shared" si="95"/>
        <v>155.41492887674846</v>
      </c>
      <c r="AF235" s="227">
        <f t="shared" si="83"/>
        <v>11.625381642350368</v>
      </c>
      <c r="AG235" s="227">
        <f t="shared" si="84"/>
        <v>101.40544344220882</v>
      </c>
      <c r="AH235" s="229" t="str">
        <f t="shared" si="85"/>
        <v>0.167177234176453-0.0764870299935177i</v>
      </c>
    </row>
    <row r="236" spans="9:34" x14ac:dyDescent="0.2">
      <c r="I236" s="227">
        <v>232</v>
      </c>
      <c r="J236" s="227">
        <f t="shared" si="73"/>
        <v>3.2620284262137487</v>
      </c>
      <c r="K236" s="227">
        <f t="shared" si="96"/>
        <v>1828.2198761209047</v>
      </c>
      <c r="L236" s="227">
        <f t="shared" si="86"/>
        <v>11487.044263936552</v>
      </c>
      <c r="M236" s="227">
        <f t="shared" si="74"/>
        <v>6948.6969782978767</v>
      </c>
      <c r="N236" s="227">
        <f>SQRT((ABS(AC236)-171.5+'Small Signal'!C$59)^2)</f>
        <v>46.787441789000724</v>
      </c>
      <c r="O236" s="227">
        <f t="shared" si="87"/>
        <v>101.14447920860272</v>
      </c>
      <c r="P236" s="227">
        <f t="shared" si="88"/>
        <v>11.477555357198465</v>
      </c>
      <c r="Q236" s="227">
        <f t="shared" si="89"/>
        <v>1828.2198761209047</v>
      </c>
      <c r="R236" s="227" t="str">
        <f t="shared" si="75"/>
        <v>0.0945666666666667+0.0539891080405018i</v>
      </c>
      <c r="S236" s="227" t="str">
        <f t="shared" si="76"/>
        <v>0.0085-9.26112725598107i</v>
      </c>
      <c r="T236" s="227" t="str">
        <f t="shared" si="77"/>
        <v>3.11599860535082-8.05587165087084i</v>
      </c>
      <c r="U236" s="227" t="str">
        <f t="shared" si="78"/>
        <v>98.7129892993448-35.8768473787788i</v>
      </c>
      <c r="V236" s="227">
        <f t="shared" si="90"/>
        <v>40.426307282824141</v>
      </c>
      <c r="W236" s="227">
        <f t="shared" si="91"/>
        <v>-19.973475928715192</v>
      </c>
      <c r="X236" s="227" t="str">
        <f t="shared" si="79"/>
        <v>0.999976231908157-0.00155017378326532i</v>
      </c>
      <c r="Y236" s="227" t="str">
        <f t="shared" si="80"/>
        <v>61.424346147687+43.9700127962034i</v>
      </c>
      <c r="Z236" s="227" t="str">
        <f t="shared" si="81"/>
        <v>34.5758401621769+24.6697984190487i</v>
      </c>
      <c r="AA236" s="227" t="str">
        <f t="shared" si="82"/>
        <v>11.8206490492544-16.7026627262571i</v>
      </c>
      <c r="AB236" s="227">
        <f t="shared" si="92"/>
        <v>26.219098959521261</v>
      </c>
      <c r="AC236" s="227">
        <f t="shared" si="93"/>
        <v>-54.712558210999276</v>
      </c>
      <c r="AD236" s="229">
        <f t="shared" si="94"/>
        <v>-14.741543602322796</v>
      </c>
      <c r="AE236" s="229">
        <f t="shared" si="95"/>
        <v>155.85703741960199</v>
      </c>
      <c r="AF236" s="227">
        <f t="shared" si="83"/>
        <v>11.477555357198465</v>
      </c>
      <c r="AG236" s="227">
        <f t="shared" si="84"/>
        <v>101.14447920860272</v>
      </c>
      <c r="AH236" s="229" t="str">
        <f t="shared" si="85"/>
        <v>0.167174061876277-0.0749310585809698i</v>
      </c>
    </row>
    <row r="237" spans="9:34" x14ac:dyDescent="0.2">
      <c r="I237" s="227">
        <v>233</v>
      </c>
      <c r="J237" s="227">
        <f t="shared" si="73"/>
        <v>3.271778548740532</v>
      </c>
      <c r="K237" s="227">
        <f t="shared" si="96"/>
        <v>1869.728503300935</v>
      </c>
      <c r="L237" s="227">
        <f t="shared" si="86"/>
        <v>11747.850660355314</v>
      </c>
      <c r="M237" s="227">
        <f t="shared" si="74"/>
        <v>6906.2459228285134</v>
      </c>
      <c r="N237" s="227">
        <f>SQRT((ABS(AC237)-171.5+'Small Signal'!C$59)^2)</f>
        <v>46.085796928266291</v>
      </c>
      <c r="O237" s="227">
        <f t="shared" si="87"/>
        <v>100.87717420490191</v>
      </c>
      <c r="P237" s="227">
        <f t="shared" si="88"/>
        <v>11.328807705163666</v>
      </c>
      <c r="Q237" s="227">
        <f t="shared" si="89"/>
        <v>1869.728503300935</v>
      </c>
      <c r="R237" s="227" t="str">
        <f t="shared" si="75"/>
        <v>0.0945666666666667+0.05521489810367i</v>
      </c>
      <c r="S237" s="227" t="str">
        <f t="shared" si="76"/>
        <v>0.0085-9.055526989495i</v>
      </c>
      <c r="T237" s="227" t="str">
        <f t="shared" si="77"/>
        <v>2.9965484571474-7.92208269233197i</v>
      </c>
      <c r="U237" s="227" t="str">
        <f t="shared" si="78"/>
        <v>98.7749036366292-36.9488645363306i</v>
      </c>
      <c r="V237" s="227">
        <f t="shared" si="90"/>
        <v>40.461711830999086</v>
      </c>
      <c r="W237" s="227">
        <f t="shared" si="91"/>
        <v>-20.509384634341156</v>
      </c>
      <c r="X237" s="227" t="str">
        <f t="shared" si="79"/>
        <v>0.999975140375637-0.00158536954197808i</v>
      </c>
      <c r="Y237" s="227" t="str">
        <f t="shared" si="80"/>
        <v>62.429335213824+44.9487211408993i</v>
      </c>
      <c r="Z237" s="227" t="str">
        <f t="shared" si="81"/>
        <v>35.1426269916267+25.2179648006313i</v>
      </c>
      <c r="AA237" s="227" t="str">
        <f t="shared" si="82"/>
        <v>11.4566998264386-16.6162426833453i</v>
      </c>
      <c r="AB237" s="227">
        <f t="shared" si="92"/>
        <v>26.099735756931608</v>
      </c>
      <c r="AC237" s="227">
        <f t="shared" si="93"/>
        <v>-55.414203071733716</v>
      </c>
      <c r="AD237" s="229">
        <f t="shared" si="94"/>
        <v>-14.770928051767942</v>
      </c>
      <c r="AE237" s="229">
        <f t="shared" si="95"/>
        <v>156.29137727663561</v>
      </c>
      <c r="AF237" s="227">
        <f t="shared" si="83"/>
        <v>11.328807705163666</v>
      </c>
      <c r="AG237" s="227">
        <f t="shared" si="84"/>
        <v>100.87717420490191</v>
      </c>
      <c r="AH237" s="229" t="str">
        <f t="shared" si="85"/>
        <v>0.167170781852671-0.0734128509372335i</v>
      </c>
    </row>
    <row r="238" spans="9:34" x14ac:dyDescent="0.2">
      <c r="I238" s="227">
        <v>234</v>
      </c>
      <c r="J238" s="227">
        <f t="shared" si="73"/>
        <v>3.2815286712673157</v>
      </c>
      <c r="K238" s="227">
        <f t="shared" si="96"/>
        <v>1912.1795587702984</v>
      </c>
      <c r="L238" s="227">
        <f t="shared" si="86"/>
        <v>12014.578508354683</v>
      </c>
      <c r="M238" s="227">
        <f t="shared" si="74"/>
        <v>6862.831041805186</v>
      </c>
      <c r="N238" s="227">
        <f>SQRT((ABS(AC238)-171.5+'Small Signal'!C$59)^2)</f>
        <v>45.385824407468419</v>
      </c>
      <c r="O238" s="227">
        <f t="shared" si="87"/>
        <v>100.60375505923668</v>
      </c>
      <c r="P238" s="227">
        <f t="shared" si="88"/>
        <v>11.179126209460366</v>
      </c>
      <c r="Q238" s="227">
        <f t="shared" si="89"/>
        <v>1912.1795587702984</v>
      </c>
      <c r="R238" s="227" t="str">
        <f t="shared" si="75"/>
        <v>0.0945666666666667+0.056468518989267i</v>
      </c>
      <c r="S238" s="227" t="str">
        <f t="shared" si="76"/>
        <v>0.0085-8.85449112088517i</v>
      </c>
      <c r="T238" s="227" t="str">
        <f t="shared" si="77"/>
        <v>2.88105832317385-7.78880319719886i</v>
      </c>
      <c r="U238" s="227" t="str">
        <f t="shared" si="78"/>
        <v>98.8325270483714-38.0645643658076i</v>
      </c>
      <c r="V238" s="227">
        <f t="shared" si="90"/>
        <v>40.498681811479223</v>
      </c>
      <c r="W238" s="227">
        <f t="shared" si="91"/>
        <v>-21.063794624865384</v>
      </c>
      <c r="X238" s="227" t="str">
        <f t="shared" si="79"/>
        <v>0.999973998715271-0.00162136439911757i</v>
      </c>
      <c r="Y238" s="227" t="str">
        <f t="shared" si="80"/>
        <v>63.4926342068375+45.9441229025997i</v>
      </c>
      <c r="Z238" s="227" t="str">
        <f t="shared" si="81"/>
        <v>35.7422716659836+25.7753935538099i</v>
      </c>
      <c r="AA238" s="227" t="str">
        <f t="shared" si="82"/>
        <v>11.0966757735935-16.5224244320666i</v>
      </c>
      <c r="AB238" s="227">
        <f t="shared" si="92"/>
        <v>25.978341404914289</v>
      </c>
      <c r="AC238" s="227">
        <f t="shared" si="93"/>
        <v>-56.114175592531573</v>
      </c>
      <c r="AD238" s="229">
        <f t="shared" si="94"/>
        <v>-14.799215195453923</v>
      </c>
      <c r="AE238" s="229">
        <f t="shared" si="95"/>
        <v>156.71793065176826</v>
      </c>
      <c r="AF238" s="227">
        <f t="shared" si="83"/>
        <v>11.179126209460366</v>
      </c>
      <c r="AG238" s="227">
        <f t="shared" si="84"/>
        <v>100.60375505923668</v>
      </c>
      <c r="AH238" s="229" t="str">
        <f t="shared" si="85"/>
        <v>0.167167387505026-0.071931641476326i</v>
      </c>
    </row>
    <row r="239" spans="9:34" x14ac:dyDescent="0.2">
      <c r="I239" s="227">
        <v>235</v>
      </c>
      <c r="J239" s="227">
        <f t="shared" si="73"/>
        <v>3.291278793794099</v>
      </c>
      <c r="K239" s="227">
        <f t="shared" si="96"/>
        <v>1955.594439793626</v>
      </c>
      <c r="L239" s="227">
        <f t="shared" si="86"/>
        <v>12287.362250913404</v>
      </c>
      <c r="M239" s="227">
        <f t="shared" si="74"/>
        <v>6818.4304521512913</v>
      </c>
      <c r="N239" s="227">
        <f>SQRT((ABS(AC239)-171.5+'Small Signal'!C$59)^2)</f>
        <v>44.687759931531332</v>
      </c>
      <c r="O239" s="227">
        <f t="shared" si="87"/>
        <v>100.32444673632128</v>
      </c>
      <c r="P239" s="227">
        <f t="shared" si="88"/>
        <v>11.028500703584537</v>
      </c>
      <c r="Q239" s="227">
        <f t="shared" si="89"/>
        <v>1955.594439793626</v>
      </c>
      <c r="R239" s="227" t="str">
        <f t="shared" si="75"/>
        <v>0.0945666666666667+0.057750602579293i</v>
      </c>
      <c r="S239" s="227" t="str">
        <f t="shared" si="76"/>
        <v>0.0085-8.65791831892122i</v>
      </c>
      <c r="T239" s="227" t="str">
        <f t="shared" si="77"/>
        <v>2.76944518617584-7.65613884430385i</v>
      </c>
      <c r="U239" s="227" t="str">
        <f t="shared" si="78"/>
        <v>98.8847780534344-39.226415449318i</v>
      </c>
      <c r="V239" s="227">
        <f t="shared" si="90"/>
        <v>40.537279004506466</v>
      </c>
      <c r="W239" s="227">
        <f t="shared" si="91"/>
        <v>-21.637638872602253</v>
      </c>
      <c r="X239" s="227" t="str">
        <f t="shared" si="79"/>
        <v>0.999972804624975-0.00165817649773054i</v>
      </c>
      <c r="Y239" s="227" t="str">
        <f t="shared" si="80"/>
        <v>64.6181085858472+46.9556063825278i</v>
      </c>
      <c r="Z239" s="227" t="str">
        <f t="shared" si="81"/>
        <v>36.3769496158392+26.3417313212981i</v>
      </c>
      <c r="AA239" s="227" t="str">
        <f t="shared" si="82"/>
        <v>10.7408705302636-16.421426135952i</v>
      </c>
      <c r="AB239" s="227">
        <f t="shared" si="92"/>
        <v>25.854940460470253</v>
      </c>
      <c r="AC239" s="227">
        <f t="shared" si="93"/>
        <v>-56.812240068468668</v>
      </c>
      <c r="AD239" s="229">
        <f t="shared" si="94"/>
        <v>-14.826439756885716</v>
      </c>
      <c r="AE239" s="229">
        <f t="shared" si="95"/>
        <v>157.13668680478995</v>
      </c>
      <c r="AF239" s="227">
        <f t="shared" si="83"/>
        <v>11.028500703584537</v>
      </c>
      <c r="AG239" s="227">
        <f t="shared" si="84"/>
        <v>100.32444673632128</v>
      </c>
      <c r="AH239" s="229" t="str">
        <f t="shared" si="85"/>
        <v>0.167163872003455-0.0704866832373214i</v>
      </c>
    </row>
    <row r="240" spans="9:34" x14ac:dyDescent="0.2">
      <c r="I240" s="227">
        <v>236</v>
      </c>
      <c r="J240" s="227">
        <f t="shared" si="73"/>
        <v>3.3010289163208828</v>
      </c>
      <c r="K240" s="227">
        <f t="shared" si="96"/>
        <v>1999.99502944752</v>
      </c>
      <c r="L240" s="227">
        <f t="shared" si="86"/>
        <v>12566.339383456861</v>
      </c>
      <c r="M240" s="227">
        <f t="shared" si="74"/>
        <v>6773.0217739482086</v>
      </c>
      <c r="N240" s="227">
        <f>SQRT((ABS(AC240)-171.5+'Small Signal'!C$59)^2)</f>
        <v>43.991829947433814</v>
      </c>
      <c r="O240" s="227">
        <f t="shared" si="87"/>
        <v>100.03947164567936</v>
      </c>
      <c r="P240" s="227">
        <f t="shared" si="88"/>
        <v>10.876923282944869</v>
      </c>
      <c r="Q240" s="227">
        <f t="shared" si="89"/>
        <v>1999.99502944752</v>
      </c>
      <c r="R240" s="227" t="str">
        <f t="shared" si="75"/>
        <v>0.0945666666666667+0.0590617951022472i</v>
      </c>
      <c r="S240" s="227" t="str">
        <f t="shared" si="76"/>
        <v>0.0085-8.46570950196157i</v>
      </c>
      <c r="T240" s="227" t="str">
        <f t="shared" si="77"/>
        <v>2.66162395586657-7.52418905109648i</v>
      </c>
      <c r="U240" s="227" t="str">
        <f t="shared" si="78"/>
        <v>98.9304078860058-40.4370517025752i</v>
      </c>
      <c r="V240" s="227">
        <f t="shared" si="90"/>
        <v>40.577566328897596</v>
      </c>
      <c r="W240" s="227">
        <f t="shared" si="91"/>
        <v>-22.23191582925153</v>
      </c>
      <c r="X240" s="227" t="str">
        <f t="shared" si="79"/>
        <v>0.99997155569694-0.00169582439279064i</v>
      </c>
      <c r="Y240" s="227" t="str">
        <f t="shared" si="80"/>
        <v>65.8099131608093+47.9823845389793i</v>
      </c>
      <c r="Z240" s="227" t="str">
        <f t="shared" si="81"/>
        <v>37.0489988147898+26.9165253218327i</v>
      </c>
      <c r="AA240" s="227" t="str">
        <f t="shared" si="82"/>
        <v>10.3895624977383-16.3134793152846i</v>
      </c>
      <c r="AB240" s="227">
        <f t="shared" si="92"/>
        <v>25.729559171250958</v>
      </c>
      <c r="AC240" s="227">
        <f t="shared" si="93"/>
        <v>-57.508170052566186</v>
      </c>
      <c r="AD240" s="229">
        <f t="shared" si="94"/>
        <v>-14.852635888306089</v>
      </c>
      <c r="AE240" s="229">
        <f t="shared" si="95"/>
        <v>157.54764169824554</v>
      </c>
      <c r="AF240" s="227">
        <f t="shared" si="83"/>
        <v>10.876923282944869</v>
      </c>
      <c r="AG240" s="227">
        <f t="shared" si="84"/>
        <v>100.03947164567936</v>
      </c>
      <c r="AH240" s="229" t="str">
        <f t="shared" si="85"/>
        <v>0.167160228275146-0.0690772475062014i</v>
      </c>
    </row>
    <row r="241" spans="9:34" x14ac:dyDescent="0.2">
      <c r="I241" s="227">
        <v>237</v>
      </c>
      <c r="J241" s="227">
        <f t="shared" si="73"/>
        <v>3.3107790388476661</v>
      </c>
      <c r="K241" s="227">
        <f t="shared" si="96"/>
        <v>2045.4037076506031</v>
      </c>
      <c r="L241" s="227">
        <f t="shared" si="86"/>
        <v>12851.650523160919</v>
      </c>
      <c r="M241" s="227">
        <f t="shared" si="74"/>
        <v>6726.5821191547893</v>
      </c>
      <c r="N241" s="227">
        <f>SQRT((ABS(AC241)-171.5+'Small Signal'!C$59)^2)</f>
        <v>43.298251151044411</v>
      </c>
      <c r="O241" s="227">
        <f t="shared" si="87"/>
        <v>99.749048794748489</v>
      </c>
      <c r="P241" s="227">
        <f t="shared" si="88"/>
        <v>10.724388248517917</v>
      </c>
      <c r="Q241" s="227">
        <f t="shared" si="89"/>
        <v>2045.4037076506031</v>
      </c>
      <c r="R241" s="227" t="str">
        <f t="shared" si="75"/>
        <v>0.0945666666666667+0.0604027574588563i</v>
      </c>
      <c r="S241" s="227" t="str">
        <f t="shared" si="76"/>
        <v>0.0085-8.2777677880116i</v>
      </c>
      <c r="T241" s="227" t="str">
        <f t="shared" si="77"/>
        <v>2.55750784088724-7.39304708288292i</v>
      </c>
      <c r="U241" s="227" t="str">
        <f t="shared" si="78"/>
        <v>98.9679761503177-41.6992823387522i</v>
      </c>
      <c r="V241" s="227">
        <f t="shared" si="90"/>
        <v>40.619607603860061</v>
      </c>
      <c r="W241" s="227">
        <f t="shared" si="91"/>
        <v>-22.847694974541529</v>
      </c>
      <c r="X241" s="227" t="str">
        <f t="shared" si="79"/>
        <v>0.999970249412784-0.00173432706055099i</v>
      </c>
      <c r="Y241" s="227" t="str">
        <f t="shared" si="80"/>
        <v>67.0725142957961+49.0234650060847i</v>
      </c>
      <c r="Z241" s="227" t="str">
        <f t="shared" si="81"/>
        <v>37.7609322121595+27.4992064133984i</v>
      </c>
      <c r="AA241" s="227" t="str">
        <f t="shared" si="82"/>
        <v>10.0430141412626-16.1988276118458i</v>
      </c>
      <c r="AB241" s="227">
        <f t="shared" si="92"/>
        <v>25.602225389515606</v>
      </c>
      <c r="AC241" s="227">
        <f t="shared" si="93"/>
        <v>-58.201748848955596</v>
      </c>
      <c r="AD241" s="229">
        <f t="shared" si="94"/>
        <v>-14.87783714099769</v>
      </c>
      <c r="AE241" s="229">
        <f t="shared" si="95"/>
        <v>157.95079764370408</v>
      </c>
      <c r="AF241" s="227">
        <f t="shared" si="83"/>
        <v>10.724388248517917</v>
      </c>
      <c r="AG241" s="227">
        <f t="shared" si="84"/>
        <v>99.749048794748489</v>
      </c>
      <c r="AH241" s="229" t="str">
        <f t="shared" si="85"/>
        <v>0.167156448990229-0.0677026234467917i</v>
      </c>
    </row>
    <row r="242" spans="9:34" x14ac:dyDescent="0.2">
      <c r="I242" s="227">
        <v>238</v>
      </c>
      <c r="J242" s="227">
        <f t="shared" si="73"/>
        <v>3.3205291613744494</v>
      </c>
      <c r="K242" s="227">
        <f t="shared" si="96"/>
        <v>2091.8433624440217</v>
      </c>
      <c r="L242" s="227">
        <f t="shared" si="86"/>
        <v>13143.43947982942</v>
      </c>
      <c r="M242" s="227">
        <f t="shared" si="74"/>
        <v>6679.0880800707455</v>
      </c>
      <c r="N242" s="227">
        <f>SQRT((ABS(AC242)-171.5+'Small Signal'!C$59)^2)</f>
        <v>42.607230040936173</v>
      </c>
      <c r="O242" s="227">
        <f t="shared" si="87"/>
        <v>99.45339298991351</v>
      </c>
      <c r="P242" s="227">
        <f t="shared" si="88"/>
        <v>10.570892043314444</v>
      </c>
      <c r="Q242" s="227">
        <f t="shared" si="89"/>
        <v>2091.8433624440217</v>
      </c>
      <c r="R242" s="227" t="str">
        <f t="shared" si="75"/>
        <v>0.0945666666666667+0.0617741655551983i</v>
      </c>
      <c r="S242" s="227" t="str">
        <f t="shared" si="76"/>
        <v>0.0085-8.09399844589116i</v>
      </c>
      <c r="T242" s="227" t="str">
        <f t="shared" si="77"/>
        <v>2.45700869959681-7.26280017932442i</v>
      </c>
      <c r="U242" s="227" t="str">
        <f t="shared" si="78"/>
        <v>98.995822892554-43.016101789431i</v>
      </c>
      <c r="V242" s="227">
        <f t="shared" si="90"/>
        <v>40.66346724897987</v>
      </c>
      <c r="W242" s="227">
        <f t="shared" si="91"/>
        <v>-23.486122868656484</v>
      </c>
      <c r="X242" s="227" t="str">
        <f t="shared" si="79"/>
        <v>0.999968883138468-0.00177370390810906i</v>
      </c>
      <c r="Y242" s="227" t="str">
        <f t="shared" si="80"/>
        <v>68.4107133099646+50.0776151889941i</v>
      </c>
      <c r="Z242" s="227" t="str">
        <f t="shared" si="81"/>
        <v>38.5154508284844+28.0890693808913i</v>
      </c>
      <c r="AA242" s="227" t="str">
        <f t="shared" si="82"/>
        <v>9.7014714059563-16.0777255200162i</v>
      </c>
      <c r="AB242" s="227">
        <f t="shared" si="92"/>
        <v>25.472968482558066</v>
      </c>
      <c r="AC242" s="227">
        <f t="shared" si="93"/>
        <v>-58.89276995906382</v>
      </c>
      <c r="AD242" s="229">
        <f t="shared" si="94"/>
        <v>-14.902076439243622</v>
      </c>
      <c r="AE242" s="229">
        <f t="shared" si="95"/>
        <v>158.34616294897734</v>
      </c>
      <c r="AF242" s="227">
        <f t="shared" si="83"/>
        <v>10.570892043314444</v>
      </c>
      <c r="AG242" s="227">
        <f t="shared" si="84"/>
        <v>99.45339298991351</v>
      </c>
      <c r="AH242" s="229" t="str">
        <f t="shared" si="85"/>
        <v>0.167152526547123-0.0663621177405844i</v>
      </c>
    </row>
    <row r="243" spans="9:34" x14ac:dyDescent="0.2">
      <c r="I243" s="227">
        <v>239</v>
      </c>
      <c r="J243" s="227">
        <f t="shared" si="73"/>
        <v>3.3302792839012327</v>
      </c>
      <c r="K243" s="227">
        <f t="shared" si="96"/>
        <v>2139.3374015280665</v>
      </c>
      <c r="L243" s="227">
        <f t="shared" si="86"/>
        <v>13441.853328380903</v>
      </c>
      <c r="M243" s="227">
        <f t="shared" si="74"/>
        <v>6630.5157175381046</v>
      </c>
      <c r="N243" s="227">
        <f>SQRT((ABS(AC243)-171.5+'Small Signal'!C$59)^2)</f>
        <v>41.918962520257082</v>
      </c>
      <c r="O243" s="227">
        <f t="shared" si="87"/>
        <v>99.152714087974402</v>
      </c>
      <c r="P243" s="227">
        <f t="shared" si="88"/>
        <v>10.416433182462665</v>
      </c>
      <c r="Q243" s="227">
        <f t="shared" si="89"/>
        <v>2139.3374015280665</v>
      </c>
      <c r="R243" s="227" t="str">
        <f t="shared" si="75"/>
        <v>0.0945666666666667+0.0631767106433902i</v>
      </c>
      <c r="S243" s="227" t="str">
        <f t="shared" si="76"/>
        <v>0.0085-7.9143088474853i</v>
      </c>
      <c r="T243" s="227" t="str">
        <f t="shared" si="77"/>
        <v>2.36003736953809-7.1335296959625i</v>
      </c>
      <c r="U243" s="227" t="str">
        <f t="shared" si="78"/>
        <v>99.012036560295-44.390699345087i</v>
      </c>
      <c r="V243" s="227">
        <f t="shared" si="90"/>
        <v>40.709209910412909</v>
      </c>
      <c r="W243" s="227">
        <f t="shared" si="91"/>
        <v>-24.148429749865404</v>
      </c>
      <c r="X243" s="227" t="str">
        <f t="shared" si="79"/>
        <v>0.999967454118986-0.00181397478318874i</v>
      </c>
      <c r="Y243" s="227" t="str">
        <f t="shared" si="80"/>
        <v>69.8296709373585+51.1433216259481i</v>
      </c>
      <c r="Z243" s="227" t="str">
        <f t="shared" si="81"/>
        <v>39.3154574336363+28.6852499926613i</v>
      </c>
      <c r="AA243" s="227" t="str">
        <f t="shared" si="82"/>
        <v>9.36516324702416-15.95043709574i</v>
      </c>
      <c r="AB243" s="227">
        <f t="shared" si="92"/>
        <v>25.341819240256683</v>
      </c>
      <c r="AC243" s="227">
        <f t="shared" si="93"/>
        <v>-59.581037479742925</v>
      </c>
      <c r="AD243" s="229">
        <f t="shared" si="94"/>
        <v>-14.925386057794018</v>
      </c>
      <c r="AE243" s="229">
        <f t="shared" si="95"/>
        <v>158.73375156771732</v>
      </c>
      <c r="AF243" s="227">
        <f t="shared" si="83"/>
        <v>10.416433182462665</v>
      </c>
      <c r="AG243" s="227">
        <f t="shared" si="84"/>
        <v>99.152714087974402</v>
      </c>
      <c r="AH243" s="229" t="str">
        <f t="shared" si="85"/>
        <v>0.167148453057382-0.0650550542352627i</v>
      </c>
    </row>
    <row r="244" spans="9:34" x14ac:dyDescent="0.2">
      <c r="I244" s="227">
        <v>240</v>
      </c>
      <c r="J244" s="227">
        <f t="shared" si="73"/>
        <v>3.340029406428016</v>
      </c>
      <c r="K244" s="227">
        <f t="shared" si="96"/>
        <v>2187.9097640607069</v>
      </c>
      <c r="L244" s="227">
        <f t="shared" si="86"/>
        <v>13747.042482980989</v>
      </c>
      <c r="M244" s="227">
        <f t="shared" si="74"/>
        <v>6580.8405488747821</v>
      </c>
      <c r="N244" s="227">
        <f>SQRT((ABS(AC244)-171.5+'Small Signal'!C$59)^2)</f>
        <v>41.233633547277009</v>
      </c>
      <c r="O244" s="227">
        <f t="shared" si="87"/>
        <v>98.847216299953573</v>
      </c>
      <c r="P244" s="227">
        <f t="shared" si="88"/>
        <v>10.261012177718531</v>
      </c>
      <c r="Q244" s="227">
        <f t="shared" si="89"/>
        <v>2187.9097640607069</v>
      </c>
      <c r="R244" s="227" t="str">
        <f t="shared" si="75"/>
        <v>0.0945666666666667+0.0646110996700106i</v>
      </c>
      <c r="S244" s="227" t="str">
        <f t="shared" si="76"/>
        <v>0.0085-7.73860842105551i</v>
      </c>
      <c r="T244" s="227" t="str">
        <f t="shared" si="77"/>
        <v>2.26650397560541-7.0053112586524i</v>
      </c>
      <c r="U244" s="227" t="str">
        <f t="shared" si="78"/>
        <v>99.0144172465888-45.8264681957424i</v>
      </c>
      <c r="V244" s="227">
        <f t="shared" si="90"/>
        <v>40.756899999102778</v>
      </c>
      <c r="W244" s="227">
        <f t="shared" si="91"/>
        <v>-24.83593671976228</v>
      </c>
      <c r="X244" s="227" t="str">
        <f t="shared" si="79"/>
        <v>0.999965959472813-0.00185515998414451i</v>
      </c>
      <c r="Y244" s="227" t="str">
        <f t="shared" si="80"/>
        <v>71.3349326203739+52.2187426784406i</v>
      </c>
      <c r="Z244" s="227" t="str">
        <f t="shared" si="81"/>
        <v>40.1640706785512+29.2866982977919i</v>
      </c>
      <c r="AA244" s="227" t="str">
        <f t="shared" si="82"/>
        <v>9.03430127358259-15.8172346546144i</v>
      </c>
      <c r="AB244" s="227">
        <f t="shared" si="92"/>
        <v>25.208809780402056</v>
      </c>
      <c r="AC244" s="227">
        <f t="shared" si="93"/>
        <v>-60.266366452722991</v>
      </c>
      <c r="AD244" s="229">
        <f t="shared" si="94"/>
        <v>-14.947797602683526</v>
      </c>
      <c r="AE244" s="229">
        <f t="shared" si="95"/>
        <v>159.11358275267656</v>
      </c>
      <c r="AF244" s="227">
        <f t="shared" si="83"/>
        <v>10.261012177718531</v>
      </c>
      <c r="AG244" s="227">
        <f t="shared" si="84"/>
        <v>98.847216299953573</v>
      </c>
      <c r="AH244" s="229" t="str">
        <f t="shared" si="85"/>
        <v>0.167144220329939-0.0637807736017354i</v>
      </c>
    </row>
    <row r="245" spans="9:34" x14ac:dyDescent="0.2">
      <c r="I245" s="227">
        <v>241</v>
      </c>
      <c r="J245" s="227">
        <f t="shared" si="73"/>
        <v>3.3497795289547994</v>
      </c>
      <c r="K245" s="227">
        <f t="shared" si="96"/>
        <v>2237.5849327240294</v>
      </c>
      <c r="L245" s="227">
        <f t="shared" si="86"/>
        <v>14059.160772858044</v>
      </c>
      <c r="M245" s="227">
        <f t="shared" si="74"/>
        <v>6530.0375355341939</v>
      </c>
      <c r="N245" s="227">
        <f>SQRT((ABS(AC245)-171.5+'Small Signal'!C$59)^2)</f>
        <v>40.551416834845568</v>
      </c>
      <c r="O245" s="227">
        <f t="shared" si="87"/>
        <v>98.537097548640659</v>
      </c>
      <c r="P245" s="227">
        <f t="shared" si="88"/>
        <v>10.104631457217787</v>
      </c>
      <c r="Q245" s="227">
        <f t="shared" si="89"/>
        <v>2237.5849327240294</v>
      </c>
      <c r="R245" s="227" t="str">
        <f t="shared" si="75"/>
        <v>0.0945666666666667+0.0660780556324328i</v>
      </c>
      <c r="S245" s="227" t="str">
        <f t="shared" si="76"/>
        <v>0.0085-7.56680860558775i</v>
      </c>
      <c r="T245" s="227" t="str">
        <f t="shared" si="77"/>
        <v>2.17631821709337-6.87821492890045i</v>
      </c>
      <c r="U245" s="227" t="str">
        <f t="shared" si="78"/>
        <v>99.0004345353571-47.3270134478562i</v>
      </c>
      <c r="V245" s="227">
        <f t="shared" si="90"/>
        <v>40.806601124243457</v>
      </c>
      <c r="W245" s="227">
        <f t="shared" si="91"/>
        <v>-25.55006355857347</v>
      </c>
      <c r="X245" s="227" t="str">
        <f t="shared" si="79"/>
        <v>0.99996439618609-0.00189728027019268i</v>
      </c>
      <c r="Y245" s="227" t="str">
        <f t="shared" si="80"/>
        <v>72.9324542967879+53.3016534635574i</v>
      </c>
      <c r="Z245" s="227" t="str">
        <f t="shared" si="81"/>
        <v>41.0646394864518+29.8921475533919i</v>
      </c>
      <c r="AA245" s="227" t="str">
        <f t="shared" si="82"/>
        <v>8.70907950425518-15.6783974699623i</v>
      </c>
      <c r="AB245" s="227">
        <f t="shared" si="92"/>
        <v>25.073973452449799</v>
      </c>
      <c r="AC245" s="227">
        <f t="shared" si="93"/>
        <v>-60.948583165154432</v>
      </c>
      <c r="AD245" s="229">
        <f t="shared" si="94"/>
        <v>-14.969341995232012</v>
      </c>
      <c r="AE245" s="229">
        <f t="shared" si="95"/>
        <v>159.48568071379509</v>
      </c>
      <c r="AF245" s="227">
        <f t="shared" si="83"/>
        <v>10.104631457217787</v>
      </c>
      <c r="AG245" s="227">
        <f t="shared" si="84"/>
        <v>98.537097548640659</v>
      </c>
      <c r="AH245" s="229" t="str">
        <f t="shared" si="85"/>
        <v>0.167139819854783-0.0625386329995033i</v>
      </c>
    </row>
    <row r="246" spans="9:34" x14ac:dyDescent="0.2">
      <c r="I246" s="227">
        <v>242</v>
      </c>
      <c r="J246" s="227">
        <f t="shared" si="73"/>
        <v>3.3595296514815827</v>
      </c>
      <c r="K246" s="227">
        <f t="shared" si="96"/>
        <v>2288.3879460646176</v>
      </c>
      <c r="L246" s="227">
        <f t="shared" si="86"/>
        <v>14378.365519840077</v>
      </c>
      <c r="M246" s="227">
        <f t="shared" si="74"/>
        <v>6478.0810704846972</v>
      </c>
      <c r="N246" s="227">
        <f>SQRT((ABS(AC246)-171.5+'Small Signal'!C$59)^2)</f>
        <v>39.872474598578094</v>
      </c>
      <c r="O246" s="227">
        <f t="shared" si="87"/>
        <v>98.222548880717596</v>
      </c>
      <c r="P246" s="227">
        <f t="shared" si="88"/>
        <v>9.9472952812709838</v>
      </c>
      <c r="Q246" s="227">
        <f t="shared" si="89"/>
        <v>2288.3879460646176</v>
      </c>
      <c r="R246" s="227" t="str">
        <f t="shared" si="75"/>
        <v>0.0945666666666667+0.0675783179432484i</v>
      </c>
      <c r="S246" s="227" t="str">
        <f t="shared" si="76"/>
        <v>0.0085-7.39882280615351i</v>
      </c>
      <c r="T246" s="227" t="str">
        <f t="shared" si="77"/>
        <v>2.08938963394327-6.75230537822537i</v>
      </c>
      <c r="U246" s="227" t="str">
        <f t="shared" si="78"/>
        <v>98.9671791781681-48.8961585602702i</v>
      </c>
      <c r="V246" s="227">
        <f t="shared" si="90"/>
        <v>40.858375402137511</v>
      </c>
      <c r="W246" s="227">
        <f t="shared" si="91"/>
        <v>-26.292337211608139</v>
      </c>
      <c r="X246" s="227" t="str">
        <f t="shared" si="79"/>
        <v>0.999962761106548-0.00194035687187505i</v>
      </c>
      <c r="Y246" s="227" t="str">
        <f t="shared" si="80"/>
        <v>74.6286281881657+54.3893817767496i</v>
      </c>
      <c r="Z246" s="227" t="str">
        <f t="shared" si="81"/>
        <v>42.0207574234171+30.500078078157i</v>
      </c>
      <c r="AA246" s="227" t="str">
        <f t="shared" si="82"/>
        <v>8.38967423159222-15.5342104812274i</v>
      </c>
      <c r="AB246" s="227">
        <f t="shared" si="92"/>
        <v>24.937344740332325</v>
      </c>
      <c r="AC246" s="227">
        <f t="shared" si="93"/>
        <v>-61.627525401421899</v>
      </c>
      <c r="AD246" s="229">
        <f t="shared" si="94"/>
        <v>-14.990049459061341</v>
      </c>
      <c r="AE246" s="229">
        <f t="shared" si="95"/>
        <v>159.8500742821395</v>
      </c>
      <c r="AF246" s="227">
        <f t="shared" si="83"/>
        <v>9.9472952812709838</v>
      </c>
      <c r="AG246" s="227">
        <f t="shared" si="84"/>
        <v>98.222548880717596</v>
      </c>
      <c r="AH246" s="229" t="str">
        <f t="shared" si="85"/>
        <v>0.167135242785999-0.0613280057501769i</v>
      </c>
    </row>
    <row r="247" spans="9:34" x14ac:dyDescent="0.2">
      <c r="I247" s="227">
        <v>243</v>
      </c>
      <c r="J247" s="227">
        <f t="shared" si="73"/>
        <v>3.369279774008366</v>
      </c>
      <c r="K247" s="227">
        <f t="shared" si="96"/>
        <v>2340.3444111141148</v>
      </c>
      <c r="L247" s="227">
        <f t="shared" si="86"/>
        <v>14704.817617652066</v>
      </c>
      <c r="M247" s="227">
        <f t="shared" si="74"/>
        <v>6424.9449653024667</v>
      </c>
      <c r="N247" s="227">
        <f>SQRT((ABS(AC247)-171.5+'Small Signal'!C$59)^2)</f>
        <v>39.196957353220199</v>
      </c>
      <c r="O247" s="227">
        <f t="shared" si="87"/>
        <v>97.903753933820468</v>
      </c>
      <c r="P247" s="227">
        <f t="shared" si="88"/>
        <v>9.7890096549861685</v>
      </c>
      <c r="Q247" s="227">
        <f t="shared" si="89"/>
        <v>2340.3444111141148</v>
      </c>
      <c r="R247" s="227" t="str">
        <f t="shared" si="75"/>
        <v>0.0945666666666667+0.0691126428029647i</v>
      </c>
      <c r="S247" s="227" t="str">
        <f t="shared" si="76"/>
        <v>0.0085-7.23456635026194i</v>
      </c>
      <c r="T247" s="227" t="str">
        <f t="shared" si="77"/>
        <v>2.00562785262237-6.62764206979016i</v>
      </c>
      <c r="U247" s="227" t="str">
        <f t="shared" si="78"/>
        <v>98.9113077411196-50.5379494729445i</v>
      </c>
      <c r="V247" s="227">
        <f t="shared" si="90"/>
        <v>40.912282616996478</v>
      </c>
      <c r="W247" s="227">
        <f t="shared" si="91"/>
        <v>-27.064400984577485</v>
      </c>
      <c r="X247" s="227" t="str">
        <f t="shared" si="79"/>
        <v>0.999961050937155-0.00198441150176003i</v>
      </c>
      <c r="Y247" s="227" t="str">
        <f t="shared" si="80"/>
        <v>76.4303078979219+55.478733568492i</v>
      </c>
      <c r="Z247" s="227" t="str">
        <f t="shared" si="81"/>
        <v>43.0362766553415+31.1086752248555i</v>
      </c>
      <c r="AA247" s="227" t="str">
        <f t="shared" si="82"/>
        <v>8.07624399137723-15.3849630223914i</v>
      </c>
      <c r="AB247" s="227">
        <f t="shared" si="92"/>
        <v>24.798959164942424</v>
      </c>
      <c r="AC247" s="227">
        <f t="shared" si="93"/>
        <v>-62.303042646779801</v>
      </c>
      <c r="AD247" s="229">
        <f t="shared" si="94"/>
        <v>-15.009949509956256</v>
      </c>
      <c r="AE247" s="229">
        <f t="shared" si="95"/>
        <v>160.20679658060027</v>
      </c>
      <c r="AF247" s="227">
        <f t="shared" si="83"/>
        <v>9.7890096549861685</v>
      </c>
      <c r="AG247" s="227">
        <f t="shared" si="84"/>
        <v>97.903753933820468</v>
      </c>
      <c r="AH247" s="229" t="str">
        <f t="shared" si="85"/>
        <v>0.16713047992415-0.0601482810189688i</v>
      </c>
    </row>
    <row r="248" spans="9:34" x14ac:dyDescent="0.2">
      <c r="I248" s="227">
        <v>244</v>
      </c>
      <c r="J248" s="227">
        <f t="shared" si="73"/>
        <v>3.3790298965351493</v>
      </c>
      <c r="K248" s="227">
        <f t="shared" si="96"/>
        <v>2393.4805162963448</v>
      </c>
      <c r="L248" s="227">
        <f t="shared" si="86"/>
        <v>15038.681613013803</v>
      </c>
      <c r="M248" s="227">
        <f t="shared" si="74"/>
        <v>6370.602436971345</v>
      </c>
      <c r="N248" s="227">
        <f>SQRT((ABS(AC248)-171.5+'Small Signal'!C$59)^2)</f>
        <v>38.525003756296655</v>
      </c>
      <c r="O248" s="227">
        <f t="shared" si="87"/>
        <v>97.580888458429627</v>
      </c>
      <c r="P248" s="227">
        <f t="shared" si="88"/>
        <v>9.6297822384827789</v>
      </c>
      <c r="Q248" s="227">
        <f t="shared" si="89"/>
        <v>2393.4805162963448</v>
      </c>
      <c r="R248" s="227" t="str">
        <f t="shared" si="75"/>
        <v>0.0945666666666667+0.0706818035811649i</v>
      </c>
      <c r="S248" s="227" t="str">
        <f t="shared" si="76"/>
        <v>0.0085-7.073956445181i</v>
      </c>
      <c r="T248" s="227" t="str">
        <f t="shared" si="77"/>
        <v>1.92494281217143-6.50427944567878i</v>
      </c>
      <c r="U248" s="227" t="str">
        <f t="shared" si="78"/>
        <v>98.8289792677534-52.2566554884114i</v>
      </c>
      <c r="V248" s="227">
        <f t="shared" si="90"/>
        <v>40.968379206009978</v>
      </c>
      <c r="W248" s="227">
        <f t="shared" si="91"/>
        <v>-27.868024479392197</v>
      </c>
      <c r="X248" s="227" t="str">
        <f t="shared" si="79"/>
        <v>0.999959262229462-0.00202946636538677i</v>
      </c>
      <c r="Y248" s="227" t="str">
        <f t="shared" si="80"/>
        <v>78.3448318669571+56.565906335559i</v>
      </c>
      <c r="Z248" s="227" t="str">
        <f t="shared" si="81"/>
        <v>44.1153209512235+31.7157805508508i</v>
      </c>
      <c r="AA248" s="227" t="str">
        <f t="shared" si="82"/>
        <v>7.76892963200732-15.2309475793919i</v>
      </c>
      <c r="AB248" s="227">
        <f t="shared" si="92"/>
        <v>24.658853186879664</v>
      </c>
      <c r="AC248" s="227">
        <f t="shared" si="93"/>
        <v>-62.974996243703337</v>
      </c>
      <c r="AD248" s="229">
        <f t="shared" si="94"/>
        <v>-15.029070948396885</v>
      </c>
      <c r="AE248" s="229">
        <f t="shared" si="95"/>
        <v>160.55588470213297</v>
      </c>
      <c r="AF248" s="227">
        <f t="shared" si="83"/>
        <v>9.6297822384827789</v>
      </c>
      <c r="AG248" s="227">
        <f t="shared" si="84"/>
        <v>97.580888458429627</v>
      </c>
      <c r="AH248" s="229" t="str">
        <f t="shared" si="85"/>
        <v>0.167125521697965-0.0589988635039904i</v>
      </c>
    </row>
    <row r="249" spans="9:34" x14ac:dyDescent="0.2">
      <c r="I249" s="227">
        <v>245</v>
      </c>
      <c r="J249" s="227">
        <f t="shared" si="73"/>
        <v>3.388780019061933</v>
      </c>
      <c r="K249" s="227">
        <f t="shared" si="96"/>
        <v>2447.8230446274665</v>
      </c>
      <c r="L249" s="227">
        <f t="shared" si="86"/>
        <v>15380.125788578898</v>
      </c>
      <c r="M249" s="227">
        <f t="shared" si="74"/>
        <v>6315.0260943829935</v>
      </c>
      <c r="N249" s="227">
        <f>SQRT((ABS(AC249)-171.5+'Small Signal'!C$59)^2)</f>
        <v>37.85674049782105</v>
      </c>
      <c r="O249" s="227">
        <f t="shared" si="87"/>
        <v>97.254119894039405</v>
      </c>
      <c r="P249" s="227">
        <f t="shared" si="88"/>
        <v>9.4696222554289093</v>
      </c>
      <c r="Q249" s="227">
        <f t="shared" si="89"/>
        <v>2447.8230446274665</v>
      </c>
      <c r="R249" s="227" t="str">
        <f t="shared" si="75"/>
        <v>0.0945666666666667+0.0722865912063208i</v>
      </c>
      <c r="S249" s="227" t="str">
        <f t="shared" si="76"/>
        <v>0.0085-6.9169121362065i</v>
      </c>
      <c r="T249" s="227" t="str">
        <f t="shared" si="77"/>
        <v>1.84724497104062-6.38226711832137i</v>
      </c>
      <c r="U249" s="227" t="str">
        <f t="shared" si="78"/>
        <v>98.7157829145824-54.0567656966606i</v>
      </c>
      <c r="V249" s="227">
        <f t="shared" si="90"/>
        <v>41.026717036088769</v>
      </c>
      <c r="W249" s="227">
        <f t="shared" si="91"/>
        <v>-28.70511429217111</v>
      </c>
      <c r="X249" s="227" t="str">
        <f t="shared" si="79"/>
        <v>0.999957391376656-0.00207554417245777i</v>
      </c>
      <c r="Y249" s="227" t="str">
        <f t="shared" si="80"/>
        <v>80.3800438973079+57.6463885701811i</v>
      </c>
      <c r="Z249" s="227" t="str">
        <f t="shared" si="81"/>
        <v>45.2622970021598+32.3188351441119i</v>
      </c>
      <c r="AA249" s="227" t="str">
        <f t="shared" si="82"/>
        <v>7.46785447836572-15.0724585847154i</v>
      </c>
      <c r="AB249" s="227">
        <f t="shared" si="92"/>
        <v>24.517064110019451</v>
      </c>
      <c r="AC249" s="227">
        <f t="shared" si="93"/>
        <v>-63.643259502178942</v>
      </c>
      <c r="AD249" s="229">
        <f t="shared" si="94"/>
        <v>-15.047441854590542</v>
      </c>
      <c r="AE249" s="229">
        <f t="shared" si="95"/>
        <v>160.89737939621835</v>
      </c>
      <c r="AF249" s="227">
        <f t="shared" si="83"/>
        <v>9.4696222554289093</v>
      </c>
      <c r="AG249" s="227">
        <f t="shared" si="84"/>
        <v>97.254119894039405</v>
      </c>
      <c r="AH249" s="229" t="str">
        <f t="shared" si="85"/>
        <v>0.167120358145308-0.0578791731331826i</v>
      </c>
    </row>
    <row r="250" spans="9:34" x14ac:dyDescent="0.2">
      <c r="I250" s="227">
        <v>246</v>
      </c>
      <c r="J250" s="227">
        <f t="shared" si="73"/>
        <v>3.3985301415887164</v>
      </c>
      <c r="K250" s="227">
        <f t="shared" si="96"/>
        <v>2503.399387215818</v>
      </c>
      <c r="L250" s="227">
        <f t="shared" si="86"/>
        <v>15729.322247756807</v>
      </c>
      <c r="M250" s="227">
        <f t="shared" si="74"/>
        <v>6258.187924530499</v>
      </c>
      <c r="N250" s="227">
        <f>SQRT((ABS(AC250)-171.5+'Small Signal'!C$59)^2)</f>
        <v>37.192282234557183</v>
      </c>
      <c r="O250" s="227">
        <f t="shared" si="87"/>
        <v>96.923606998663729</v>
      </c>
      <c r="P250" s="227">
        <f t="shared" si="88"/>
        <v>9.3085404005960743</v>
      </c>
      <c r="Q250" s="227">
        <f t="shared" si="89"/>
        <v>2503.399387215818</v>
      </c>
      <c r="R250" s="227" t="str">
        <f t="shared" si="75"/>
        <v>0.0945666666666667+0.073927814564457i</v>
      </c>
      <c r="S250" s="227" t="str">
        <f t="shared" si="76"/>
        <v>0.0085-6.76335426585693i</v>
      </c>
      <c r="T250" s="227" t="str">
        <f t="shared" si="77"/>
        <v>1.77244549540208-6.2616500646954i</v>
      </c>
      <c r="U250" s="227" t="str">
        <f t="shared" si="78"/>
        <v>98.566655437754-55.9429793966768i</v>
      </c>
      <c r="V250" s="227">
        <f t="shared" si="90"/>
        <v>41.087341933975317</v>
      </c>
      <c r="W250" s="227">
        <f t="shared" si="91"/>
        <v>-29.577725480241352</v>
      </c>
      <c r="X250" s="227" t="str">
        <f t="shared" si="79"/>
        <v>0.99995543460628-0.00212266814828557i</v>
      </c>
      <c r="Y250" s="227" t="str">
        <f t="shared" si="80"/>
        <v>82.544309019119+58.7148431842539i</v>
      </c>
      <c r="Z250" s="227" t="str">
        <f t="shared" si="81"/>
        <v>46.4819030798354+32.9148139358702i</v>
      </c>
      <c r="AA250" s="227" t="str">
        <f t="shared" si="82"/>
        <v>7.1731245839641-14.9097912564788i</v>
      </c>
      <c r="AB250" s="227">
        <f t="shared" si="92"/>
        <v>24.37362998642929</v>
      </c>
      <c r="AC250" s="227">
        <f t="shared" si="93"/>
        <v>-64.307717765442817</v>
      </c>
      <c r="AD250" s="229">
        <f t="shared" si="94"/>
        <v>-15.065089585833215</v>
      </c>
      <c r="AE250" s="229">
        <f t="shared" si="95"/>
        <v>161.23132476410655</v>
      </c>
      <c r="AF250" s="227">
        <f t="shared" si="83"/>
        <v>9.3085404005960743</v>
      </c>
      <c r="AG250" s="227">
        <f t="shared" si="84"/>
        <v>96.923606998663729</v>
      </c>
      <c r="AH250" s="229" t="str">
        <f t="shared" si="85"/>
        <v>0.167114978893372-0.0567886447687125i</v>
      </c>
    </row>
    <row r="251" spans="9:34" x14ac:dyDescent="0.2">
      <c r="I251" s="227">
        <v>247</v>
      </c>
      <c r="J251" s="227">
        <f t="shared" si="73"/>
        <v>3.4082802641155001</v>
      </c>
      <c r="K251" s="227">
        <f t="shared" si="96"/>
        <v>2560.2375570683125</v>
      </c>
      <c r="L251" s="227">
        <f t="shared" si="86"/>
        <v>16086.447001460978</v>
      </c>
      <c r="M251" s="227">
        <f t="shared" si="74"/>
        <v>6200.0592783885768</v>
      </c>
      <c r="N251" s="227">
        <f>SQRT((ABS(AC251)-171.5+'Small Signal'!C$59)^2)</f>
        <v>36.531731567071262</v>
      </c>
      <c r="O251" s="227">
        <f t="shared" si="87"/>
        <v>96.589499530385012</v>
      </c>
      <c r="P251" s="227">
        <f t="shared" si="88"/>
        <v>9.1465487470916287</v>
      </c>
      <c r="Q251" s="227">
        <f t="shared" si="89"/>
        <v>2560.2375570683125</v>
      </c>
      <c r="R251" s="227" t="str">
        <f t="shared" si="75"/>
        <v>0.0945666666666667+0.0756063009068666i</v>
      </c>
      <c r="S251" s="227" t="str">
        <f t="shared" si="76"/>
        <v>0.0085-6.61320543397449i</v>
      </c>
      <c r="T251" s="227" t="str">
        <f t="shared" si="77"/>
        <v>1.70045642968325-6.1424688220576i</v>
      </c>
      <c r="U251" s="227" t="str">
        <f t="shared" si="78"/>
        <v>98.3757873544774-57.9201885468892i</v>
      </c>
      <c r="V251" s="227">
        <f t="shared" si="90"/>
        <v>41.15029192483513</v>
      </c>
      <c r="W251" s="227">
        <f t="shared" si="91"/>
        <v>-30.488073783138432</v>
      </c>
      <c r="X251" s="227" t="str">
        <f t="shared" si="79"/>
        <v>0.999953387972632-0.00217086204549944i</v>
      </c>
      <c r="Y251" s="227" t="str">
        <f t="shared" si="80"/>
        <v>84.8465224185683+59.764972601929i</v>
      </c>
      <c r="Z251" s="227" t="str">
        <f t="shared" si="81"/>
        <v>47.7791337437188+33.5001497063538i</v>
      </c>
      <c r="AA251" s="227" t="str">
        <f t="shared" si="82"/>
        <v>6.8848290646192-14.7432404884225i</v>
      </c>
      <c r="AB251" s="227">
        <f t="shared" si="92"/>
        <v>24.228589523123564</v>
      </c>
      <c r="AC251" s="227">
        <f t="shared" si="93"/>
        <v>-64.968268432928738</v>
      </c>
      <c r="AD251" s="229">
        <f t="shared" si="94"/>
        <v>-15.082040776031935</v>
      </c>
      <c r="AE251" s="229">
        <f t="shared" si="95"/>
        <v>161.55776796331375</v>
      </c>
      <c r="AF251" s="227">
        <f t="shared" si="83"/>
        <v>9.1465487470916287</v>
      </c>
      <c r="AG251" s="227">
        <f t="shared" si="84"/>
        <v>96.589499530385012</v>
      </c>
      <c r="AH251" s="229" t="str">
        <f t="shared" si="85"/>
        <v>0.167109373138087-0.0557267279186798i</v>
      </c>
    </row>
    <row r="252" spans="9:34" x14ac:dyDescent="0.2">
      <c r="I252" s="227">
        <v>248</v>
      </c>
      <c r="J252" s="227">
        <f t="shared" si="73"/>
        <v>3.4180303866422834</v>
      </c>
      <c r="K252" s="227">
        <f t="shared" si="96"/>
        <v>2618.3662032102343</v>
      </c>
      <c r="L252" s="227">
        <f t="shared" si="86"/>
        <v>16451.680056826142</v>
      </c>
      <c r="M252" s="227">
        <f t="shared" si="74"/>
        <v>6140.6108564731258</v>
      </c>
      <c r="N252" s="227">
        <f>SQRT((ABS(AC252)-171.5+'Small Signal'!C$59)^2)</f>
        <v>35.875179057591964</v>
      </c>
      <c r="O252" s="227">
        <f t="shared" si="87"/>
        <v>96.251937979337043</v>
      </c>
      <c r="P252" s="227">
        <f t="shared" si="88"/>
        <v>8.9836606538810955</v>
      </c>
      <c r="Q252" s="227">
        <f t="shared" si="89"/>
        <v>2618.3662032102343</v>
      </c>
      <c r="R252" s="227" t="str">
        <f t="shared" si="75"/>
        <v>0.0945666666666667+0.0773228962670829i</v>
      </c>
      <c r="S252" s="227" t="str">
        <f t="shared" si="76"/>
        <v>0.0085-6.46638995871206i</v>
      </c>
      <c r="T252" s="227" t="str">
        <f t="shared" si="77"/>
        <v>1.63119085010656-6.02475968407926i</v>
      </c>
      <c r="U252" s="227" t="str">
        <f t="shared" si="78"/>
        <v>98.1365165883931-59.9934497549108i</v>
      </c>
      <c r="V252" s="227">
        <f t="shared" si="90"/>
        <v>41.215595126922992</v>
      </c>
      <c r="W252" s="227">
        <f t="shared" si="91"/>
        <v>-31.438548551855849</v>
      </c>
      <c r="X252" s="227" t="str">
        <f t="shared" si="79"/>
        <v>0.999951247348806-0.00222015015601769i</v>
      </c>
      <c r="Y252" s="227" t="str">
        <f t="shared" si="80"/>
        <v>87.2961084340379+60.7893630099541i</v>
      </c>
      <c r="Z252" s="227" t="str">
        <f t="shared" si="81"/>
        <v>49.159278905658+34.0706453768554i</v>
      </c>
      <c r="AA252" s="227" t="str">
        <f t="shared" si="82"/>
        <v>6.6030405065325-14.5730997963181i</v>
      </c>
      <c r="AB252" s="227">
        <f t="shared" si="92"/>
        <v>24.081981991106844</v>
      </c>
      <c r="AC252" s="227">
        <f t="shared" si="93"/>
        <v>-65.624820942408036</v>
      </c>
      <c r="AD252" s="229">
        <f t="shared" si="94"/>
        <v>-15.098321337225748</v>
      </c>
      <c r="AE252" s="229">
        <f t="shared" si="95"/>
        <v>161.87675892174508</v>
      </c>
      <c r="AF252" s="227">
        <f t="shared" si="83"/>
        <v>8.9836606538810955</v>
      </c>
      <c r="AG252" s="227">
        <f t="shared" si="84"/>
        <v>96.251937979337043</v>
      </c>
      <c r="AH252" s="229" t="str">
        <f t="shared" si="85"/>
        <v>0.16710352962267-0.0546928864559618i</v>
      </c>
    </row>
    <row r="253" spans="9:34" x14ac:dyDescent="0.2">
      <c r="I253" s="227">
        <v>249</v>
      </c>
      <c r="J253" s="227">
        <f t="shared" si="73"/>
        <v>3.4277805091690667</v>
      </c>
      <c r="K253" s="227">
        <f t="shared" si="96"/>
        <v>2677.8146251256858</v>
      </c>
      <c r="L253" s="227">
        <f t="shared" si="86"/>
        <v>16825.205507940322</v>
      </c>
      <c r="M253" s="227">
        <f t="shared" si="74"/>
        <v>6079.812694072978</v>
      </c>
      <c r="N253" s="227">
        <f>SQRT((ABS(AC253)-171.5+'Small Signal'!C$59)^2)</f>
        <v>35.222703286494863</v>
      </c>
      <c r="O253" s="227">
        <f t="shared" si="87"/>
        <v>95.911053348228677</v>
      </c>
      <c r="P253" s="227">
        <f t="shared" si="88"/>
        <v>8.8198906741696739</v>
      </c>
      <c r="Q253" s="227">
        <f t="shared" si="89"/>
        <v>2677.8146251256858</v>
      </c>
      <c r="R253" s="227" t="str">
        <f t="shared" si="75"/>
        <v>0.0945666666666667+0.0790784658873195i</v>
      </c>
      <c r="S253" s="227" t="str">
        <f t="shared" si="76"/>
        <v>0.0085-6.32283383838604i</v>
      </c>
      <c r="T253" s="227" t="str">
        <f t="shared" si="77"/>
        <v>1.56456300205168-5.90855489637444i</v>
      </c>
      <c r="U253" s="227" t="str">
        <f t="shared" si="78"/>
        <v>97.8412084591177-62.1679426745365i</v>
      </c>
      <c r="V253" s="227">
        <f t="shared" si="90"/>
        <v>41.283267241427133</v>
      </c>
      <c r="W253" s="227">
        <f t="shared" si="91"/>
        <v>-32.431726297987865</v>
      </c>
      <c r="X253" s="227" t="str">
        <f t="shared" si="79"/>
        <v>0.999949008418371-0.00227055732329199i</v>
      </c>
      <c r="Y253" s="227" t="str">
        <f t="shared" si="80"/>
        <v>89.9030057291449+61.7793050984357i</v>
      </c>
      <c r="Z253" s="227" t="str">
        <f t="shared" si="81"/>
        <v>50.6279150541136+34.621373095285i</v>
      </c>
      <c r="AA253" s="227" t="str">
        <f t="shared" si="82"/>
        <v>6.32781544136353-14.3996603253733i</v>
      </c>
      <c r="AB253" s="227">
        <f t="shared" si="92"/>
        <v>23.933847137114142</v>
      </c>
      <c r="AC253" s="227">
        <f t="shared" si="93"/>
        <v>-66.277296713505137</v>
      </c>
      <c r="AD253" s="229">
        <f t="shared" si="94"/>
        <v>-15.113956462944468</v>
      </c>
      <c r="AE253" s="229">
        <f t="shared" si="95"/>
        <v>162.18835006173381</v>
      </c>
      <c r="AF253" s="227">
        <f t="shared" si="83"/>
        <v>8.8198906741696739</v>
      </c>
      <c r="AG253" s="227">
        <f t="shared" si="84"/>
        <v>95.911053348228677</v>
      </c>
      <c r="AH253" s="229" t="str">
        <f t="shared" si="85"/>
        <v>0.167097436615306-0.0536865983440443i</v>
      </c>
    </row>
    <row r="254" spans="9:34" x14ac:dyDescent="0.2">
      <c r="I254" s="227">
        <v>250</v>
      </c>
      <c r="J254" s="227">
        <f t="shared" si="73"/>
        <v>3.43753063169585</v>
      </c>
      <c r="K254" s="227">
        <f>10^(J254)</f>
        <v>2738.612787525833</v>
      </c>
      <c r="L254" s="227">
        <f t="shared" si="86"/>
        <v>17207.211628636443</v>
      </c>
      <c r="M254" s="227">
        <f t="shared" si="74"/>
        <v>6017.6341461463089</v>
      </c>
      <c r="N254" s="227">
        <f>SQRT((ABS(AC254)-171.5+'Small Signal'!C$59)^2)</f>
        <v>34.574370945100839</v>
      </c>
      <c r="O254" s="227">
        <f t="shared" si="87"/>
        <v>95.566966979303658</v>
      </c>
      <c r="P254" s="227">
        <f t="shared" si="88"/>
        <v>8.6552544651618248</v>
      </c>
      <c r="Q254" s="227">
        <f t="shared" si="89"/>
        <v>2738.612787525833</v>
      </c>
      <c r="R254" s="227" t="str">
        <f t="shared" si="75"/>
        <v>0.0945666666666667+0.0808738946545913i</v>
      </c>
      <c r="S254" s="227" t="str">
        <f t="shared" si="76"/>
        <v>0.0085-6.18246471417601i</v>
      </c>
      <c r="T254" s="227" t="str">
        <f t="shared" si="77"/>
        <v>1.50048842207591-5.79388285052002i</v>
      </c>
      <c r="U254" s="227" t="str">
        <f t="shared" si="78"/>
        <v>97.481121028099-64.448910894203i</v>
      </c>
      <c r="V254" s="227">
        <f t="shared" si="90"/>
        <v>41.353308567149668</v>
      </c>
      <c r="W254" s="227">
        <f t="shared" si="91"/>
        <v>-33.470384716396445</v>
      </c>
      <c r="X254" s="227" t="str">
        <f t="shared" si="79"/>
        <v>0.999946666666667-0.00232210895482955i</v>
      </c>
      <c r="Y254" s="227" t="str">
        <f t="shared" si="80"/>
        <v>92.6776336232291+62.7245885563315i</v>
      </c>
      <c r="Z254" s="227" t="str">
        <f t="shared" si="81"/>
        <v>52.190885804864+35.1465585865409i</v>
      </c>
      <c r="AA254" s="227" t="str">
        <f t="shared" si="82"/>
        <v>6.05919488073374-14.2232099223021i</v>
      </c>
      <c r="AB254" s="227">
        <f t="shared" si="92"/>
        <v>23.78422509841339</v>
      </c>
      <c r="AC254" s="227">
        <f t="shared" si="93"/>
        <v>-66.925629054899161</v>
      </c>
      <c r="AD254" s="229">
        <f t="shared" si="94"/>
        <v>-15.128970633251566</v>
      </c>
      <c r="AE254" s="229">
        <f t="shared" si="95"/>
        <v>162.49259603420282</v>
      </c>
      <c r="AF254" s="227">
        <f t="shared" si="83"/>
        <v>8.6552544651618248</v>
      </c>
      <c r="AG254" s="227">
        <f t="shared" si="84"/>
        <v>95.566966979303658</v>
      </c>
      <c r="AH254" s="229" t="str">
        <f t="shared" si="85"/>
        <v>0.167091081885903-0.0527073553696871i</v>
      </c>
    </row>
    <row r="255" spans="9:34" x14ac:dyDescent="0.2">
      <c r="I255" s="227">
        <v>251</v>
      </c>
      <c r="J255" s="227">
        <f t="shared" si="73"/>
        <v>3.4472807542226334</v>
      </c>
      <c r="K255" s="227">
        <f t="shared" ref="K255:K318" si="97">10^(J255)</f>
        <v>2800.7913354525026</v>
      </c>
      <c r="L255" s="227">
        <f t="shared" si="86"/>
        <v>17597.890967391057</v>
      </c>
      <c r="M255" s="227">
        <f t="shared" si="74"/>
        <v>5954.0438718741352</v>
      </c>
      <c r="N255" s="227">
        <f>SQRT((ABS(AC255)-171.5+'Small Signal'!C$59)^2)</f>
        <v>33.930236962336949</v>
      </c>
      <c r="O255" s="227">
        <f t="shared" si="87"/>
        <v>95.219790425425117</v>
      </c>
      <c r="P255" s="227">
        <f t="shared" si="88"/>
        <v>8.4897686996742543</v>
      </c>
      <c r="Q255" s="227">
        <f t="shared" si="89"/>
        <v>2800.7913354525026</v>
      </c>
      <c r="R255" s="227" t="str">
        <f t="shared" si="75"/>
        <v>0.0945666666666667+0.082710087546738i</v>
      </c>
      <c r="S255" s="227" t="str">
        <f t="shared" si="76"/>
        <v>0.0085-6.0452118336528i</v>
      </c>
      <c r="T255" s="227" t="str">
        <f t="shared" si="77"/>
        <v>1.43888404544007-5.68076827577393i</v>
      </c>
      <c r="U255" s="227" t="str">
        <f t="shared" si="78"/>
        <v>97.0462551149528-66.8415804554403i</v>
      </c>
      <c r="V255" s="227">
        <f t="shared" si="90"/>
        <v>41.425700459394704</v>
      </c>
      <c r="W255" s="227">
        <f t="shared" si="91"/>
        <v>-34.55751695710773</v>
      </c>
      <c r="X255" s="227" t="str">
        <f t="shared" si="79"/>
        <v>0.9999442173717-0.00237483103499965i</v>
      </c>
      <c r="Y255" s="227" t="str">
        <f t="shared" si="80"/>
        <v>95.630833156861+63.6132676663231i</v>
      </c>
      <c r="Z255" s="227" t="str">
        <f t="shared" si="81"/>
        <v>53.8542681550906+35.6394492876095i</v>
      </c>
      <c r="AA255" s="227" t="str">
        <f t="shared" si="82"/>
        <v>5.79720490254257-14.0440322748512i</v>
      </c>
      <c r="AB255" s="227">
        <f t="shared" si="92"/>
        <v>23.633156320996761</v>
      </c>
      <c r="AC255" s="227">
        <f t="shared" si="93"/>
        <v>-67.569763037663051</v>
      </c>
      <c r="AD255" s="229">
        <f t="shared" si="94"/>
        <v>-15.143387621322507</v>
      </c>
      <c r="AE255" s="229">
        <f t="shared" si="95"/>
        <v>162.78955346308817</v>
      </c>
      <c r="AF255" s="227">
        <f t="shared" si="83"/>
        <v>8.4897686996742543</v>
      </c>
      <c r="AG255" s="227">
        <f t="shared" si="84"/>
        <v>95.219790425425117</v>
      </c>
      <c r="AH255" s="229" t="str">
        <f t="shared" si="85"/>
        <v>0.167084452681885-0.0517546628822622i</v>
      </c>
    </row>
    <row r="256" spans="9:34" x14ac:dyDescent="0.2">
      <c r="I256" s="227">
        <v>252</v>
      </c>
      <c r="J256" s="227">
        <f t="shared" si="73"/>
        <v>3.4570308767494171</v>
      </c>
      <c r="K256" s="227">
        <f t="shared" si="97"/>
        <v>2864.3816097246759</v>
      </c>
      <c r="L256" s="227">
        <f t="shared" si="86"/>
        <v>17997.440444377495</v>
      </c>
      <c r="M256" s="227">
        <f t="shared" si="74"/>
        <v>5889.0098188631437</v>
      </c>
      <c r="N256" s="227">
        <f>SQRT((ABS(AC256)-171.5+'Small Signal'!C$59)^2)</f>
        <v>33.290344662734242</v>
      </c>
      <c r="O256" s="227">
        <f t="shared" si="87"/>
        <v>94.869625362828032</v>
      </c>
      <c r="P256" s="227">
        <f t="shared" si="88"/>
        <v>8.3234509800198904</v>
      </c>
      <c r="Q256" s="227">
        <f t="shared" si="89"/>
        <v>2864.3816097246759</v>
      </c>
      <c r="R256" s="227" t="str">
        <f t="shared" si="75"/>
        <v>0.0945666666666667+0.0845879700885742i</v>
      </c>
      <c r="S256" s="227" t="str">
        <f t="shared" si="76"/>
        <v>0.0085-5.91100601511584i</v>
      </c>
      <c r="T256" s="227" t="str">
        <f t="shared" si="77"/>
        <v>1.3796682999882-5.5692324277937i</v>
      </c>
      <c r="U256" s="227" t="str">
        <f t="shared" si="78"/>
        <v>96.5251888180509-69.3510500150654i</v>
      </c>
      <c r="V256" s="227">
        <f t="shared" si="90"/>
        <v>41.500401141560026</v>
      </c>
      <c r="W256" s="227">
        <f t="shared" si="91"/>
        <v>-35.6963458187941</v>
      </c>
      <c r="X256" s="227" t="str">
        <f t="shared" si="79"/>
        <v>0.999941655594623-0.00242875013813102i</v>
      </c>
      <c r="Y256" s="227" t="str">
        <f t="shared" si="80"/>
        <v>98.7737747446711+64.431395659155i</v>
      </c>
      <c r="Z256" s="227" t="str">
        <f t="shared" si="81"/>
        <v>55.6243198469292+36.092164969043i</v>
      </c>
      <c r="AA256" s="227" t="str">
        <f t="shared" si="82"/>
        <v>5.54185728152044-13.8624061207078i</v>
      </c>
      <c r="AB256" s="227">
        <f t="shared" si="92"/>
        <v>23.480681481436481</v>
      </c>
      <c r="AC256" s="227">
        <f t="shared" si="93"/>
        <v>-68.209655337265758</v>
      </c>
      <c r="AD256" s="229">
        <f t="shared" si="94"/>
        <v>-15.15723050141659</v>
      </c>
      <c r="AE256" s="229">
        <f t="shared" si="95"/>
        <v>163.07928070009379</v>
      </c>
      <c r="AF256" s="227">
        <f t="shared" si="83"/>
        <v>8.3234509800198904</v>
      </c>
      <c r="AG256" s="227">
        <f t="shared" si="84"/>
        <v>94.869625362828032</v>
      </c>
      <c r="AH256" s="229" t="str">
        <f t="shared" si="85"/>
        <v>0.167077535702967-0.0508280395396177i</v>
      </c>
    </row>
    <row r="257" spans="9:34" x14ac:dyDescent="0.2">
      <c r="I257" s="227">
        <v>253</v>
      </c>
      <c r="J257" s="227">
        <f t="shared" si="73"/>
        <v>3.4667809992762004</v>
      </c>
      <c r="K257" s="227">
        <f t="shared" si="97"/>
        <v>2929.4156627356683</v>
      </c>
      <c r="L257" s="227">
        <f t="shared" si="86"/>
        <v>18406.0614507225</v>
      </c>
      <c r="M257" s="227">
        <f t="shared" si="74"/>
        <v>5822.4992069897853</v>
      </c>
      <c r="N257" s="227">
        <f>SQRT((ABS(AC257)-171.5+'Small Signal'!C$59)^2)</f>
        <v>32.654725953180318</v>
      </c>
      <c r="O257" s="227">
        <f t="shared" si="87"/>
        <v>94.51656354296891</v>
      </c>
      <c r="P257" s="227">
        <f t="shared" si="88"/>
        <v>8.1563197545394548</v>
      </c>
      <c r="Q257" s="227">
        <f t="shared" si="89"/>
        <v>2929.4156627356683</v>
      </c>
      <c r="R257" s="227" t="str">
        <f t="shared" si="75"/>
        <v>0.0945666666666667+0.0865084888183957i</v>
      </c>
      <c r="S257" s="227" t="str">
        <f t="shared" si="76"/>
        <v>0.0085-5.77977961272256i</v>
      </c>
      <c r="T257" s="227" t="str">
        <f t="shared" si="77"/>
        <v>1.32276118722594-5.45929327375354i</v>
      </c>
      <c r="U257" s="227" t="str">
        <f t="shared" si="78"/>
        <v>95.9048972012358-71.9821453519388i</v>
      </c>
      <c r="V257" s="227">
        <f t="shared" si="90"/>
        <v>41.57734076693238</v>
      </c>
      <c r="W257" s="227">
        <f t="shared" si="91"/>
        <v>-36.890337400641322</v>
      </c>
      <c r="X257" s="227" t="str">
        <f t="shared" si="79"/>
        <v>0.999938976169777-0.0024838934419064i</v>
      </c>
      <c r="Y257" s="227" t="str">
        <f t="shared" si="80"/>
        <v>102.11782217569+65.1627261594215i</v>
      </c>
      <c r="Z257" s="227" t="str">
        <f t="shared" si="81"/>
        <v>57.5074020699982+36.4955299278139i</v>
      </c>
      <c r="AA257" s="227" t="str">
        <f t="shared" si="82"/>
        <v>5.2931501565841-13.6786045269208i</v>
      </c>
      <c r="AB257" s="227">
        <f t="shared" si="92"/>
        <v>23.326841412645457</v>
      </c>
      <c r="AC257" s="227">
        <f t="shared" si="93"/>
        <v>-68.845274046819682</v>
      </c>
      <c r="AD257" s="229">
        <f t="shared" si="94"/>
        <v>-15.170521658106003</v>
      </c>
      <c r="AE257" s="229">
        <f t="shared" si="95"/>
        <v>163.36183758978859</v>
      </c>
      <c r="AF257" s="227">
        <f t="shared" si="83"/>
        <v>8.1563197545394548</v>
      </c>
      <c r="AG257" s="227">
        <f t="shared" si="84"/>
        <v>94.51656354296891</v>
      </c>
      <c r="AH257" s="229" t="str">
        <f t="shared" si="85"/>
        <v>0.167070317074873-0.0499270170603187i</v>
      </c>
    </row>
    <row r="258" spans="9:34" x14ac:dyDescent="0.2">
      <c r="I258" s="227">
        <v>254</v>
      </c>
      <c r="J258" s="227">
        <f t="shared" si="73"/>
        <v>3.4765311218029837</v>
      </c>
      <c r="K258" s="227">
        <f t="shared" si="97"/>
        <v>2995.9262746090267</v>
      </c>
      <c r="L258" s="227">
        <f t="shared" si="86"/>
        <v>18823.95995001671</v>
      </c>
      <c r="M258" s="227">
        <f t="shared" si="74"/>
        <v>5754.478511877629</v>
      </c>
      <c r="N258" s="227">
        <f>SQRT((ABS(AC258)-171.5+'Small Signal'!C$59)^2)</f>
        <v>32.023401535821591</v>
      </c>
      <c r="O258" s="227">
        <f t="shared" si="87"/>
        <v>94.160686780827632</v>
      </c>
      <c r="P258" s="227">
        <f t="shared" si="88"/>
        <v>7.9883942371054371</v>
      </c>
      <c r="Q258" s="227">
        <f t="shared" si="89"/>
        <v>2995.9262746090267</v>
      </c>
      <c r="R258" s="227" t="str">
        <f t="shared" si="75"/>
        <v>0.0945666666666667+0.0884726117650785i</v>
      </c>
      <c r="S258" s="227" t="str">
        <f t="shared" si="76"/>
        <v>0.0085-5.65146648239176i</v>
      </c>
      <c r="T258" s="227" t="str">
        <f t="shared" si="77"/>
        <v>1.26808435143072-5.3509656733426i</v>
      </c>
      <c r="U258" s="227" t="str">
        <f t="shared" si="78"/>
        <v>95.1705590651309-74.7392294254967i</v>
      </c>
      <c r="V258" s="227">
        <f t="shared" si="90"/>
        <v>41.656415617856162</v>
      </c>
      <c r="W258" s="227">
        <f t="shared" si="91"/>
        <v>-38.143213573712735</v>
      </c>
      <c r="X258" s="227" t="str">
        <f t="shared" si="79"/>
        <v>0.999936173694273-0.00254028874106143i</v>
      </c>
      <c r="Y258" s="227" t="str">
        <f t="shared" si="80"/>
        <v>105.674340230363+65.7883812504071i</v>
      </c>
      <c r="Z258" s="227" t="str">
        <f t="shared" si="81"/>
        <v>59.509870332444+36.8388865157744i</v>
      </c>
      <c r="AA258" s="227" t="str">
        <f t="shared" si="82"/>
        <v>5.0510687277719-13.4928942402089i</v>
      </c>
      <c r="AB258" s="227">
        <f t="shared" si="92"/>
        <v>23.171677033738092</v>
      </c>
      <c r="AC258" s="227">
        <f t="shared" si="93"/>
        <v>-69.476598464178409</v>
      </c>
      <c r="AD258" s="229">
        <f t="shared" si="94"/>
        <v>-15.183282796632655</v>
      </c>
      <c r="AE258" s="229">
        <f t="shared" si="95"/>
        <v>163.63728524500604</v>
      </c>
      <c r="AF258" s="227">
        <f t="shared" si="83"/>
        <v>7.9883942371054371</v>
      </c>
      <c r="AG258" s="227">
        <f t="shared" si="84"/>
        <v>94.160686780827632</v>
      </c>
      <c r="AH258" s="229" t="str">
        <f t="shared" si="85"/>
        <v>0.167062782321955-0.0490511399821148i</v>
      </c>
    </row>
    <row r="259" spans="9:34" x14ac:dyDescent="0.2">
      <c r="I259" s="227">
        <v>255</v>
      </c>
      <c r="J259" s="227">
        <f t="shared" si="73"/>
        <v>3.486281244329767</v>
      </c>
      <c r="K259" s="227">
        <f t="shared" si="97"/>
        <v>3063.946969721183</v>
      </c>
      <c r="L259" s="227">
        <f t="shared" si="86"/>
        <v>19251.346582129554</v>
      </c>
      <c r="M259" s="227">
        <f t="shared" si="74"/>
        <v>5684.9134479995355</v>
      </c>
      <c r="N259" s="227">
        <f>SQRT((ABS(AC259)-171.5+'Small Signal'!C$59)^2)</f>
        <v>31.396381144509363</v>
      </c>
      <c r="O259" s="227">
        <f t="shared" si="87"/>
        <v>93.802066976964184</v>
      </c>
      <c r="P259" s="227">
        <f t="shared" si="88"/>
        <v>7.8196943298738706</v>
      </c>
      <c r="Q259" s="227">
        <f t="shared" si="89"/>
        <v>3063.946969721183</v>
      </c>
      <c r="R259" s="227" t="str">
        <f t="shared" si="75"/>
        <v>0.0945666666666667+0.0904813289360089i</v>
      </c>
      <c r="S259" s="227" t="str">
        <f t="shared" si="76"/>
        <v>0.0085-5.52600194846402i</v>
      </c>
      <c r="T259" s="227" t="str">
        <f t="shared" si="77"/>
        <v>1.21556113761111-5.24426155520836i</v>
      </c>
      <c r="U259" s="227" t="str">
        <f t="shared" si="78"/>
        <v>94.305354561631-77.6259575551044i</v>
      </c>
      <c r="V259" s="227">
        <f t="shared" si="90"/>
        <v>41.737481321019636</v>
      </c>
      <c r="W259" s="227">
        <f t="shared" si="91"/>
        <v>-39.458962407892507</v>
      </c>
      <c r="X259" s="227" t="str">
        <f t="shared" si="79"/>
        <v>0.999933242517097-0.00259796446139442i</v>
      </c>
      <c r="Y259" s="227" t="str">
        <f t="shared" si="80"/>
        <v>109.454430288351+66.286487630134i</v>
      </c>
      <c r="Z259" s="227" t="str">
        <f t="shared" si="81"/>
        <v>61.6379247043264+37.109890869901i</v>
      </c>
      <c r="AA259" s="227" t="str">
        <f t="shared" si="82"/>
        <v>4.8155859758186-13.3055351078359i</v>
      </c>
      <c r="AB259" s="227">
        <f t="shared" si="92"/>
        <v>23.015229284145249</v>
      </c>
      <c r="AC259" s="227">
        <f t="shared" si="93"/>
        <v>-70.103618855490637</v>
      </c>
      <c r="AD259" s="229">
        <f t="shared" si="94"/>
        <v>-15.195534954271379</v>
      </c>
      <c r="AE259" s="229">
        <f t="shared" si="95"/>
        <v>163.90568583245482</v>
      </c>
      <c r="AF259" s="227">
        <f t="shared" si="83"/>
        <v>7.8196943298738706</v>
      </c>
      <c r="AG259" s="227">
        <f t="shared" si="84"/>
        <v>93.802066976964184</v>
      </c>
      <c r="AH259" s="229" t="str">
        <f t="shared" si="85"/>
        <v>0.167054916338643-0.0481999654264898i</v>
      </c>
    </row>
    <row r="260" spans="9:34" x14ac:dyDescent="0.2">
      <c r="I260" s="227">
        <v>256</v>
      </c>
      <c r="J260" s="227">
        <f t="shared" ref="J260:J323" si="98">1+I260*(LOG(fsw)-1)/500</f>
        <v>3.4960313668565504</v>
      </c>
      <c r="K260" s="227">
        <f t="shared" si="97"/>
        <v>3133.5120335992765</v>
      </c>
      <c r="L260" s="227">
        <f t="shared" si="86"/>
        <v>19688.436769381398</v>
      </c>
      <c r="M260" s="227">
        <f t="shared" ref="M260:M323" si="99">SQRT((Fco_target-K261)^2)</f>
        <v>5613.7689513962123</v>
      </c>
      <c r="N260" s="227">
        <f>SQRT((ABS(AC260)-171.5+'Small Signal'!C$59)^2)</f>
        <v>30.773663802216035</v>
      </c>
      <c r="O260" s="227">
        <f t="shared" si="87"/>
        <v>93.440766170627384</v>
      </c>
      <c r="P260" s="227">
        <f t="shared" si="88"/>
        <v>7.6502405495185322</v>
      </c>
      <c r="Q260" s="227">
        <f t="shared" si="89"/>
        <v>3133.5120335992765</v>
      </c>
      <c r="R260" s="227" t="str">
        <f t="shared" ref="R260:R323" si="100">IMSUM(COMPLEX(DCRss,Lss*L260),COMPLEX(Rdsonss,0),COMPLEX(40/3*Risense,0))</f>
        <v>0.0945666666666667+0.0925356528160926i</v>
      </c>
      <c r="S260" s="227" t="str">
        <f t="shared" ref="S260:S323" si="101">IMSUM(COMPLEX(ESRss,0),IMDIV(COMPLEX(1,0),COMPLEX(0,L260*Cbulkss)))</f>
        <v>0.0085-5.4033227711022i</v>
      </c>
      <c r="T260" s="227" t="str">
        <f t="shared" ref="T260:T323" si="102">IMDIV(IMPRODUCT(S260,COMPLEX(Ross,0)),IMSUM(S260,COMPLEX(Ross,0)))</f>
        <v>1.16511663911214-5.13919008848317i</v>
      </c>
      <c r="U260" s="227" t="str">
        <f t="shared" ref="U260:U323" si="103">IMPRODUCT(COMPLEX(Vinss,0),COMPLEX(M^2,0),IMDIV(IMSUB(COMPLEX(1,0),IMDIV(IMPRODUCT(R260,COMPLEX(M^2,0)),COMPLEX(Ross,0))),IMSUM(COMPLEX(1,0),IMDIV(IMPRODUCT(R260,COMPLEX(M^2,0)),T260))))</f>
        <v>93.2902600280294-80.6449655901996i</v>
      </c>
      <c r="V260" s="227">
        <f t="shared" si="90"/>
        <v>41.820344952951714</v>
      </c>
      <c r="W260" s="227">
        <f t="shared" si="91"/>
        <v>-40.841845406124293</v>
      </c>
      <c r="X260" s="227" t="str">
        <f t="shared" ref="X260:X323" si="104">IMSUM(COMPLEX(1,L260/(wn*q0)),IMPOWER(COMPLEX(0,L260/wn),2))</f>
        <v>0.999930176727718-0.00265694967409422i</v>
      </c>
      <c r="Y260" s="227" t="str">
        <f t="shared" ref="Y260:Y323" si="105">IMPRODUCT(COMPLEX(2*Ioutss*M^2,0),IMDIV(IMSUM(COMPLEX(1,0),IMDIV(COMPLEX(Ross,0),IMPRODUCT(COMPLEX(2,0),S260))),IMSUM(COMPLEX(1,0),IMDIV(IMPRODUCT(R260,COMPLEX(M^2,0)),T260))))</f>
        <v>113.468575048148+66.6317853200513i</v>
      </c>
      <c r="Z260" s="227" t="str">
        <f t="shared" ref="Z260:Z323" si="106">IMPRODUCT(COMPLEX(Fm*40/3*Risense,0),Y260,X260)</f>
        <v>63.8974088123028+37.2942934016383i</v>
      </c>
      <c r="AA260" s="227" t="str">
        <f t="shared" ref="AA260:AA323" si="107">IMDIV(IMPRODUCT(COMPLEX(Fm,0),U260),IMSUM(COMPLEX(1,0),Z260))</f>
        <v>4.58666339777314-13.1167795681094i</v>
      </c>
      <c r="AB260" s="227">
        <f t="shared" si="92"/>
        <v>22.857539062101768</v>
      </c>
      <c r="AC260" s="227">
        <f t="shared" si="93"/>
        <v>-70.726336197783965</v>
      </c>
      <c r="AD260" s="229">
        <f t="shared" si="94"/>
        <v>-15.207298512583236</v>
      </c>
      <c r="AE260" s="229">
        <f t="shared" si="95"/>
        <v>164.16710236841135</v>
      </c>
      <c r="AF260" s="227">
        <f t="shared" ref="AF260:AF323" si="108">AD260+AB260</f>
        <v>7.6502405495185322</v>
      </c>
      <c r="AG260" s="227">
        <f t="shared" ref="AG260:AG323" si="109">AE260+AC260</f>
        <v>93.440766170627384</v>
      </c>
      <c r="AH260" s="229" t="str">
        <f t="shared" ref="AH260:AH323" si="110">IMDIV(IMPRODUCT(COMPLEX(gea*Rea*Rslss/(Rslss+Rshss),0),COMPLEX(1,L260*Ccompss*Rcompss),COMPLEX(1,k_3*L260*Cffss*Rshss)),IMPRODUCT(COMPLEX(1,L260*Rea*Ccompss),COMPLEX(1,L260*Rcompss*Chfss),COMPLEX(1,k_3*L260*Rffss*Cffss)))</f>
        <v>0.167046703359692-0.0473730628691482i</v>
      </c>
    </row>
    <row r="261" spans="9:34" x14ac:dyDescent="0.2">
      <c r="I261" s="227">
        <v>257</v>
      </c>
      <c r="J261" s="227">
        <f t="shared" si="98"/>
        <v>3.5057814893833337</v>
      </c>
      <c r="K261" s="227">
        <f t="shared" si="97"/>
        <v>3204.6565302025997</v>
      </c>
      <c r="L261" s="227">
        <f t="shared" ref="L261:L324" si="111">2*PI()*K261</f>
        <v>20135.450825126089</v>
      </c>
      <c r="M261" s="227">
        <f t="shared" si="99"/>
        <v>5541.0091620023504</v>
      </c>
      <c r="N261" s="227">
        <f>SQRT((ABS(AC261)-171.5+'Small Signal'!C$59)^2)</f>
        <v>30.155238096893427</v>
      </c>
      <c r="O261" s="227">
        <f t="shared" ref="O261:O324" si="112">ABS(AG261)</f>
        <v>93.076836621219385</v>
      </c>
      <c r="P261" s="227">
        <f t="shared" ref="P261:P324" si="113">ABS(AF261)</f>
        <v>7.4800539571357039</v>
      </c>
      <c r="Q261" s="227">
        <f t="shared" ref="Q261:Q304" si="114">K261</f>
        <v>3204.6565302025997</v>
      </c>
      <c r="R261" s="227" t="str">
        <f t="shared" si="100"/>
        <v>0.0945666666666667+0.0946366188780926i</v>
      </c>
      <c r="S261" s="227" t="str">
        <f t="shared" si="101"/>
        <v>0.0085-5.28336711441564i</v>
      </c>
      <c r="T261" s="227" t="str">
        <f t="shared" si="102"/>
        <v>1.1166777356391-5.03575784909925i</v>
      </c>
      <c r="U261" s="227" t="str">
        <f t="shared" si="103"/>
        <v>92.1038500470239-83.7974773390261i</v>
      </c>
      <c r="V261" s="227">
        <f t="shared" ref="V261:V324" si="115">20*LOG(IMABS(U261))</f>
        <v>41.904755911678997</v>
      </c>
      <c r="W261" s="227">
        <f t="shared" ref="W261:W324" si="116">IF(DEGREES(IMARGUMENT(U261))&gt;0,DEGREES(IMARGUMENT(U261))-360, DEGREES(IMARGUMENT(U261)))</f>
        <v>-42.296400043831611</v>
      </c>
      <c r="X261" s="227" t="str">
        <f t="shared" si="104"/>
        <v>0.999926970144167-0.00271727411039347i</v>
      </c>
      <c r="Y261" s="227" t="str">
        <f t="shared" si="105"/>
        <v>117.726170002275+66.795217798528i</v>
      </c>
      <c r="Z261" s="227" t="str">
        <f t="shared" si="106"/>
        <v>66.2935450168425+37.3757090948117i</v>
      </c>
      <c r="AA261" s="227" t="str">
        <f t="shared" si="107"/>
        <v>4.36425175244846-12.9268722089962i</v>
      </c>
      <c r="AB261" s="227">
        <f t="shared" ref="AB261:AB324" si="117">20*LOG(IMABS(AA261))</f>
        <v>22.698647167586561</v>
      </c>
      <c r="AC261" s="227">
        <f t="shared" ref="AC261:AC324" si="118">IF(DEGREES(IMARGUMENT(AA261))&gt;0,DEGREES(IMARGUMENT(AA261))-360, DEGREES(IMARGUMENT(AA261)))</f>
        <v>-71.344761903106573</v>
      </c>
      <c r="AD261" s="229">
        <f t="shared" ref="AD261:AD324" si="119">20*LOG(IMABS(AH261))</f>
        <v>-15.218593210450857</v>
      </c>
      <c r="AE261" s="229">
        <f t="shared" ref="AE261:AE324" si="120">180+DEGREES(IMARGUMENT(AH261))</f>
        <v>164.42159852432596</v>
      </c>
      <c r="AF261" s="227">
        <f t="shared" si="108"/>
        <v>7.4800539571357039</v>
      </c>
      <c r="AG261" s="227">
        <f t="shared" si="109"/>
        <v>93.076836621219385</v>
      </c>
      <c r="AH261" s="229" t="str">
        <f t="shared" si="110"/>
        <v>0.167038126929165-0.0465700139162975i</v>
      </c>
    </row>
    <row r="262" spans="9:34" x14ac:dyDescent="0.2">
      <c r="I262" s="227">
        <v>258</v>
      </c>
      <c r="J262" s="227">
        <f t="shared" si="98"/>
        <v>3.515531611910117</v>
      </c>
      <c r="K262" s="227">
        <f t="shared" si="97"/>
        <v>3277.4163195964616</v>
      </c>
      <c r="L262" s="227">
        <f t="shared" si="111"/>
        <v>20592.614064799083</v>
      </c>
      <c r="M262" s="227">
        <f t="shared" si="99"/>
        <v>5466.5974055715378</v>
      </c>
      <c r="N262" s="227">
        <f>SQRT((ABS(AC262)-171.5+'Small Signal'!C$59)^2)</f>
        <v>29.541082473320614</v>
      </c>
      <c r="O262" s="227">
        <f t="shared" si="112"/>
        <v>92.710320915465275</v>
      </c>
      <c r="P262" s="227">
        <f t="shared" si="113"/>
        <v>7.3091560919665319</v>
      </c>
      <c r="Q262" s="227">
        <f t="shared" si="114"/>
        <v>3277.4163195964616</v>
      </c>
      <c r="R262" s="227" t="str">
        <f t="shared" si="100"/>
        <v>0.0945666666666667+0.0967852861045557i</v>
      </c>
      <c r="S262" s="227" t="str">
        <f t="shared" si="101"/>
        <v>0.0085-5.16607451529211i</v>
      </c>
      <c r="T262" s="227" t="str">
        <f t="shared" si="102"/>
        <v>1.07017312244553-4.93396898066079i</v>
      </c>
      <c r="U262" s="227" t="str">
        <f t="shared" si="103"/>
        <v>90.7221216470721-87.0828162872082i</v>
      </c>
      <c r="V262" s="227">
        <f t="shared" si="115"/>
        <v>41.990395442720825</v>
      </c>
      <c r="W262" s="227">
        <f t="shared" si="116"/>
        <v>-43.827435679215917</v>
      </c>
      <c r="X262" s="227" t="str">
        <f t="shared" si="104"/>
        <v>0.999923616300573-0.00277896817655448i</v>
      </c>
      <c r="Y262" s="227" t="str">
        <f t="shared" si="105"/>
        <v>122.234915884658+66.743518723711i</v>
      </c>
      <c r="Z262" s="227" t="str">
        <f t="shared" si="106"/>
        <v>68.8305912881609+37.3353862132711i</v>
      </c>
      <c r="AA262" s="227" t="str">
        <f t="shared" si="107"/>
        <v>4.14829180991853-12.7360493928557i</v>
      </c>
      <c r="AB262" s="227">
        <f t="shared" si="117"/>
        <v>22.53859424976142</v>
      </c>
      <c r="AC262" s="227">
        <f t="shared" si="118"/>
        <v>-71.958917526679386</v>
      </c>
      <c r="AD262" s="229">
        <f t="shared" si="119"/>
        <v>-15.229438157794888</v>
      </c>
      <c r="AE262" s="229">
        <f t="shared" si="120"/>
        <v>164.66923844214466</v>
      </c>
      <c r="AF262" s="227">
        <f t="shared" si="108"/>
        <v>7.3091560919665319</v>
      </c>
      <c r="AG262" s="227">
        <f t="shared" si="109"/>
        <v>92.710320915465275</v>
      </c>
      <c r="AH262" s="229" t="str">
        <f t="shared" si="110"/>
        <v>0.167029169868085-0.0457904120865764i</v>
      </c>
    </row>
    <row r="263" spans="9:34" x14ac:dyDescent="0.2">
      <c r="I263" s="227">
        <v>259</v>
      </c>
      <c r="J263" s="227">
        <f t="shared" si="98"/>
        <v>3.5252817344369003</v>
      </c>
      <c r="K263" s="227">
        <f t="shared" si="97"/>
        <v>3351.8280760272733</v>
      </c>
      <c r="L263" s="227">
        <f t="shared" si="111"/>
        <v>21060.156919486584</v>
      </c>
      <c r="M263" s="227">
        <f t="shared" si="99"/>
        <v>5390.4961751907704</v>
      </c>
      <c r="N263" s="227">
        <f>SQRT((ABS(AC263)-171.5+'Small Signal'!C$59)^2)</f>
        <v>28.931165538574703</v>
      </c>
      <c r="O263" s="227">
        <f t="shared" si="112"/>
        <v>92.341252097695588</v>
      </c>
      <c r="P263" s="227">
        <f t="shared" si="113"/>
        <v>7.1375689090493886</v>
      </c>
      <c r="Q263" s="227">
        <f t="shared" si="114"/>
        <v>3351.8280760272733</v>
      </c>
      <c r="R263" s="227" t="str">
        <f t="shared" si="100"/>
        <v>0.0945666666666667+0.0989827375215869i</v>
      </c>
      <c r="S263" s="227" t="str">
        <f t="shared" si="101"/>
        <v>0.0085-5.05138585292163i</v>
      </c>
      <c r="T263" s="227" t="str">
        <f t="shared" si="102"/>
        <v>1.02553333140133-4.8338253496961i</v>
      </c>
      <c r="U263" s="227" t="str">
        <f t="shared" si="103"/>
        <v>89.1183620205854-90.4978061947276i</v>
      </c>
      <c r="V263" s="227">
        <f t="shared" si="115"/>
        <v>42.076864735506248</v>
      </c>
      <c r="W263" s="227">
        <f t="shared" si="116"/>
        <v>-45.440020384540553</v>
      </c>
      <c r="X263" s="227" t="str">
        <f t="shared" si="104"/>
        <v>0.999920108434124-0.00284206296919535i</v>
      </c>
      <c r="Y263" s="227" t="str">
        <f t="shared" si="105"/>
        <v>127.000043419219+66.438819114277i</v>
      </c>
      <c r="Z263" s="227" t="str">
        <f t="shared" si="106"/>
        <v>71.5114036916223+37.1519869279064i</v>
      </c>
      <c r="AA263" s="227" t="str">
        <f t="shared" si="107"/>
        <v>3.93871509972975-12.5445389448721i</v>
      </c>
      <c r="AB263" s="227">
        <f t="shared" si="117"/>
        <v>22.377420758924295</v>
      </c>
      <c r="AC263" s="227">
        <f t="shared" si="118"/>
        <v>-72.568834461425297</v>
      </c>
      <c r="AD263" s="229">
        <f t="shared" si="119"/>
        <v>-15.239851849874906</v>
      </c>
      <c r="AE263" s="229">
        <f t="shared" si="120"/>
        <v>164.91008655912088</v>
      </c>
      <c r="AF263" s="227">
        <f t="shared" si="108"/>
        <v>7.1375689090493886</v>
      </c>
      <c r="AG263" s="227">
        <f t="shared" si="109"/>
        <v>92.341252097695588</v>
      </c>
      <c r="AH263" s="229" t="str">
        <f t="shared" si="110"/>
        <v>0.167019814240734-0.0450338625985005i</v>
      </c>
    </row>
    <row r="264" spans="9:34" x14ac:dyDescent="0.2">
      <c r="I264" s="227">
        <v>260</v>
      </c>
      <c r="J264" s="227">
        <f t="shared" si="98"/>
        <v>3.5350318569636836</v>
      </c>
      <c r="K264" s="227">
        <f t="shared" si="97"/>
        <v>3427.9293064080407</v>
      </c>
      <c r="L264" s="227">
        <f t="shared" si="111"/>
        <v>21538.315052073311</v>
      </c>
      <c r="M264" s="227">
        <f t="shared" si="99"/>
        <v>5312.6671123752403</v>
      </c>
      <c r="N264" s="227">
        <f>SQRT((ABS(AC264)-171.5+'Small Signal'!C$59)^2)</f>
        <v>28.325446378854195</v>
      </c>
      <c r="O264" s="227">
        <f t="shared" si="112"/>
        <v>91.969653820721817</v>
      </c>
      <c r="P264" s="227">
        <f t="shared" si="113"/>
        <v>6.9653147208705519</v>
      </c>
      <c r="Q264" s="227">
        <f t="shared" si="114"/>
        <v>3427.9293064080407</v>
      </c>
      <c r="R264" s="227" t="str">
        <f t="shared" si="100"/>
        <v>0.0945666666666667+0.101230080744745i</v>
      </c>
      <c r="S264" s="227" t="str">
        <f t="shared" si="101"/>
        <v>0.0085-4.93924331899694i</v>
      </c>
      <c r="T264" s="227" t="str">
        <f t="shared" si="102"/>
        <v>0.982690744626528-4.73532669516589i</v>
      </c>
      <c r="U264" s="227" t="str">
        <f t="shared" si="103"/>
        <v>87.2630893940873-94.0360461567797i</v>
      </c>
      <c r="V264" s="227">
        <f t="shared" si="115"/>
        <v>42.16367155691951</v>
      </c>
      <c r="W264" s="227">
        <f t="shared" si="116"/>
        <v>-47.139455651911746</v>
      </c>
      <c r="X264" s="227" t="str">
        <f t="shared" si="104"/>
        <v>0.999916439471433-0.00290659029096411i</v>
      </c>
      <c r="Y264" s="227" t="str">
        <f t="shared" si="105"/>
        <v>132.023340151941+65.8383105275703i</v>
      </c>
      <c r="Z264" s="227" t="str">
        <f t="shared" si="106"/>
        <v>74.3368875500362+36.8013999488258i</v>
      </c>
      <c r="AA264" s="227" t="str">
        <f t="shared" si="107"/>
        <v>3.73544465296012-12.3525599024069i</v>
      </c>
      <c r="AB264" s="227">
        <f t="shared" si="117"/>
        <v>22.215166902960718</v>
      </c>
      <c r="AC264" s="227">
        <f t="shared" si="118"/>
        <v>-73.174553621145805</v>
      </c>
      <c r="AD264" s="229">
        <f t="shared" si="119"/>
        <v>-15.249852182090166</v>
      </c>
      <c r="AE264" s="229">
        <f t="shared" si="120"/>
        <v>165.14420744186762</v>
      </c>
      <c r="AF264" s="227">
        <f t="shared" si="108"/>
        <v>6.9653147208705519</v>
      </c>
      <c r="AG264" s="227">
        <f t="shared" si="109"/>
        <v>91.969653820721817</v>
      </c>
      <c r="AH264" s="229" t="str">
        <f t="shared" si="110"/>
        <v>0.167010041319476-0.0442999821632674i</v>
      </c>
    </row>
    <row r="265" spans="9:34" x14ac:dyDescent="0.2">
      <c r="I265" s="227">
        <v>261</v>
      </c>
      <c r="J265" s="227">
        <f t="shared" si="98"/>
        <v>3.5447819794904678</v>
      </c>
      <c r="K265" s="227">
        <f t="shared" si="97"/>
        <v>3505.7583692235708</v>
      </c>
      <c r="L265" s="227">
        <f t="shared" si="111"/>
        <v>22027.329476027408</v>
      </c>
      <c r="M265" s="227">
        <f t="shared" si="99"/>
        <v>5233.0709877339668</v>
      </c>
      <c r="N265" s="227">
        <f>SQRT((ABS(AC265)-171.5+'Small Signal'!C$59)^2)</f>
        <v>27.723874885517461</v>
      </c>
      <c r="O265" s="227">
        <f t="shared" si="112"/>
        <v>91.595540514901785</v>
      </c>
      <c r="P265" s="227">
        <f t="shared" si="113"/>
        <v>6.7924161430595049</v>
      </c>
      <c r="Q265" s="227">
        <f t="shared" si="114"/>
        <v>3505.7583692235708</v>
      </c>
      <c r="R265" s="227" t="str">
        <f t="shared" si="100"/>
        <v>0.0945666666666667+0.103528448537329i</v>
      </c>
      <c r="S265" s="227" t="str">
        <f t="shared" si="101"/>
        <v>0.0085-4.82959038857533i</v>
      </c>
      <c r="T265" s="227" t="str">
        <f t="shared" si="102"/>
        <v>0.941579601343149-4.63847077214664i</v>
      </c>
      <c r="U265" s="227" t="str">
        <f t="shared" si="103"/>
        <v>85.1241068483157-97.6870490777558i</v>
      </c>
      <c r="V265" s="227">
        <f t="shared" si="115"/>
        <v>42.250215471001233</v>
      </c>
      <c r="W265" s="227">
        <f t="shared" si="116"/>
        <v>-48.931235265605842</v>
      </c>
      <c r="X265" s="227" t="str">
        <f t="shared" si="104"/>
        <v>0.999912602014269-0.0029725826665687i</v>
      </c>
      <c r="Y265" s="227" t="str">
        <f t="shared" si="105"/>
        <v>137.301950173417+64.8940148952657i</v>
      </c>
      <c r="Z265" s="227" t="str">
        <f t="shared" si="106"/>
        <v>77.305320963296+36.2566137612011i</v>
      </c>
      <c r="AA265" s="227" t="str">
        <f t="shared" si="107"/>
        <v>3.53839573374407-12.1603223222081i</v>
      </c>
      <c r="AB265" s="227">
        <f t="shared" si="117"/>
        <v>22.05187260825468</v>
      </c>
      <c r="AC265" s="227">
        <f t="shared" si="118"/>
        <v>-73.776125114482539</v>
      </c>
      <c r="AD265" s="229">
        <f t="shared" si="119"/>
        <v>-15.259456465195175</v>
      </c>
      <c r="AE265" s="229">
        <f t="shared" si="120"/>
        <v>165.37166562938432</v>
      </c>
      <c r="AF265" s="227">
        <f t="shared" si="108"/>
        <v>6.7924161430595049</v>
      </c>
      <c r="AG265" s="227">
        <f t="shared" si="109"/>
        <v>91.595540514901785</v>
      </c>
      <c r="AH265" s="229" t="str">
        <f t="shared" si="110"/>
        <v>0.166999831548106-0.0435883987827977i</v>
      </c>
    </row>
    <row r="266" spans="9:34" x14ac:dyDescent="0.2">
      <c r="I266" s="227">
        <v>262</v>
      </c>
      <c r="J266" s="227">
        <f t="shared" si="98"/>
        <v>3.5545321020172511</v>
      </c>
      <c r="K266" s="227">
        <f t="shared" si="97"/>
        <v>3585.3544938648442</v>
      </c>
      <c r="L266" s="227">
        <f t="shared" si="111"/>
        <v>22527.446676881893</v>
      </c>
      <c r="M266" s="227">
        <f t="shared" si="99"/>
        <v>5151.6676811963234</v>
      </c>
      <c r="N266" s="227">
        <f>SQRT((ABS(AC266)-171.5+'Small Signal'!C$59)^2)</f>
        <v>27.126392088291851</v>
      </c>
      <c r="O266" s="227">
        <f t="shared" si="112"/>
        <v>91.218917573068296</v>
      </c>
      <c r="P266" s="227">
        <f t="shared" si="113"/>
        <v>6.6188960441370188</v>
      </c>
      <c r="Q266" s="227">
        <f t="shared" si="114"/>
        <v>3585.3544938648442</v>
      </c>
      <c r="R266" s="227" t="str">
        <f t="shared" si="100"/>
        <v>0.0945666666666667+0.105878999381345i</v>
      </c>
      <c r="S266" s="227" t="str">
        <f t="shared" si="101"/>
        <v>0.0085-4.72237179158775i</v>
      </c>
      <c r="T266" s="227" t="str">
        <f t="shared" si="102"/>
        <v>0.902135998565673-4.54325348965173i</v>
      </c>
      <c r="U266" s="227" t="str">
        <f t="shared" si="103"/>
        <v>82.6667208013244-101.435239499215i</v>
      </c>
      <c r="V266" s="227">
        <f t="shared" si="115"/>
        <v>42.335771818729846</v>
      </c>
      <c r="W266" s="227">
        <f t="shared" si="116"/>
        <v>-50.82098394453655</v>
      </c>
      <c r="X266" s="227" t="str">
        <f t="shared" si="104"/>
        <v>0.999908588324646-0.00304007335917085i</v>
      </c>
      <c r="Y266" s="227" t="str">
        <f t="shared" si="105"/>
        <v>142.826922919363+63.5527304785106i</v>
      </c>
      <c r="Z266" s="227" t="str">
        <f t="shared" si="106"/>
        <v>80.4115374404912+35.4876896386914i</v>
      </c>
      <c r="AA266" s="227" t="str">
        <f t="shared" si="107"/>
        <v>3.34747655635268-11.9680271421844i</v>
      </c>
      <c r="AB266" s="227">
        <f t="shared" si="117"/>
        <v>21.887577484994392</v>
      </c>
      <c r="AC266" s="227">
        <f t="shared" si="118"/>
        <v>-74.373607911708149</v>
      </c>
      <c r="AD266" s="229">
        <f t="shared" si="119"/>
        <v>-15.268681440857373</v>
      </c>
      <c r="AE266" s="229">
        <f t="shared" si="120"/>
        <v>165.59252548477644</v>
      </c>
      <c r="AF266" s="227">
        <f t="shared" si="108"/>
        <v>6.6188960441370188</v>
      </c>
      <c r="AG266" s="227">
        <f t="shared" si="109"/>
        <v>91.218917573068296</v>
      </c>
      <c r="AH266" s="229" t="str">
        <f t="shared" si="110"/>
        <v>0.166989164503617-0.0428987515528578i</v>
      </c>
    </row>
    <row r="267" spans="9:34" x14ac:dyDescent="0.2">
      <c r="I267" s="227">
        <v>263</v>
      </c>
      <c r="J267" s="227">
        <f t="shared" si="98"/>
        <v>3.5642822245440344</v>
      </c>
      <c r="K267" s="227">
        <f t="shared" si="97"/>
        <v>3666.7578004024881</v>
      </c>
      <c r="L267" s="227">
        <f t="shared" si="111"/>
        <v>23038.918736475051</v>
      </c>
      <c r="M267" s="227">
        <f t="shared" si="99"/>
        <v>5068.4161617897425</v>
      </c>
      <c r="N267" s="227">
        <f>SQRT((ABS(AC267)-171.5+'Small Signal'!C$59)^2)</f>
        <v>26.532930493785258</v>
      </c>
      <c r="O267" s="227">
        <f t="shared" si="112"/>
        <v>90.839781549157962</v>
      </c>
      <c r="P267" s="227">
        <f t="shared" si="113"/>
        <v>6.4447774992987306</v>
      </c>
      <c r="Q267" s="227">
        <f t="shared" si="114"/>
        <v>3666.7578004024881</v>
      </c>
      <c r="R267" s="227" t="str">
        <f t="shared" si="100"/>
        <v>0.0945666666666667+0.108282918061433i</v>
      </c>
      <c r="S267" s="227" t="str">
        <f t="shared" si="101"/>
        <v>0.0085-4.61753348497991i</v>
      </c>
      <c r="T267" s="227" t="str">
        <f t="shared" si="102"/>
        <v>0.864297886216042-4.44966904258567i</v>
      </c>
      <c r="U267" s="227" t="str">
        <f t="shared" si="103"/>
        <v>79.8541888862486-105.258818950806i</v>
      </c>
      <c r="V267" s="227">
        <f t="shared" si="115"/>
        <v>42.419474811532787</v>
      </c>
      <c r="W267" s="227">
        <f t="shared" si="116"/>
        <v>-52.81437071435802</v>
      </c>
      <c r="X267" s="227" t="str">
        <f t="shared" si="104"/>
        <v>0.999904390309214-0.00310909638715232i</v>
      </c>
      <c r="Y267" s="227" t="str">
        <f t="shared" si="105"/>
        <v>148.581499406269+61.7562455667674i</v>
      </c>
      <c r="Z267" s="227" t="str">
        <f t="shared" si="106"/>
        <v>83.6459613056278+34.4618860600552i</v>
      </c>
      <c r="AA267" s="227" t="str">
        <f t="shared" si="107"/>
        <v>3.16258898440275-11.7758660942784i</v>
      </c>
      <c r="AB267" s="227">
        <f t="shared" si="117"/>
        <v>21.722320796785404</v>
      </c>
      <c r="AC267" s="227">
        <f t="shared" si="118"/>
        <v>-74.967069506214742</v>
      </c>
      <c r="AD267" s="229">
        <f t="shared" si="119"/>
        <v>-15.277543297486673</v>
      </c>
      <c r="AE267" s="229">
        <f t="shared" si="120"/>
        <v>165.8068510553727</v>
      </c>
      <c r="AF267" s="227">
        <f t="shared" si="108"/>
        <v>6.4447774992987306</v>
      </c>
      <c r="AG267" s="227">
        <f t="shared" si="109"/>
        <v>90.839781549157962</v>
      </c>
      <c r="AH267" s="229" t="str">
        <f t="shared" si="110"/>
        <v>0.166978018856337-0.0422306904711337i</v>
      </c>
    </row>
    <row r="268" spans="9:34" x14ac:dyDescent="0.2">
      <c r="I268" s="227">
        <v>264</v>
      </c>
      <c r="J268" s="227">
        <f t="shared" si="98"/>
        <v>3.5740323470708177</v>
      </c>
      <c r="K268" s="227">
        <f t="shared" si="97"/>
        <v>3750.0093198090685</v>
      </c>
      <c r="L268" s="227">
        <f t="shared" si="111"/>
        <v>23562.003460010852</v>
      </c>
      <c r="M268" s="227">
        <f t="shared" si="99"/>
        <v>4983.2744669582225</v>
      </c>
      <c r="N268" s="227">
        <f>SQRT((ABS(AC268)-171.5+'Small Signal'!C$59)^2)</f>
        <v>25.943414427526662</v>
      </c>
      <c r="O268" s="227">
        <f t="shared" si="112"/>
        <v>90.458120368465714</v>
      </c>
      <c r="P268" s="227">
        <f t="shared" si="113"/>
        <v>6.2700837481961358</v>
      </c>
      <c r="Q268" s="227">
        <f t="shared" si="114"/>
        <v>3750.0093198090685</v>
      </c>
      <c r="R268" s="227" t="str">
        <f t="shared" si="100"/>
        <v>0.0945666666666667+0.110741416262051i</v>
      </c>
      <c r="S268" s="227" t="str">
        <f t="shared" si="101"/>
        <v>0.0085-4.51502262547224i</v>
      </c>
      <c r="T268" s="227" t="str">
        <f t="shared" si="102"/>
        <v>0.828005057216882-4.35771003786135i</v>
      </c>
      <c r="U268" s="227" t="str">
        <f t="shared" si="103"/>
        <v>76.648474628923-109.128526333987i</v>
      </c>
      <c r="V268" s="227">
        <f t="shared" si="115"/>
        <v>42.500300338969225</v>
      </c>
      <c r="W268" s="227">
        <f t="shared" si="116"/>
        <v>-54.916991487110977</v>
      </c>
      <c r="X268" s="227" t="str">
        <f t="shared" si="104"/>
        <v>0.999899999502943-0.00317968654126163i</v>
      </c>
      <c r="Y268" s="227" t="str">
        <f t="shared" si="105"/>
        <v>154.539146301871+59.441935743918i</v>
      </c>
      <c r="Z268" s="227" t="str">
        <f t="shared" si="106"/>
        <v>86.9935020087859+33.1439997299637i</v>
      </c>
      <c r="AA268" s="227" t="str">
        <f t="shared" si="107"/>
        <v>2.98362920922468-11.584021664869i</v>
      </c>
      <c r="AB268" s="227">
        <f t="shared" si="117"/>
        <v>21.556141434470199</v>
      </c>
      <c r="AC268" s="227">
        <f t="shared" si="118"/>
        <v>-75.556585572473338</v>
      </c>
      <c r="AD268" s="229">
        <f t="shared" si="119"/>
        <v>-15.286057686274063</v>
      </c>
      <c r="AE268" s="229">
        <f t="shared" si="120"/>
        <v>166.01470594093905</v>
      </c>
      <c r="AF268" s="227">
        <f t="shared" si="108"/>
        <v>6.2700837481961358</v>
      </c>
      <c r="AG268" s="227">
        <f t="shared" si="109"/>
        <v>90.458120368465714</v>
      </c>
      <c r="AH268" s="229" t="str">
        <f t="shared" si="110"/>
        <v>0.166966372328361-0.0415838762501088i</v>
      </c>
    </row>
    <row r="269" spans="9:34" x14ac:dyDescent="0.2">
      <c r="I269" s="227">
        <v>265</v>
      </c>
      <c r="J269" s="227">
        <f t="shared" si="98"/>
        <v>3.5837824695976011</v>
      </c>
      <c r="K269" s="227">
        <f t="shared" si="97"/>
        <v>3835.151014640589</v>
      </c>
      <c r="L269" s="227">
        <f t="shared" si="111"/>
        <v>24096.964506004631</v>
      </c>
      <c r="M269" s="227">
        <f t="shared" si="99"/>
        <v>4896.199681411309</v>
      </c>
      <c r="N269" s="227">
        <f>SQRT((ABS(AC269)-171.5+'Small Signal'!C$59)^2)</f>
        <v>25.357760377934383</v>
      </c>
      <c r="O269" s="227">
        <f t="shared" si="112"/>
        <v>90.073913547612861</v>
      </c>
      <c r="P269" s="227">
        <f t="shared" si="113"/>
        <v>6.0948381566513632</v>
      </c>
      <c r="Q269" s="227">
        <f t="shared" si="114"/>
        <v>3835.151014640589</v>
      </c>
      <c r="R269" s="227" t="str">
        <f t="shared" si="100"/>
        <v>0.0945666666666667+0.113255733178222i</v>
      </c>
      <c r="S269" s="227" t="str">
        <f t="shared" si="101"/>
        <v>0.0085-4.41478754292454i</v>
      </c>
      <c r="T269" s="227" t="str">
        <f t="shared" si="102"/>
        <v>0.793199133082761-4.26736761473631i</v>
      </c>
      <c r="U269" s="227" t="str">
        <f t="shared" si="103"/>
        <v>73.0113960214257-113.006349194768i</v>
      </c>
      <c r="V269" s="227">
        <f t="shared" si="115"/>
        <v>42.577049414383183</v>
      </c>
      <c r="W269" s="227">
        <f t="shared" si="116"/>
        <v>-57.134215187372696</v>
      </c>
      <c r="X269" s="227" t="str">
        <f t="shared" si="104"/>
        <v>0.999895407052053-0.00325187940215025i</v>
      </c>
      <c r="Y269" s="227" t="str">
        <f t="shared" si="105"/>
        <v>160.661383670936+56.5438838332465i</v>
      </c>
      <c r="Z269" s="227" t="str">
        <f t="shared" si="106"/>
        <v>90.4323334882899+31.497001435408i</v>
      </c>
      <c r="AA269" s="227" t="str">
        <f t="shared" si="107"/>
        <v>2.81048840487177-11.3926670990606i</v>
      </c>
      <c r="AB269" s="227">
        <f t="shared" si="117"/>
        <v>21.389077894033178</v>
      </c>
      <c r="AC269" s="227">
        <f t="shared" si="118"/>
        <v>-76.142239622065617</v>
      </c>
      <c r="AD269" s="229">
        <f t="shared" si="119"/>
        <v>-15.294239737381815</v>
      </c>
      <c r="AE269" s="229">
        <f t="shared" si="120"/>
        <v>166.21615316967848</v>
      </c>
      <c r="AF269" s="227">
        <f t="shared" si="108"/>
        <v>6.0948381566513632</v>
      </c>
      <c r="AG269" s="227">
        <f t="shared" si="109"/>
        <v>90.073913547612861</v>
      </c>
      <c r="AH269" s="229" t="str">
        <f t="shared" si="110"/>
        <v>0.166954201650202-0.0409579801346092i</v>
      </c>
    </row>
    <row r="270" spans="9:34" x14ac:dyDescent="0.2">
      <c r="I270" s="227">
        <v>266</v>
      </c>
      <c r="J270" s="227">
        <f t="shared" si="98"/>
        <v>3.5935325921243844</v>
      </c>
      <c r="K270" s="227">
        <f t="shared" si="97"/>
        <v>3922.2258001875025</v>
      </c>
      <c r="L270" s="227">
        <f t="shared" si="111"/>
        <v>24644.071519178811</v>
      </c>
      <c r="M270" s="227">
        <f t="shared" si="99"/>
        <v>4807.147915492802</v>
      </c>
      <c r="N270" s="227">
        <f>SQRT((ABS(AC270)-171.5+'Small Signal'!C$59)^2)</f>
        <v>24.775877340738631</v>
      </c>
      <c r="O270" s="227">
        <f t="shared" si="112"/>
        <v>89.687132422445146</v>
      </c>
      <c r="P270" s="227">
        <f t="shared" si="113"/>
        <v>5.9190641822251688</v>
      </c>
      <c r="Q270" s="227">
        <f t="shared" si="114"/>
        <v>3922.2258001875025</v>
      </c>
      <c r="R270" s="227" t="str">
        <f t="shared" si="100"/>
        <v>0.0945666666666667+0.11582713614014i</v>
      </c>
      <c r="S270" s="227" t="str">
        <f t="shared" si="101"/>
        <v>0.0085-4.31677771429179i</v>
      </c>
      <c r="T270" s="227" t="str">
        <f t="shared" si="102"/>
        <v>0.759823545496869-4.17863155944803i</v>
      </c>
      <c r="U270" s="227" t="str">
        <f t="shared" si="103"/>
        <v>68.906257566458-116.844280468462i</v>
      </c>
      <c r="V270" s="227">
        <f t="shared" si="115"/>
        <v>42.648333584367926</v>
      </c>
      <c r="W270" s="227">
        <f t="shared" si="116"/>
        <v>-59.470988220978178</v>
      </c>
      <c r="X270" s="227" t="str">
        <f t="shared" si="104"/>
        <v>0.999890603696159-0.00332571135830679i</v>
      </c>
      <c r="Y270" s="227" t="str">
        <f t="shared" si="105"/>
        <v>166.895504453244+52.9946786970008i</v>
      </c>
      <c r="Z270" s="227" t="str">
        <f t="shared" si="106"/>
        <v>93.9326141755424+29.4830544545808i</v>
      </c>
      <c r="AA270" s="227" t="str">
        <f t="shared" si="107"/>
        <v>2.64305335767857-11.2019664452011i</v>
      </c>
      <c r="AB270" s="227">
        <f t="shared" si="117"/>
        <v>21.221168258458157</v>
      </c>
      <c r="AC270" s="227">
        <f t="shared" si="118"/>
        <v>-76.724122659261369</v>
      </c>
      <c r="AD270" s="229">
        <f t="shared" si="119"/>
        <v>-15.302104076232988</v>
      </c>
      <c r="AE270" s="229">
        <f t="shared" si="120"/>
        <v>166.41125508170651</v>
      </c>
      <c r="AF270" s="227">
        <f t="shared" si="108"/>
        <v>5.9190641822251688</v>
      </c>
      <c r="AG270" s="227">
        <f t="shared" si="109"/>
        <v>89.687132422445146</v>
      </c>
      <c r="AH270" s="229" t="str">
        <f t="shared" si="110"/>
        <v>0.166941482515588-0.04035268372387i</v>
      </c>
    </row>
    <row r="271" spans="9:34" x14ac:dyDescent="0.2">
      <c r="I271" s="227">
        <v>267</v>
      </c>
      <c r="J271" s="227">
        <f t="shared" si="98"/>
        <v>3.6032827146511677</v>
      </c>
      <c r="K271" s="227">
        <f t="shared" si="97"/>
        <v>4011.2775661060091</v>
      </c>
      <c r="L271" s="227">
        <f t="shared" si="111"/>
        <v>25203.600266376368</v>
      </c>
      <c r="M271" s="227">
        <f t="shared" si="99"/>
        <v>4716.0742830583868</v>
      </c>
      <c r="N271" s="227">
        <f>SQRT((ABS(AC271)-171.5+'Small Signal'!C$59)^2)</f>
        <v>24.197667162537272</v>
      </c>
      <c r="O271" s="227">
        <f t="shared" si="112"/>
        <v>89.297740382224845</v>
      </c>
      <c r="P271" s="227">
        <f t="shared" si="113"/>
        <v>5.7427853435423355</v>
      </c>
      <c r="Q271" s="227">
        <f t="shared" si="114"/>
        <v>4011.2775661060091</v>
      </c>
      <c r="R271" s="227" t="str">
        <f t="shared" si="100"/>
        <v>0.0945666666666667+0.118456921251969i</v>
      </c>
      <c r="S271" s="227" t="str">
        <f t="shared" si="101"/>
        <v>0.0085-4.22094373815822i</v>
      </c>
      <c r="T271" s="227" t="str">
        <f t="shared" si="102"/>
        <v>0.727823514328693-4.09149041424941i</v>
      </c>
      <c r="U271" s="227" t="str">
        <f t="shared" si="103"/>
        <v>64.3000445441472-120.583264314466i</v>
      </c>
      <c r="V271" s="227">
        <f t="shared" si="115"/>
        <v>42.712564096386103</v>
      </c>
      <c r="W271" s="227">
        <f t="shared" si="116"/>
        <v>-61.931593463840052</v>
      </c>
      <c r="X271" s="227" t="str">
        <f t="shared" si="104"/>
        <v>0.999885579749601-0.00340121962439853i</v>
      </c>
      <c r="Y271" s="227" t="str">
        <f t="shared" si="105"/>
        <v>173.172354772794+48.7280515316332i</v>
      </c>
      <c r="Z271" s="227" t="str">
        <f t="shared" si="106"/>
        <v>97.4552432472303+27.0650044546537i</v>
      </c>
      <c r="AA271" s="227" t="str">
        <f t="shared" si="107"/>
        <v>2.48120706868263-11.0120746359916i</v>
      </c>
      <c r="AB271" s="227">
        <f t="shared" si="117"/>
        <v>21.052450183394829</v>
      </c>
      <c r="AC271" s="227">
        <f t="shared" si="118"/>
        <v>-77.302332837462728</v>
      </c>
      <c r="AD271" s="229">
        <f t="shared" si="119"/>
        <v>-15.309664839852493</v>
      </c>
      <c r="AE271" s="229">
        <f t="shared" si="120"/>
        <v>166.60007321968757</v>
      </c>
      <c r="AF271" s="227">
        <f t="shared" si="108"/>
        <v>5.7427853435423355</v>
      </c>
      <c r="AG271" s="227">
        <f t="shared" si="109"/>
        <v>89.297740382224845</v>
      </c>
      <c r="AH271" s="229" t="str">
        <f t="shared" si="110"/>
        <v>0.16692818953434-0.0397676787979842i</v>
      </c>
    </row>
    <row r="272" spans="9:34" x14ac:dyDescent="0.2">
      <c r="I272" s="227">
        <v>268</v>
      </c>
      <c r="J272" s="227">
        <f t="shared" si="98"/>
        <v>3.6130328371779514</v>
      </c>
      <c r="K272" s="227">
        <f t="shared" si="97"/>
        <v>4102.3511985404248</v>
      </c>
      <c r="L272" s="227">
        <f t="shared" si="111"/>
        <v>25775.832775559764</v>
      </c>
      <c r="M272" s="227">
        <f t="shared" si="99"/>
        <v>4622.9328788509947</v>
      </c>
      <c r="N272" s="227">
        <f>SQRT((ABS(AC272)-171.5+'Small Signal'!C$59)^2)</f>
        <v>23.623024882299447</v>
      </c>
      <c r="O272" s="227">
        <f t="shared" si="112"/>
        <v>88.905693108617854</v>
      </c>
      <c r="P272" s="227">
        <f t="shared" si="113"/>
        <v>5.5660251932620142</v>
      </c>
      <c r="Q272" s="227">
        <f t="shared" si="114"/>
        <v>4102.3511985404248</v>
      </c>
      <c r="R272" s="227" t="str">
        <f t="shared" si="100"/>
        <v>0.0945666666666667+0.121146414045131i</v>
      </c>
      <c r="S272" s="227" t="str">
        <f t="shared" si="101"/>
        <v>0.0085-4.12723730983679i</v>
      </c>
      <c r="T272" s="227" t="str">
        <f t="shared" si="102"/>
        <v>0.69714602251716-4.00593158096282i</v>
      </c>
      <c r="U272" s="227" t="str">
        <f t="shared" si="103"/>
        <v>59.1662263258101-124.152531090955i</v>
      </c>
      <c r="V272" s="227">
        <f t="shared" si="115"/>
        <v>42.767947117977982</v>
      </c>
      <c r="W272" s="227">
        <f t="shared" si="116"/>
        <v>-64.519362636259132</v>
      </c>
      <c r="X272" s="227" t="str">
        <f t="shared" si="104"/>
        <v>0.999880325081912-0.00347844226002928i</v>
      </c>
      <c r="Y272" s="227" t="str">
        <f t="shared" si="105"/>
        <v>179.404432806883+43.6824844440703i</v>
      </c>
      <c r="Z272" s="227" t="str">
        <f t="shared" si="106"/>
        <v>100.950798584445+24.2084161699278i</v>
      </c>
      <c r="AA272" s="227" t="str">
        <f t="shared" si="107"/>
        <v>2.32482932760075-10.8231376026058i</v>
      </c>
      <c r="AB272" s="227">
        <f t="shared" si="117"/>
        <v>20.882960886480735</v>
      </c>
      <c r="AC272" s="227">
        <f t="shared" si="118"/>
        <v>-77.876975117700553</v>
      </c>
      <c r="AD272" s="229">
        <f t="shared" si="119"/>
        <v>-15.316935693218721</v>
      </c>
      <c r="AE272" s="229">
        <f t="shared" si="120"/>
        <v>166.78266822631841</v>
      </c>
      <c r="AF272" s="227">
        <f t="shared" si="108"/>
        <v>5.5660251932620142</v>
      </c>
      <c r="AG272" s="227">
        <f t="shared" si="109"/>
        <v>88.905693108617854</v>
      </c>
      <c r="AH272" s="229" t="str">
        <f t="shared" si="110"/>
        <v>0.166914296183224-0.0392026671485846i</v>
      </c>
    </row>
    <row r="273" spans="9:34" x14ac:dyDescent="0.2">
      <c r="I273" s="227">
        <v>269</v>
      </c>
      <c r="J273" s="227">
        <f t="shared" si="98"/>
        <v>3.6227829597047347</v>
      </c>
      <c r="K273" s="227">
        <f t="shared" si="97"/>
        <v>4195.4926027478168</v>
      </c>
      <c r="L273" s="227">
        <f t="shared" si="111"/>
        <v>26361.057477965722</v>
      </c>
      <c r="M273" s="227">
        <f t="shared" si="99"/>
        <v>4527.6767553624231</v>
      </c>
      <c r="N273" s="227">
        <f>SQRT((ABS(AC273)-171.5+'Small Signal'!C$59)^2)</f>
        <v>23.051839069778779</v>
      </c>
      <c r="O273" s="227">
        <f t="shared" si="112"/>
        <v>88.510938818126348</v>
      </c>
      <c r="P273" s="227">
        <f t="shared" si="113"/>
        <v>5.3888072945736099</v>
      </c>
      <c r="Q273" s="227">
        <f t="shared" si="114"/>
        <v>4195.4926027478168</v>
      </c>
      <c r="R273" s="227" t="str">
        <f t="shared" si="100"/>
        <v>0.0945666666666667+0.123896970146439i</v>
      </c>
      <c r="S273" s="227" t="str">
        <f t="shared" si="101"/>
        <v>0.0085-4.03561119702144i</v>
      </c>
      <c r="T273" s="227" t="str">
        <f t="shared" si="102"/>
        <v>0.667739788213557-3.92194141918501i</v>
      </c>
      <c r="U273" s="227" t="str">
        <f t="shared" si="103"/>
        <v>53.4881540135003-127.469577842557i</v>
      </c>
      <c r="V273" s="227">
        <f t="shared" si="115"/>
        <v>42.812487760673832</v>
      </c>
      <c r="W273" s="227">
        <f t="shared" si="116"/>
        <v>-67.236345299259995</v>
      </c>
      <c r="X273" s="227" t="str">
        <f t="shared" si="104"/>
        <v>0.999874829097389-0.00355741818892311i</v>
      </c>
      <c r="Y273" s="227" t="str">
        <f t="shared" si="105"/>
        <v>185.484662876096+37.8058615955322i</v>
      </c>
      <c r="Z273" s="227" t="str">
        <f t="shared" si="106"/>
        <v>104.358857458481+20.8841955943552i</v>
      </c>
      <c r="AA273" s="227" t="str">
        <f t="shared" si="107"/>
        <v>2.17379725740414-10.6352924183255i</v>
      </c>
      <c r="AB273" s="227">
        <f t="shared" si="117"/>
        <v>20.712737140160328</v>
      </c>
      <c r="AC273" s="227">
        <f t="shared" si="118"/>
        <v>-78.448160930221221</v>
      </c>
      <c r="AD273" s="229">
        <f t="shared" si="119"/>
        <v>-15.323929845586719</v>
      </c>
      <c r="AE273" s="229">
        <f t="shared" si="120"/>
        <v>166.95909974834757</v>
      </c>
      <c r="AF273" s="227">
        <f t="shared" si="108"/>
        <v>5.3888072945736099</v>
      </c>
      <c r="AG273" s="227">
        <f t="shared" si="109"/>
        <v>88.510938818126348</v>
      </c>
      <c r="AH273" s="229" t="str">
        <f t="shared" si="110"/>
        <v>0.166899774754719-0.0386573604136186i</v>
      </c>
    </row>
    <row r="274" spans="9:34" x14ac:dyDescent="0.2">
      <c r="I274" s="227">
        <v>270</v>
      </c>
      <c r="J274" s="227">
        <f t="shared" si="98"/>
        <v>3.6325330822315181</v>
      </c>
      <c r="K274" s="227">
        <f t="shared" si="97"/>
        <v>4290.7487262363884</v>
      </c>
      <c r="L274" s="227">
        <f t="shared" si="111"/>
        <v>26959.569353488001</v>
      </c>
      <c r="M274" s="227">
        <f t="shared" si="99"/>
        <v>4430.2578991696801</v>
      </c>
      <c r="N274" s="227">
        <f>SQRT((ABS(AC274)-171.5+'Small Signal'!C$59)^2)</f>
        <v>22.483992159925052</v>
      </c>
      <c r="O274" s="227">
        <f t="shared" si="112"/>
        <v>88.11341850674917</v>
      </c>
      <c r="P274" s="227">
        <f t="shared" si="113"/>
        <v>5.2111552010860489</v>
      </c>
      <c r="Q274" s="227">
        <f t="shared" si="114"/>
        <v>4290.7487262363884</v>
      </c>
      <c r="R274" s="227" t="str">
        <f t="shared" si="100"/>
        <v>0.0945666666666667+0.126709975961394i</v>
      </c>
      <c r="S274" s="227" t="str">
        <f t="shared" si="101"/>
        <v>0.0085-3.94601921597982i</v>
      </c>
      <c r="T274" s="227" t="str">
        <f t="shared" si="102"/>
        <v>0.639555234549785-3.83950533928824i</v>
      </c>
      <c r="U274" s="227" t="str">
        <f t="shared" si="103"/>
        <v>47.2629396530205-130.441093103567i</v>
      </c>
      <c r="V274" s="227">
        <f t="shared" si="115"/>
        <v>42.844005969287942</v>
      </c>
      <c r="W274" s="227">
        <f t="shared" si="116"/>
        <v>-70.082944021709451</v>
      </c>
      <c r="X274" s="227" t="str">
        <f t="shared" si="104"/>
        <v>0.99986908071373-0.00363818721854376i</v>
      </c>
      <c r="Y274" s="227" t="str">
        <f t="shared" si="105"/>
        <v>191.286294176389+31.0611137794364i</v>
      </c>
      <c r="Z274" s="227" t="str">
        <f t="shared" si="106"/>
        <v>107.607952916886+17.0717689509286i</v>
      </c>
      <c r="AA274" s="227" t="str">
        <f t="shared" si="107"/>
        <v>2.02798582885705-10.4486674683082i</v>
      </c>
      <c r="AB274" s="227">
        <f t="shared" si="117"/>
        <v>20.541815267835464</v>
      </c>
      <c r="AC274" s="227">
        <f t="shared" si="118"/>
        <v>-79.016007840074948</v>
      </c>
      <c r="AD274" s="229">
        <f t="shared" si="119"/>
        <v>-15.330660066749415</v>
      </c>
      <c r="AE274" s="229">
        <f t="shared" si="120"/>
        <v>167.12942634682412</v>
      </c>
      <c r="AF274" s="227">
        <f t="shared" si="108"/>
        <v>5.2111552010860489</v>
      </c>
      <c r="AG274" s="227">
        <f t="shared" si="109"/>
        <v>88.11341850674917</v>
      </c>
      <c r="AH274" s="229" t="str">
        <f t="shared" si="110"/>
        <v>0.166884596303616-0.0381314799160642i</v>
      </c>
    </row>
    <row r="275" spans="9:34" x14ac:dyDescent="0.2">
      <c r="I275" s="227">
        <v>271</v>
      </c>
      <c r="J275" s="227">
        <f t="shared" si="98"/>
        <v>3.6422832047583014</v>
      </c>
      <c r="K275" s="227">
        <f t="shared" si="97"/>
        <v>4388.1675824291315</v>
      </c>
      <c r="L275" s="227">
        <f t="shared" si="111"/>
        <v>27571.670079360483</v>
      </c>
      <c r="M275" s="227">
        <f t="shared" si="99"/>
        <v>4330.6272067340278</v>
      </c>
      <c r="N275" s="227">
        <f>SQRT((ABS(AC275)-171.5+'Small Signal'!C$59)^2)</f>
        <v>21.919360782533374</v>
      </c>
      <c r="O275" s="227">
        <f t="shared" si="112"/>
        <v>87.71306619580443</v>
      </c>
      <c r="P275" s="227">
        <f t="shared" si="113"/>
        <v>5.0330924399688683</v>
      </c>
      <c r="Q275" s="227">
        <f t="shared" si="114"/>
        <v>4388.1675824291315</v>
      </c>
      <c r="R275" s="227" t="str">
        <f t="shared" si="100"/>
        <v>0.0945666666666667+0.129586849372994i</v>
      </c>
      <c r="S275" s="227" t="str">
        <f t="shared" si="101"/>
        <v>0.0085-3.85841620827459i</v>
      </c>
      <c r="T275" s="227" t="str">
        <f t="shared" si="102"/>
        <v>0.612544457369621-3.7586078903716i</v>
      </c>
      <c r="U275" s="227" t="str">
        <f t="shared" si="103"/>
        <v>40.5055686213813-132.965132623682i</v>
      </c>
      <c r="V275" s="227">
        <f t="shared" si="115"/>
        <v>42.860167336152742</v>
      </c>
      <c r="W275" s="227">
        <f t="shared" si="116"/>
        <v>-73.057533482523553</v>
      </c>
      <c r="X275" s="227" t="str">
        <f t="shared" si="104"/>
        <v>0.999863068339687-0.00372079006015935i</v>
      </c>
      <c r="Y275" s="227" t="str">
        <f t="shared" si="105"/>
        <v>196.664432140337+23.4326240938134i</v>
      </c>
      <c r="Z275" s="227" t="str">
        <f t="shared" si="106"/>
        <v>110.61645138913+12.7626863892042i</v>
      </c>
      <c r="AA275" s="227" t="str">
        <f t="shared" si="107"/>
        <v>1.88726834468018-10.263382642235i</v>
      </c>
      <c r="AB275" s="227">
        <f t="shared" si="117"/>
        <v>20.370231143178252</v>
      </c>
      <c r="AC275" s="227">
        <f t="shared" si="118"/>
        <v>-79.580639217466626</v>
      </c>
      <c r="AD275" s="229">
        <f t="shared" si="119"/>
        <v>-15.337138703209384</v>
      </c>
      <c r="AE275" s="229">
        <f t="shared" si="120"/>
        <v>167.29370541327106</v>
      </c>
      <c r="AF275" s="227">
        <f t="shared" si="108"/>
        <v>5.0330924399688683</v>
      </c>
      <c r="AG275" s="227">
        <f t="shared" si="109"/>
        <v>87.71306619580443</v>
      </c>
      <c r="AH275" s="229" t="str">
        <f t="shared" si="110"/>
        <v>0.166868730591321-0.0376247565064342i</v>
      </c>
    </row>
    <row r="276" spans="9:34" x14ac:dyDescent="0.2">
      <c r="I276" s="227">
        <v>272</v>
      </c>
      <c r="J276" s="227">
        <f t="shared" si="98"/>
        <v>3.6520333272850847</v>
      </c>
      <c r="K276" s="227">
        <f t="shared" si="97"/>
        <v>4487.7982748647837</v>
      </c>
      <c r="L276" s="227">
        <f t="shared" si="111"/>
        <v>28197.668182216305</v>
      </c>
      <c r="M276" s="227">
        <f t="shared" si="99"/>
        <v>4228.7344596505573</v>
      </c>
      <c r="N276" s="227">
        <f>SQRT((ABS(AC276)-171.5+'Small Signal'!C$59)^2)</f>
        <v>21.357816086471274</v>
      </c>
      <c r="O276" s="227">
        <f t="shared" si="112"/>
        <v>87.309809177959636</v>
      </c>
      <c r="P276" s="227">
        <f t="shared" si="113"/>
        <v>4.8546424982069851</v>
      </c>
      <c r="Q276" s="227">
        <f t="shared" si="114"/>
        <v>4487.7982748647837</v>
      </c>
      <c r="R276" s="227" t="str">
        <f t="shared" si="100"/>
        <v>0.0945666666666667+0.132529040456417i</v>
      </c>
      <c r="S276" s="227" t="str">
        <f t="shared" si="101"/>
        <v>0.0085-3.77275801800157i</v>
      </c>
      <c r="T276" s="227" t="str">
        <f t="shared" si="102"/>
        <v>0.586661191234252-3.67923284332459i</v>
      </c>
      <c r="U276" s="227" t="str">
        <f t="shared" si="103"/>
        <v>33.2528337022837-134.934799980769i</v>
      </c>
      <c r="V276" s="227">
        <f t="shared" si="115"/>
        <v>42.858531404278246</v>
      </c>
      <c r="W276" s="227">
        <f t="shared" si="116"/>
        <v>-76.15609083334067</v>
      </c>
      <c r="X276" s="227" t="str">
        <f t="shared" si="104"/>
        <v>0.999856779851692-0.00380526834936274i</v>
      </c>
      <c r="Y276" s="227" t="str">
        <f t="shared" si="105"/>
        <v>201.459695796006+14.9329202133289i</v>
      </c>
      <c r="Z276" s="227" t="str">
        <f t="shared" si="106"/>
        <v>113.294628223312+7.96438202784218i</v>
      </c>
      <c r="AA276" s="227" t="str">
        <f t="shared" si="107"/>
        <v>1.75151689326067-10.0795495467427i</v>
      </c>
      <c r="AB276" s="227">
        <f t="shared" si="117"/>
        <v>20.198020192439191</v>
      </c>
      <c r="AC276" s="227">
        <f t="shared" si="118"/>
        <v>-80.142183913528726</v>
      </c>
      <c r="AD276" s="229">
        <f t="shared" si="119"/>
        <v>-15.343377694232206</v>
      </c>
      <c r="AE276" s="229">
        <f t="shared" si="120"/>
        <v>167.45199309148836</v>
      </c>
      <c r="AF276" s="227">
        <f t="shared" si="108"/>
        <v>4.8546424982069851</v>
      </c>
      <c r="AG276" s="227">
        <f t="shared" si="109"/>
        <v>87.309809177959636</v>
      </c>
      <c r="AH276" s="229" t="str">
        <f t="shared" si="110"/>
        <v>0.166852146027835-0.0371369304089244i</v>
      </c>
    </row>
    <row r="277" spans="9:34" x14ac:dyDescent="0.2">
      <c r="I277" s="227">
        <v>273</v>
      </c>
      <c r="J277" s="227">
        <f t="shared" si="98"/>
        <v>3.661783449811868</v>
      </c>
      <c r="K277" s="227">
        <f t="shared" si="97"/>
        <v>4589.6910219482543</v>
      </c>
      <c r="L277" s="227">
        <f t="shared" si="111"/>
        <v>28837.879193599332</v>
      </c>
      <c r="M277" s="227">
        <f t="shared" si="99"/>
        <v>4124.5282993358533</v>
      </c>
      <c r="N277" s="227">
        <f>SQRT((ABS(AC277)-171.5+'Small Signal'!C$59)^2)</f>
        <v>20.799224057972211</v>
      </c>
      <c r="O277" s="227">
        <f t="shared" si="112"/>
        <v>86.903568262667321</v>
      </c>
      <c r="P277" s="227">
        <f t="shared" si="113"/>
        <v>4.6758288118154105</v>
      </c>
      <c r="Q277" s="227">
        <f t="shared" si="114"/>
        <v>4589.6910219482543</v>
      </c>
      <c r="R277" s="227" t="str">
        <f t="shared" si="100"/>
        <v>0.0945666666666667+0.135538032209917i</v>
      </c>
      <c r="S277" s="227" t="str">
        <f t="shared" si="101"/>
        <v>0.0085-3.68900146953304i</v>
      </c>
      <c r="T277" s="227" t="str">
        <f t="shared" si="102"/>
        <v>0.561860773988046-3.60136326917042i</v>
      </c>
      <c r="U277" s="227" t="str">
        <f t="shared" si="103"/>
        <v>25.5665158631278-136.243548116779i</v>
      </c>
      <c r="V277" s="227">
        <f t="shared" si="115"/>
        <v>42.836618857169967</v>
      </c>
      <c r="W277" s="227">
        <f t="shared" si="116"/>
        <v>-79.371874261600581</v>
      </c>
      <c r="X277" s="227" t="str">
        <f t="shared" si="104"/>
        <v>0.999850202569408-0.00389166466705775i</v>
      </c>
      <c r="Y277" s="227" t="str">
        <f t="shared" si="105"/>
        <v>205.504363099346+5.60890594950511i</v>
      </c>
      <c r="Z277" s="227" t="str">
        <f t="shared" si="106"/>
        <v>115.548143223554+2.70366863543538i</v>
      </c>
      <c r="AA277" s="227" t="str">
        <f t="shared" si="107"/>
        <v>1.62060277206936-9.8972717346991i</v>
      </c>
      <c r="AB277" s="227">
        <f t="shared" si="117"/>
        <v>20.025217399577539</v>
      </c>
      <c r="AC277" s="227">
        <f t="shared" si="118"/>
        <v>-80.700775942027789</v>
      </c>
      <c r="AD277" s="229">
        <f t="shared" si="119"/>
        <v>-15.349388587762128</v>
      </c>
      <c r="AE277" s="229">
        <f t="shared" si="120"/>
        <v>167.60434420469511</v>
      </c>
      <c r="AF277" s="227">
        <f t="shared" si="108"/>
        <v>4.6758288118154105</v>
      </c>
      <c r="AG277" s="227">
        <f t="shared" si="109"/>
        <v>86.903568262667321</v>
      </c>
      <c r="AH277" s="229" t="str">
        <f t="shared" si="110"/>
        <v>0.166834809611261-0.0366677510710401i</v>
      </c>
    </row>
    <row r="278" spans="9:34" x14ac:dyDescent="0.2">
      <c r="I278" s="227">
        <v>274</v>
      </c>
      <c r="J278" s="227">
        <f t="shared" si="98"/>
        <v>3.6715335723386517</v>
      </c>
      <c r="K278" s="227">
        <f t="shared" si="97"/>
        <v>4693.8971822629583</v>
      </c>
      <c r="L278" s="227">
        <f t="shared" si="111"/>
        <v>29492.62580900628</v>
      </c>
      <c r="M278" s="227">
        <f t="shared" si="99"/>
        <v>4017.9562011408771</v>
      </c>
      <c r="N278" s="227">
        <f>SQRT((ABS(AC278)-171.5+'Small Signal'!C$59)^2)</f>
        <v>20.24344583257961</v>
      </c>
      <c r="O278" s="227">
        <f t="shared" si="112"/>
        <v>86.494258020307612</v>
      </c>
      <c r="P278" s="227">
        <f t="shared" si="113"/>
        <v>4.4966747578662094</v>
      </c>
      <c r="Q278" s="227">
        <f t="shared" si="114"/>
        <v>4693.8971822629583</v>
      </c>
      <c r="R278" s="227" t="str">
        <f t="shared" si="100"/>
        <v>0.0945666666666667+0.13861534130233i</v>
      </c>
      <c r="S278" s="227" t="str">
        <f t="shared" si="101"/>
        <v>0.0085-3.60710434575539i</v>
      </c>
      <c r="T278" s="227" t="str">
        <f t="shared" si="102"/>
        <v>0.538100110146736-3.52498161286076i</v>
      </c>
      <c r="U278" s="227" t="str">
        <f t="shared" si="103"/>
        <v>17.5351190365567-136.79198190673i</v>
      </c>
      <c r="V278" s="227">
        <f t="shared" si="115"/>
        <v>42.791997056492164</v>
      </c>
      <c r="W278" s="227">
        <f t="shared" si="116"/>
        <v>-82.695194245265583</v>
      </c>
      <c r="X278" s="227" t="str">
        <f t="shared" si="104"/>
        <v>0.999843323230168-0.00398002256092189i</v>
      </c>
      <c r="Y278" s="227" t="str">
        <f t="shared" si="105"/>
        <v>208.631084318566-4.45335983635375i</v>
      </c>
      <c r="Z278" s="227" t="str">
        <f t="shared" si="106"/>
        <v>117.282958926548-2.97059184652745i</v>
      </c>
      <c r="AA278" s="227" t="str">
        <f t="shared" si="107"/>
        <v>1.4943968811511-9.7166449485597i</v>
      </c>
      <c r="AB278" s="227">
        <f t="shared" si="117"/>
        <v>19.851857314046242</v>
      </c>
      <c r="AC278" s="227">
        <f t="shared" si="118"/>
        <v>-81.25655416742039</v>
      </c>
      <c r="AD278" s="229">
        <f t="shared" si="119"/>
        <v>-15.355182556180033</v>
      </c>
      <c r="AE278" s="229">
        <f t="shared" si="120"/>
        <v>167.750812187728</v>
      </c>
      <c r="AF278" s="227">
        <f t="shared" si="108"/>
        <v>4.4966747578662094</v>
      </c>
      <c r="AG278" s="227">
        <f t="shared" si="109"/>
        <v>86.494258020307612</v>
      </c>
      <c r="AH278" s="229" t="str">
        <f t="shared" si="110"/>
        <v>0.166816686864762-0.0362169770165469i</v>
      </c>
    </row>
    <row r="279" spans="9:34" x14ac:dyDescent="0.2">
      <c r="I279" s="227">
        <v>275</v>
      </c>
      <c r="J279" s="227">
        <f t="shared" si="98"/>
        <v>3.6812836948654351</v>
      </c>
      <c r="K279" s="227">
        <f t="shared" si="97"/>
        <v>4800.4692804579345</v>
      </c>
      <c r="L279" s="227">
        <f t="shared" si="111"/>
        <v>30162.238050540254</v>
      </c>
      <c r="M279" s="227">
        <f t="shared" si="99"/>
        <v>3908.9644478762166</v>
      </c>
      <c r="N279" s="227">
        <f>SQRT((ABS(AC279)-171.5+'Small Signal'!C$59)^2)</f>
        <v>19.690338000451177</v>
      </c>
      <c r="O279" s="227">
        <f t="shared" si="112"/>
        <v>86.081787024475247</v>
      </c>
      <c r="P279" s="227">
        <f t="shared" si="113"/>
        <v>4.3172036491734946</v>
      </c>
      <c r="Q279" s="227">
        <f t="shared" si="114"/>
        <v>4800.4692804579345</v>
      </c>
      <c r="R279" s="227" t="str">
        <f t="shared" si="100"/>
        <v>0.0945666666666667+0.141762518837539i</v>
      </c>
      <c r="S279" s="227" t="str">
        <f t="shared" si="101"/>
        <v>0.0085-3.52702536678968i</v>
      </c>
      <c r="T279" s="227" t="str">
        <f t="shared" si="102"/>
        <v>0.5153376333474-3.45006976269549i</v>
      </c>
      <c r="U279" s="227" t="str">
        <f t="shared" si="103"/>
        <v>9.27345427415728-136.495721893226i</v>
      </c>
      <c r="V279" s="227">
        <f t="shared" si="115"/>
        <v>42.722380745443061</v>
      </c>
      <c r="W279" s="227">
        <f t="shared" si="116"/>
        <v>-86.11332472260284</v>
      </c>
      <c r="X279" s="227" t="str">
        <f t="shared" si="104"/>
        <v>0.999836127962221-0.00407038656735636i</v>
      </c>
      <c r="Y279" s="227" t="str">
        <f t="shared" si="105"/>
        <v>210.683809098863-15.1264581782168i</v>
      </c>
      <c r="Z279" s="227" t="str">
        <f t="shared" si="106"/>
        <v>118.411499389056-8.98627250315074i</v>
      </c>
      <c r="AA279" s="227" t="str">
        <f t="shared" si="107"/>
        <v>1.37277008723623-9.53775737521618i</v>
      </c>
      <c r="AB279" s="227">
        <f t="shared" si="117"/>
        <v>19.677974061060578</v>
      </c>
      <c r="AC279" s="227">
        <f t="shared" si="118"/>
        <v>-81.809661999548823</v>
      </c>
      <c r="AD279" s="229">
        <f t="shared" si="119"/>
        <v>-15.360770411887083</v>
      </c>
      <c r="AE279" s="229">
        <f t="shared" si="120"/>
        <v>167.89144902402407</v>
      </c>
      <c r="AF279" s="227">
        <f t="shared" si="108"/>
        <v>4.3172036491734946</v>
      </c>
      <c r="AG279" s="227">
        <f t="shared" si="109"/>
        <v>86.081787024475247</v>
      </c>
      <c r="AH279" s="229" t="str">
        <f t="shared" si="110"/>
        <v>0.166797741770887-0.0357843757015837i</v>
      </c>
    </row>
    <row r="280" spans="9:34" x14ac:dyDescent="0.2">
      <c r="I280" s="227">
        <v>276</v>
      </c>
      <c r="J280" s="227">
        <f t="shared" si="98"/>
        <v>3.6910338173922184</v>
      </c>
      <c r="K280" s="227">
        <f t="shared" si="97"/>
        <v>4909.4610337225949</v>
      </c>
      <c r="L280" s="227">
        <f t="shared" si="111"/>
        <v>30847.053433256511</v>
      </c>
      <c r="M280" s="227">
        <f t="shared" si="99"/>
        <v>3797.49810273612</v>
      </c>
      <c r="N280" s="227">
        <f>SQRT((ABS(AC280)-171.5+'Small Signal'!C$59)^2)</f>
        <v>19.139752904817442</v>
      </c>
      <c r="O280" s="227">
        <f t="shared" si="112"/>
        <v>85.66605809193922</v>
      </c>
      <c r="P280" s="227">
        <f t="shared" si="113"/>
        <v>4.1374387314860606</v>
      </c>
      <c r="Q280" s="227">
        <f t="shared" si="114"/>
        <v>4909.4610337225949</v>
      </c>
      <c r="R280" s="227" t="str">
        <f t="shared" si="100"/>
        <v>0.0945666666666667+0.144981151136306i</v>
      </c>
      <c r="S280" s="227" t="str">
        <f t="shared" si="101"/>
        <v>0.0085-3.44872416918472i</v>
      </c>
      <c r="T280" s="227" t="str">
        <f t="shared" si="102"/>
        <v>0.493533268078497-3.37660911554301i</v>
      </c>
      <c r="U280" s="227" t="str">
        <f t="shared" si="103"/>
        <v>0.919519502612029-135.293538092909i</v>
      </c>
      <c r="V280" s="227">
        <f t="shared" si="115"/>
        <v>42.625741690441686</v>
      </c>
      <c r="W280" s="227">
        <f t="shared" si="116"/>
        <v>-89.610596513028554</v>
      </c>
      <c r="X280" s="227" t="str">
        <f t="shared" si="104"/>
        <v>0.999828602256771-0.00416280223393444i</v>
      </c>
      <c r="Y280" s="227" t="str">
        <f t="shared" si="105"/>
        <v>211.530038098714-26.2430171388997i</v>
      </c>
      <c r="Z280" s="227" t="str">
        <f t="shared" si="106"/>
        <v>118.859546319363-15.2488029880287i</v>
      </c>
      <c r="AA280" s="227" t="str">
        <f t="shared" si="107"/>
        <v>1.25559355917437-9.36068990993762i</v>
      </c>
      <c r="AB280" s="227">
        <f t="shared" si="117"/>
        <v>19.503601354188614</v>
      </c>
      <c r="AC280" s="227">
        <f t="shared" si="118"/>
        <v>-82.360247095182558</v>
      </c>
      <c r="AD280" s="229">
        <f t="shared" si="119"/>
        <v>-15.366162622702554</v>
      </c>
      <c r="AE280" s="229">
        <f t="shared" si="120"/>
        <v>168.02630518712178</v>
      </c>
      <c r="AF280" s="227">
        <f t="shared" si="108"/>
        <v>4.1374387314860606</v>
      </c>
      <c r="AG280" s="227">
        <f t="shared" si="109"/>
        <v>85.66605809193922</v>
      </c>
      <c r="AH280" s="229" t="str">
        <f t="shared" si="110"/>
        <v>0.166777936703132-0.0353697233737648i</v>
      </c>
    </row>
    <row r="281" spans="9:34" x14ac:dyDescent="0.2">
      <c r="I281" s="227">
        <v>277</v>
      </c>
      <c r="J281" s="227">
        <f t="shared" si="98"/>
        <v>3.7007839399190021</v>
      </c>
      <c r="K281" s="227">
        <f t="shared" si="97"/>
        <v>5020.9273788626915</v>
      </c>
      <c r="L281" s="227">
        <f t="shared" si="111"/>
        <v>31547.417135285774</v>
      </c>
      <c r="M281" s="227">
        <f t="shared" si="99"/>
        <v>3683.5009816078664</v>
      </c>
      <c r="N281" s="227">
        <f>SQRT((ABS(AC281)-171.5+'Small Signal'!C$59)^2)</f>
        <v>18.591538933504808</v>
      </c>
      <c r="O281" s="227">
        <f t="shared" si="112"/>
        <v>85.246968519929965</v>
      </c>
      <c r="P281" s="227">
        <f t="shared" si="113"/>
        <v>3.9574031830339429</v>
      </c>
      <c r="Q281" s="227">
        <f t="shared" si="114"/>
        <v>5020.9273788626915</v>
      </c>
      <c r="R281" s="227" t="str">
        <f t="shared" si="100"/>
        <v>0.0945666666666667+0.148272860535843i</v>
      </c>
      <c r="S281" s="227" t="str">
        <f t="shared" si="101"/>
        <v>0.0085-3.37216128557209i</v>
      </c>
      <c r="T281" s="227" t="str">
        <f t="shared" si="102"/>
        <v>0.472648390888078-3.30458063803609i</v>
      </c>
      <c r="U281" s="227" t="str">
        <f t="shared" si="103"/>
        <v>-7.37153825197036-133.154672478258i</v>
      </c>
      <c r="V281" s="227">
        <f t="shared" si="115"/>
        <v>42.500418155518915</v>
      </c>
      <c r="W281" s="227">
        <f t="shared" si="116"/>
        <v>-93.168700969900385</v>
      </c>
      <c r="X281" s="227" t="str">
        <f t="shared" si="104"/>
        <v>0.999820730938711-0.00425731614235951i</v>
      </c>
      <c r="Y281" s="227" t="str">
        <f t="shared" si="105"/>
        <v>211.07299190589-37.6014049218342i</v>
      </c>
      <c r="Z281" s="227" t="str">
        <f t="shared" si="106"/>
        <v>118.573078438615-21.6444045057378i</v>
      </c>
      <c r="AA281" s="227" t="str">
        <f t="shared" si="107"/>
        <v>1.14273907552467-9.18551642718059i</v>
      </c>
      <c r="AB281" s="227">
        <f t="shared" si="117"/>
        <v>19.328772510098617</v>
      </c>
      <c r="AC281" s="227">
        <f t="shared" si="118"/>
        <v>-82.908461066495192</v>
      </c>
      <c r="AD281" s="229">
        <f t="shared" si="119"/>
        <v>-15.371369327064674</v>
      </c>
      <c r="AE281" s="229">
        <f t="shared" si="120"/>
        <v>168.15542958642516</v>
      </c>
      <c r="AF281" s="227">
        <f t="shared" si="108"/>
        <v>3.9574031830339429</v>
      </c>
      <c r="AG281" s="227">
        <f t="shared" si="109"/>
        <v>85.246968519929965</v>
      </c>
      <c r="AH281" s="229" t="str">
        <f t="shared" si="110"/>
        <v>0.166757232354647-0.0349728049341053i</v>
      </c>
    </row>
    <row r="282" spans="9:34" x14ac:dyDescent="0.2">
      <c r="I282" s="227">
        <v>278</v>
      </c>
      <c r="J282" s="227">
        <f t="shared" si="98"/>
        <v>3.7105340624457854</v>
      </c>
      <c r="K282" s="227">
        <f t="shared" si="97"/>
        <v>5134.9244999909452</v>
      </c>
      <c r="L282" s="227">
        <f t="shared" si="111"/>
        <v>32263.68217181959</v>
      </c>
      <c r="M282" s="227">
        <f t="shared" si="99"/>
        <v>3566.9156247524452</v>
      </c>
      <c r="N282" s="227">
        <f>SQRT((ABS(AC282)-171.5+'Small Signal'!C$59)^2)</f>
        <v>18.045540803504437</v>
      </c>
      <c r="O282" s="227">
        <f t="shared" si="112"/>
        <v>84.824410320491253</v>
      </c>
      <c r="P282" s="227">
        <f t="shared" si="113"/>
        <v>3.777120116277958</v>
      </c>
      <c r="Q282" s="227">
        <f t="shared" si="114"/>
        <v>5134.9244999909452</v>
      </c>
      <c r="R282" s="227" t="str">
        <f t="shared" si="100"/>
        <v>0.0945666666666667+0.151639306207552i</v>
      </c>
      <c r="S282" s="227" t="str">
        <f t="shared" si="101"/>
        <v>0.0085-3.29729812477274i</v>
      </c>
      <c r="T282" s="227" t="str">
        <f t="shared" si="102"/>
        <v>0.452645791249511-3.23396492391747i</v>
      </c>
      <c r="U282" s="227" t="str">
        <f t="shared" si="103"/>
        <v>-15.4360922069295-130.08415096442i</v>
      </c>
      <c r="V282" s="227">
        <f t="shared" si="115"/>
        <v>42.345213145048845</v>
      </c>
      <c r="W282" s="227">
        <f t="shared" si="116"/>
        <v>-96.767208275143417</v>
      </c>
      <c r="X282" s="227" t="str">
        <f t="shared" si="104"/>
        <v>0.999812498136031-0.00435397593194439i</v>
      </c>
      <c r="Y282" s="227" t="str">
        <f t="shared" si="105"/>
        <v>209.261952362854-48.9757400883353i</v>
      </c>
      <c r="Z282" s="227" t="str">
        <f t="shared" si="106"/>
        <v>117.524071379016-28.045751617193i</v>
      </c>
      <c r="AA282" s="227" t="str">
        <f t="shared" si="107"/>
        <v>1.03407930524214-9.01230405622898i</v>
      </c>
      <c r="AB282" s="227">
        <f t="shared" si="117"/>
        <v>19.153520465303945</v>
      </c>
      <c r="AC282" s="227">
        <f t="shared" si="118"/>
        <v>-83.454459196495563</v>
      </c>
      <c r="AD282" s="229">
        <f t="shared" si="119"/>
        <v>-15.376400349025987</v>
      </c>
      <c r="AE282" s="229">
        <f t="shared" si="120"/>
        <v>168.27886951698682</v>
      </c>
      <c r="AF282" s="227">
        <f t="shared" si="108"/>
        <v>3.777120116277958</v>
      </c>
      <c r="AG282" s="227">
        <f t="shared" si="109"/>
        <v>84.824410320491253</v>
      </c>
      <c r="AH282" s="229" t="str">
        <f t="shared" si="110"/>
        <v>0.166735587663991-0.0345934138015888i</v>
      </c>
    </row>
    <row r="283" spans="9:34" x14ac:dyDescent="0.2">
      <c r="I283" s="227">
        <v>279</v>
      </c>
      <c r="J283" s="227">
        <f t="shared" si="98"/>
        <v>3.7202841849725687</v>
      </c>
      <c r="K283" s="227">
        <f t="shared" si="97"/>
        <v>5251.5098568463663</v>
      </c>
      <c r="L283" s="227">
        <f t="shared" si="111"/>
        <v>32996.20957304586</v>
      </c>
      <c r="M283" s="227">
        <f t="shared" si="99"/>
        <v>3447.6832678421788</v>
      </c>
      <c r="N283" s="227">
        <f>SQRT((ABS(AC283)-171.5+'Small Signal'!C$59)^2)</f>
        <v>17.5015998386652</v>
      </c>
      <c r="O283" s="227">
        <f t="shared" si="112"/>
        <v>84.398270451737275</v>
      </c>
      <c r="P283" s="227">
        <f t="shared" si="113"/>
        <v>3.5966125817160641</v>
      </c>
      <c r="Q283" s="227">
        <f t="shared" si="114"/>
        <v>5251.5098568463663</v>
      </c>
      <c r="R283" s="227" t="str">
        <f t="shared" si="100"/>
        <v>0.0945666666666667+0.155082184993316i</v>
      </c>
      <c r="S283" s="227" t="str">
        <f t="shared" si="101"/>
        <v>0.0085-3.22409695234531i</v>
      </c>
      <c r="T283" s="227" t="str">
        <f t="shared" si="102"/>
        <v>0.433489632246601-3.1647422477076i</v>
      </c>
      <c r="U283" s="227" t="str">
        <f t="shared" si="103"/>
        <v>-23.1124955086633-126.12503055458i</v>
      </c>
      <c r="V283" s="227">
        <f t="shared" si="115"/>
        <v>42.159470044513753</v>
      </c>
      <c r="W283" s="227">
        <f t="shared" si="116"/>
        <v>-100.38427513148721</v>
      </c>
      <c r="X283" s="227" t="str">
        <f t="shared" si="104"/>
        <v>0.999803887247811-0.00445283032362367i</v>
      </c>
      <c r="Y283" s="227" t="str">
        <f t="shared" si="105"/>
        <v>206.099034033739-60.1294376886866i</v>
      </c>
      <c r="Z283" s="227" t="str">
        <f t="shared" si="106"/>
        <v>115.714278822009-34.319616801045i</v>
      </c>
      <c r="AA283" s="227" t="str">
        <f t="shared" si="107"/>
        <v>0.929488062490087-8.84111345980763i</v>
      </c>
      <c r="AB283" s="227">
        <f t="shared" si="117"/>
        <v>18.977877794754722</v>
      </c>
      <c r="AC283" s="227">
        <f t="shared" si="118"/>
        <v>-83.9984001613348</v>
      </c>
      <c r="AD283" s="229">
        <f t="shared" si="119"/>
        <v>-15.381265213038658</v>
      </c>
      <c r="AE283" s="229">
        <f t="shared" si="120"/>
        <v>168.39667061307208</v>
      </c>
      <c r="AF283" s="227">
        <f t="shared" si="108"/>
        <v>3.5966125817160641</v>
      </c>
      <c r="AG283" s="227">
        <f t="shared" si="109"/>
        <v>84.398270451737275</v>
      </c>
      <c r="AH283" s="229" t="str">
        <f t="shared" si="110"/>
        <v>0.166712959737801-0.0342313517801966i</v>
      </c>
    </row>
    <row r="284" spans="9:34" x14ac:dyDescent="0.2">
      <c r="I284" s="227">
        <v>280</v>
      </c>
      <c r="J284" s="227">
        <f t="shared" si="98"/>
        <v>3.7300343074993521</v>
      </c>
      <c r="K284" s="227">
        <f t="shared" si="97"/>
        <v>5370.7422137566327</v>
      </c>
      <c r="L284" s="227">
        <f t="shared" si="111"/>
        <v>33745.368566124838</v>
      </c>
      <c r="M284" s="227">
        <f t="shared" si="99"/>
        <v>3325.7438123408574</v>
      </c>
      <c r="N284" s="227">
        <f>SQRT((ABS(AC284)-171.5+'Small Signal'!C$59)^2)</f>
        <v>16.959554240653247</v>
      </c>
      <c r="O284" s="227">
        <f t="shared" si="112"/>
        <v>83.968431045934736</v>
      </c>
      <c r="P284" s="227">
        <f t="shared" si="113"/>
        <v>3.4159035735960437</v>
      </c>
      <c r="Q284" s="227">
        <f t="shared" si="114"/>
        <v>5370.7422137566327</v>
      </c>
      <c r="R284" s="227" t="str">
        <f t="shared" si="100"/>
        <v>0.0945666666666667+0.158603232260787i</v>
      </c>
      <c r="S284" s="227" t="str">
        <f t="shared" si="101"/>
        <v>0.0085-3.15252087156626i</v>
      </c>
      <c r="T284" s="227" t="str">
        <f t="shared" si="102"/>
        <v>0.415145411223508-3.09689261486445i</v>
      </c>
      <c r="U284" s="227" t="str">
        <f t="shared" si="103"/>
        <v>-30.2520330607189-121.35695516448i</v>
      </c>
      <c r="V284" s="227">
        <f t="shared" si="115"/>
        <v>41.943116072847396</v>
      </c>
      <c r="W284" s="227">
        <f t="shared" si="116"/>
        <v>-103.99748671213517</v>
      </c>
      <c r="X284" s="227" t="str">
        <f t="shared" si="104"/>
        <v>0.999794880910744-0.00455392914451134i</v>
      </c>
      <c r="Y284" s="227" t="str">
        <f t="shared" si="105"/>
        <v>201.641068858182-70.8307326559139i</v>
      </c>
      <c r="Z284" s="227" t="str">
        <f t="shared" si="106"/>
        <v>113.176256941337-40.3356168909112i</v>
      </c>
      <c r="AA284" s="227" t="str">
        <f t="shared" si="107"/>
        <v>0.828840536673477-8.67199911397881i</v>
      </c>
      <c r="AB284" s="227">
        <f t="shared" si="117"/>
        <v>18.801876732121052</v>
      </c>
      <c r="AC284" s="227">
        <f t="shared" si="118"/>
        <v>-84.540445759346753</v>
      </c>
      <c r="AD284" s="229">
        <f t="shared" si="119"/>
        <v>-15.385973158525008</v>
      </c>
      <c r="AE284" s="229">
        <f t="shared" si="120"/>
        <v>168.50887680528149</v>
      </c>
      <c r="AF284" s="227">
        <f t="shared" si="108"/>
        <v>3.4159035735960437</v>
      </c>
      <c r="AG284" s="227">
        <f t="shared" si="109"/>
        <v>83.968431045934736</v>
      </c>
      <c r="AH284" s="229" t="str">
        <f t="shared" si="110"/>
        <v>0.166689303770283-0.033886428928207i</v>
      </c>
    </row>
    <row r="285" spans="9:34" x14ac:dyDescent="0.2">
      <c r="I285" s="227">
        <v>281</v>
      </c>
      <c r="J285" s="227">
        <f t="shared" si="98"/>
        <v>3.7397844300261354</v>
      </c>
      <c r="K285" s="227">
        <f t="shared" si="97"/>
        <v>5492.6816692579541</v>
      </c>
      <c r="L285" s="227">
        <f t="shared" si="111"/>
        <v>34511.536761296222</v>
      </c>
      <c r="M285" s="227">
        <f t="shared" si="99"/>
        <v>3201.0357952113372</v>
      </c>
      <c r="N285" s="227">
        <f>SQRT((ABS(AC285)-171.5+'Small Signal'!C$59)^2)</f>
        <v>16.419239353399576</v>
      </c>
      <c r="O285" s="227">
        <f t="shared" si="112"/>
        <v>83.53476963441372</v>
      </c>
      <c r="P285" s="227">
        <f t="shared" si="113"/>
        <v>3.2350160373945034</v>
      </c>
      <c r="Q285" s="227">
        <f t="shared" si="114"/>
        <v>5492.6816692579541</v>
      </c>
      <c r="R285" s="227" t="str">
        <f t="shared" si="100"/>
        <v>0.0945666666666667+0.162204222778092i</v>
      </c>
      <c r="S285" s="227" t="str">
        <f t="shared" si="101"/>
        <v>0.0085-3.08253380483219i</v>
      </c>
      <c r="T285" s="227" t="str">
        <f t="shared" si="102"/>
        <v>0.397579920529686-3.03039580860184i</v>
      </c>
      <c r="U285" s="227" t="str">
        <f t="shared" si="103"/>
        <v>-36.7288625562542-115.891026199289i</v>
      </c>
      <c r="V285" s="227">
        <f t="shared" si="115"/>
        <v>41.696667735478798</v>
      </c>
      <c r="W285" s="227">
        <f t="shared" si="116"/>
        <v>-107.5847547205157</v>
      </c>
      <c r="X285" s="227" t="str">
        <f t="shared" si="104"/>
        <v>0.999785460964126-0.00465732335301589i</v>
      </c>
      <c r="Y285" s="227" t="str">
        <f t="shared" si="105"/>
        <v>195.996081965594-80.8681179195842i</v>
      </c>
      <c r="Z285" s="227" t="str">
        <f t="shared" si="106"/>
        <v>109.971343075154-45.974898632338i</v>
      </c>
      <c r="AA285" s="227" t="str">
        <f t="shared" si="107"/>
        <v>0.732013498841786-8.50500958780879i</v>
      </c>
      <c r="AB285" s="227">
        <f t="shared" si="117"/>
        <v>18.62554919162671</v>
      </c>
      <c r="AC285" s="227">
        <f t="shared" si="118"/>
        <v>-85.080760646600424</v>
      </c>
      <c r="AD285" s="229">
        <f t="shared" si="119"/>
        <v>-15.390533154232207</v>
      </c>
      <c r="AE285" s="229">
        <f t="shared" si="120"/>
        <v>168.61553028101414</v>
      </c>
      <c r="AF285" s="227">
        <f t="shared" si="108"/>
        <v>3.2350160373945034</v>
      </c>
      <c r="AG285" s="227">
        <f t="shared" si="109"/>
        <v>83.53476963441372</v>
      </c>
      <c r="AH285" s="229" t="str">
        <f t="shared" si="110"/>
        <v>0.166664572959394-0.033558463429572i</v>
      </c>
    </row>
    <row r="286" spans="9:34" x14ac:dyDescent="0.2">
      <c r="I286" s="227">
        <v>282</v>
      </c>
      <c r="J286" s="227">
        <f t="shared" si="98"/>
        <v>3.7495345525529187</v>
      </c>
      <c r="K286" s="227">
        <f t="shared" si="97"/>
        <v>5617.3896863874743</v>
      </c>
      <c r="L286" s="227">
        <f t="shared" si="111"/>
        <v>35295.100342211925</v>
      </c>
      <c r="M286" s="227">
        <f t="shared" si="99"/>
        <v>3073.4963579353553</v>
      </c>
      <c r="N286" s="227">
        <f>SQRT((ABS(AC286)-171.5+'Small Signal'!C$59)^2)</f>
        <v>15.880487921312422</v>
      </c>
      <c r="O286" s="227">
        <f t="shared" si="112"/>
        <v>83.097159369381401</v>
      </c>
      <c r="P286" s="227">
        <f t="shared" si="113"/>
        <v>3.0539728789188469</v>
      </c>
      <c r="Q286" s="227">
        <f t="shared" si="114"/>
        <v>5617.3896863874743</v>
      </c>
      <c r="R286" s="227" t="str">
        <f t="shared" si="100"/>
        <v>0.0945666666666667+0.165886971608396i</v>
      </c>
      <c r="S286" s="227" t="str">
        <f t="shared" si="101"/>
        <v>0.0085-3.01410047547516i</v>
      </c>
      <c r="T286" s="227" t="str">
        <f t="shared" si="102"/>
        <v>0.380761208475968-2.96523143352954i</v>
      </c>
      <c r="U286" s="227" t="str">
        <f t="shared" si="103"/>
        <v>-42.4475763472798-109.861667364324i</v>
      </c>
      <c r="V286" s="227">
        <f t="shared" si="115"/>
        <v>41.42119753529655</v>
      </c>
      <c r="W286" s="227">
        <f t="shared" si="116"/>
        <v>-111.12518338995761</v>
      </c>
      <c r="X286" s="227" t="str">
        <f t="shared" si="104"/>
        <v>0.999775608413236-0.00476306506452565i</v>
      </c>
      <c r="Y286" s="227" t="str">
        <f t="shared" si="105"/>
        <v>189.314807295819-90.0635815512465i</v>
      </c>
      <c r="Z286" s="227" t="str">
        <f t="shared" si="106"/>
        <v>106.184846309293-51.137572981497i</v>
      </c>
      <c r="AA286" s="227" t="str">
        <f t="shared" si="107"/>
        <v>0.638885485642511-8.34018782144534i</v>
      </c>
      <c r="AB286" s="227">
        <f t="shared" si="117"/>
        <v>18.44892679128926</v>
      </c>
      <c r="AC286" s="227">
        <f t="shared" si="118"/>
        <v>-85.619512078687578</v>
      </c>
      <c r="AD286" s="229">
        <f t="shared" si="119"/>
        <v>-15.394953912370413</v>
      </c>
      <c r="AE286" s="229">
        <f t="shared" si="120"/>
        <v>168.71667144806898</v>
      </c>
      <c r="AF286" s="227">
        <f t="shared" si="108"/>
        <v>3.0539728789188469</v>
      </c>
      <c r="AG286" s="227">
        <f t="shared" si="109"/>
        <v>83.097159369381401</v>
      </c>
      <c r="AH286" s="229" t="str">
        <f t="shared" si="110"/>
        <v>0.166638718419609-0.0332472814671663i</v>
      </c>
    </row>
    <row r="287" spans="9:34" x14ac:dyDescent="0.2">
      <c r="I287" s="227">
        <v>283</v>
      </c>
      <c r="J287" s="227">
        <f t="shared" si="98"/>
        <v>3.759284675079702</v>
      </c>
      <c r="K287" s="227">
        <f t="shared" si="97"/>
        <v>5744.9291236634563</v>
      </c>
      <c r="L287" s="227">
        <f t="shared" si="111"/>
        <v>36096.454260590326</v>
      </c>
      <c r="M287" s="227">
        <f t="shared" si="99"/>
        <v>2943.0612148300215</v>
      </c>
      <c r="N287" s="227">
        <f>SQRT((ABS(AC287)-171.5+'Small Signal'!C$59)^2)</f>
        <v>15.343130341595639</v>
      </c>
      <c r="O287" s="227">
        <f t="shared" si="112"/>
        <v>82.655469242784221</v>
      </c>
      <c r="P287" s="227">
        <f t="shared" si="113"/>
        <v>2.8727969748957758</v>
      </c>
      <c r="Q287" s="227">
        <f t="shared" si="114"/>
        <v>5744.9291236634563</v>
      </c>
      <c r="R287" s="227" t="str">
        <f t="shared" si="100"/>
        <v>0.0945666666666667+0.169653335024775i</v>
      </c>
      <c r="S287" s="227" t="str">
        <f t="shared" si="101"/>
        <v>0.0085-2.94718638998158i</v>
      </c>
      <c r="T287" s="227" t="str">
        <f t="shared" si="102"/>
        <v>0.364658540604736-2.9013789562737i</v>
      </c>
      <c r="U287" s="227" t="str">
        <f t="shared" si="103"/>
        <v>-47.3474649098041-103.416686269793i</v>
      </c>
      <c r="V287" s="227">
        <f t="shared" si="115"/>
        <v>41.118266436291947</v>
      </c>
      <c r="W287" s="227">
        <f t="shared" si="116"/>
        <v>-114.59982100714767</v>
      </c>
      <c r="X287" s="227" t="str">
        <f t="shared" si="104"/>
        <v>0.999765303391034-0.00487120757767737i</v>
      </c>
      <c r="Y287" s="227" t="str">
        <f t="shared" si="105"/>
        <v>181.778567254939-98.281958385112i</v>
      </c>
      <c r="Z287" s="227" t="str">
        <f t="shared" si="106"/>
        <v>101.919199711227-55.74795263942i</v>
      </c>
      <c r="AA287" s="227" t="str">
        <f t="shared" si="107"/>
        <v>0.549336962029366-8.17757140140557i</v>
      </c>
      <c r="AB287" s="227">
        <f t="shared" si="117"/>
        <v>18.272040877432193</v>
      </c>
      <c r="AC287" s="227">
        <f t="shared" si="118"/>
        <v>-86.156869658404361</v>
      </c>
      <c r="AD287" s="229">
        <f t="shared" si="119"/>
        <v>-15.399243902536417</v>
      </c>
      <c r="AE287" s="229">
        <f t="shared" si="120"/>
        <v>168.81233890118858</v>
      </c>
      <c r="AF287" s="227">
        <f t="shared" si="108"/>
        <v>2.8727969748957758</v>
      </c>
      <c r="AG287" s="227">
        <f t="shared" si="109"/>
        <v>82.655469242784221</v>
      </c>
      <c r="AH287" s="229" t="str">
        <f t="shared" si="110"/>
        <v>0.166611689091142-0.032952717097699i</v>
      </c>
    </row>
    <row r="288" spans="9:34" x14ac:dyDescent="0.2">
      <c r="I288" s="227">
        <v>284</v>
      </c>
      <c r="J288" s="227">
        <f t="shared" si="98"/>
        <v>3.7690347976064857</v>
      </c>
      <c r="K288" s="227">
        <f t="shared" si="97"/>
        <v>5875.36426676879</v>
      </c>
      <c r="L288" s="227">
        <f t="shared" si="111"/>
        <v>36916.002435289622</v>
      </c>
      <c r="M288" s="227">
        <f t="shared" si="99"/>
        <v>2809.6646206448322</v>
      </c>
      <c r="N288" s="227">
        <f>SQRT((ABS(AC288)-171.5+'Small Signal'!C$59)^2)</f>
        <v>14.806994911059761</v>
      </c>
      <c r="O288" s="227">
        <f t="shared" si="112"/>
        <v>82.209564302421612</v>
      </c>
      <c r="P288" s="227">
        <f t="shared" si="113"/>
        <v>2.6915111849116204</v>
      </c>
      <c r="Q288" s="227">
        <f t="shared" si="114"/>
        <v>5875.36426676879</v>
      </c>
      <c r="R288" s="227" t="str">
        <f t="shared" si="100"/>
        <v>0.0945666666666667+0.173505211445861i</v>
      </c>
      <c r="S288" s="227" t="str">
        <f t="shared" si="101"/>
        <v>0.0085-2.88175782060596i</v>
      </c>
      <c r="T288" s="227" t="str">
        <f t="shared" si="102"/>
        <v>0.349242361365124-2.83881774323228i</v>
      </c>
      <c r="U288" s="227" t="str">
        <f t="shared" si="103"/>
        <v>-51.4031945680081-96.7069661947937i</v>
      </c>
      <c r="V288" s="227">
        <f t="shared" si="115"/>
        <v>40.789830801306202</v>
      </c>
      <c r="W288" s="227">
        <f t="shared" si="116"/>
        <v>-117.99223446136492</v>
      </c>
      <c r="X288" s="227" t="str">
        <f t="shared" si="104"/>
        <v>0.9997545251181-0.00498180540122109i</v>
      </c>
      <c r="Y288" s="227" t="str">
        <f t="shared" si="105"/>
        <v>173.585380033647-105.435496398301i</v>
      </c>
      <c r="Z288" s="227" t="str">
        <f t="shared" si="106"/>
        <v>97.2861258498724-59.7570905785213i</v>
      </c>
      <c r="AA288" s="227" t="str">
        <f t="shared" si="107"/>
        <v>0.463250463936492-8.01719283201645i</v>
      </c>
      <c r="AB288" s="227">
        <f t="shared" si="117"/>
        <v>18.094922550336673</v>
      </c>
      <c r="AC288" s="227">
        <f t="shared" si="118"/>
        <v>-86.693005088940239</v>
      </c>
      <c r="AD288" s="229">
        <f t="shared" si="119"/>
        <v>-15.403411365425052</v>
      </c>
      <c r="AE288" s="229">
        <f t="shared" si="120"/>
        <v>168.90256939136185</v>
      </c>
      <c r="AF288" s="227">
        <f t="shared" si="108"/>
        <v>2.6915111849116204</v>
      </c>
      <c r="AG288" s="227">
        <f t="shared" si="109"/>
        <v>82.209564302421612</v>
      </c>
      <c r="AH288" s="229" t="str">
        <f t="shared" si="110"/>
        <v>0.166583431645511-0.0326746121280697i</v>
      </c>
    </row>
    <row r="289" spans="9:34" x14ac:dyDescent="0.2">
      <c r="I289" s="227">
        <v>285</v>
      </c>
      <c r="J289" s="227">
        <f t="shared" si="98"/>
        <v>3.7787849201332691</v>
      </c>
      <c r="K289" s="227">
        <f t="shared" si="97"/>
        <v>6008.7608609539793</v>
      </c>
      <c r="L289" s="227">
        <f t="shared" si="111"/>
        <v>37754.157955901806</v>
      </c>
      <c r="M289" s="227">
        <f t="shared" si="99"/>
        <v>2673.2393374231524</v>
      </c>
      <c r="N289" s="227">
        <f>SQRT((ABS(AC289)-171.5+'Small Signal'!C$59)^2)</f>
        <v>14.271908067857936</v>
      </c>
      <c r="O289" s="227">
        <f t="shared" si="112"/>
        <v>81.759305865570497</v>
      </c>
      <c r="P289" s="227">
        <f t="shared" si="113"/>
        <v>2.5101383645718602</v>
      </c>
      <c r="Q289" s="227">
        <f t="shared" si="114"/>
        <v>6008.7608609539793</v>
      </c>
      <c r="R289" s="227" t="str">
        <f t="shared" si="100"/>
        <v>0.0945666666666667+0.177444542392738i</v>
      </c>
      <c r="S289" s="227" t="str">
        <f t="shared" si="101"/>
        <v>0.0085-2.81778178837052i</v>
      </c>
      <c r="T289" s="227" t="str">
        <f t="shared" si="102"/>
        <v>0.334484256272957-2.77752709561488i</v>
      </c>
      <c r="U289" s="227" t="str">
        <f t="shared" si="103"/>
        <v>-54.6222425967384-89.8771217409725i</v>
      </c>
      <c r="V289" s="227">
        <f t="shared" si="115"/>
        <v>40.438134896627034</v>
      </c>
      <c r="W289" s="227">
        <f t="shared" si="116"/>
        <v>-121.28887302697505</v>
      </c>
      <c r="X289" s="227" t="str">
        <f t="shared" si="104"/>
        <v>0.999743251860735-0.00509491428149512i</v>
      </c>
      <c r="Y289" s="227" t="str">
        <f t="shared" si="105"/>
        <v>164.93624409826-111.483637595595i</v>
      </c>
      <c r="Z289" s="227" t="str">
        <f t="shared" si="106"/>
        <v>92.3989134632652-63.142624051122i</v>
      </c>
      <c r="AA289" s="227" t="str">
        <f t="shared" si="107"/>
        <v>0.3805107221279-7.85907980208744i</v>
      </c>
      <c r="AB289" s="227">
        <f t="shared" si="117"/>
        <v>17.917602690905191</v>
      </c>
      <c r="AC289" s="227">
        <f t="shared" si="118"/>
        <v>-87.228091932142064</v>
      </c>
      <c r="AD289" s="229">
        <f t="shared" si="119"/>
        <v>-15.407464326333331</v>
      </c>
      <c r="AE289" s="229">
        <f t="shared" si="120"/>
        <v>168.98739779771256</v>
      </c>
      <c r="AF289" s="227">
        <f t="shared" si="108"/>
        <v>2.5101383645718602</v>
      </c>
      <c r="AG289" s="227">
        <f t="shared" si="109"/>
        <v>81.759305865570497</v>
      </c>
      <c r="AH289" s="229" t="str">
        <f t="shared" si="110"/>
        <v>0.166553890387309-0.0324128159929364i</v>
      </c>
    </row>
    <row r="290" spans="9:34" x14ac:dyDescent="0.2">
      <c r="I290" s="227">
        <v>286</v>
      </c>
      <c r="J290" s="227">
        <f t="shared" si="98"/>
        <v>3.7885350426600524</v>
      </c>
      <c r="K290" s="227">
        <f t="shared" si="97"/>
        <v>6145.1861441756591</v>
      </c>
      <c r="L290" s="227">
        <f t="shared" si="111"/>
        <v>38611.343290968078</v>
      </c>
      <c r="M290" s="227">
        <f t="shared" si="99"/>
        <v>2533.7166006111456</v>
      </c>
      <c r="N290" s="227">
        <f>SQRT((ABS(AC290)-171.5+'Small Signal'!C$59)^2)</f>
        <v>13.737694628628944</v>
      </c>
      <c r="O290" s="227">
        <f t="shared" si="112"/>
        <v>81.304551730437211</v>
      </c>
      <c r="P290" s="227">
        <f t="shared" si="113"/>
        <v>2.3287013797520615</v>
      </c>
      <c r="Q290" s="227">
        <f t="shared" si="114"/>
        <v>6145.1861441756591</v>
      </c>
      <c r="R290" s="227" t="str">
        <f t="shared" si="100"/>
        <v>0.0945666666666667+0.18147331346755i</v>
      </c>
      <c r="S290" s="227" t="str">
        <f t="shared" si="101"/>
        <v>0.0085-2.7552260464424i</v>
      </c>
      <c r="T290" s="227" t="str">
        <f t="shared" si="102"/>
        <v>0.320356914624984-2.71748628191203i</v>
      </c>
      <c r="U290" s="227" t="str">
        <f t="shared" si="103"/>
        <v>-57.0398996512199-83.0580923558284i</v>
      </c>
      <c r="V290" s="227">
        <f t="shared" si="115"/>
        <v>40.065600304340485</v>
      </c>
      <c r="W290" s="227">
        <f t="shared" si="116"/>
        <v>-124.47921798340789</v>
      </c>
      <c r="X290" s="227" t="str">
        <f t="shared" si="104"/>
        <v>0.999731460887135-0.00521059123052464i</v>
      </c>
      <c r="Y290" s="227" t="str">
        <f t="shared" si="105"/>
        <v>156.023220910801-116.428780075062i</v>
      </c>
      <c r="Z290" s="227" t="str">
        <f t="shared" si="106"/>
        <v>87.3657163455792-65.9063596844562i</v>
      </c>
      <c r="AA290" s="227" t="str">
        <f t="shared" si="107"/>
        <v>0.301004768420938-7.70325544602301i</v>
      </c>
      <c r="AB290" s="227">
        <f t="shared" si="117"/>
        <v>17.740111988214231</v>
      </c>
      <c r="AC290" s="227">
        <f t="shared" si="118"/>
        <v>-87.762305371371056</v>
      </c>
      <c r="AD290" s="229">
        <f t="shared" si="119"/>
        <v>-15.41141060846217</v>
      </c>
      <c r="AE290" s="229">
        <f t="shared" si="120"/>
        <v>169.06685710180827</v>
      </c>
      <c r="AF290" s="227">
        <f t="shared" si="108"/>
        <v>2.3287013797520615</v>
      </c>
      <c r="AG290" s="227">
        <f t="shared" si="109"/>
        <v>81.304551730437211</v>
      </c>
      <c r="AH290" s="229" t="str">
        <f t="shared" si="110"/>
        <v>0.166523007152064-0.0321671856332644i</v>
      </c>
    </row>
    <row r="291" spans="9:34" x14ac:dyDescent="0.2">
      <c r="I291" s="227">
        <v>287</v>
      </c>
      <c r="J291" s="227">
        <f t="shared" si="98"/>
        <v>3.7982851651868361</v>
      </c>
      <c r="K291" s="227">
        <f t="shared" si="97"/>
        <v>6284.7088809876659</v>
      </c>
      <c r="L291" s="227">
        <f t="shared" si="111"/>
        <v>39487.990500922759</v>
      </c>
      <c r="M291" s="227">
        <f t="shared" si="99"/>
        <v>2391.0260843973883</v>
      </c>
      <c r="N291" s="227">
        <f>SQRT((ABS(AC291)-171.5+'Small Signal'!C$59)^2)</f>
        <v>13.204178021545061</v>
      </c>
      <c r="O291" s="227">
        <f t="shared" si="112"/>
        <v>80.845156385783383</v>
      </c>
      <c r="P291" s="227">
        <f t="shared" si="113"/>
        <v>2.1472231218136812</v>
      </c>
      <c r="Q291" s="227">
        <f t="shared" si="114"/>
        <v>6284.7088809876659</v>
      </c>
      <c r="R291" s="227" t="str">
        <f t="shared" si="100"/>
        <v>0.0945666666666667+0.185593555354337i</v>
      </c>
      <c r="S291" s="227" t="str">
        <f t="shared" si="101"/>
        <v>0.0085-2.69405906387964i</v>
      </c>
      <c r="T291" s="227" t="str">
        <f t="shared" si="102"/>
        <v>0.306834092827395-2.65867456793313i</v>
      </c>
      <c r="U291" s="227" t="str">
        <f t="shared" si="103"/>
        <v>-58.7128677465838-76.3621643939861i</v>
      </c>
      <c r="V291" s="227">
        <f t="shared" si="115"/>
        <v>39.674722015995336</v>
      </c>
      <c r="W291" s="227">
        <f t="shared" si="116"/>
        <v>-127.55574037401708</v>
      </c>
      <c r="X291" s="227" t="str">
        <f t="shared" si="104"/>
        <v>0.999719128421555-0.00532889455475844i</v>
      </c>
      <c r="Y291" s="227" t="str">
        <f t="shared" si="105"/>
        <v>147.020351379173-120.309257735187i</v>
      </c>
      <c r="Z291" s="227" t="str">
        <f t="shared" si="106"/>
        <v>82.2844546544687-68.0702984327228i</v>
      </c>
      <c r="AA291" s="227" t="str">
        <f t="shared" si="107"/>
        <v>0.224622025460142-7.54973859870122i</v>
      </c>
      <c r="AB291" s="227">
        <f t="shared" si="117"/>
        <v>17.562480967836265</v>
      </c>
      <c r="AC291" s="227">
        <f t="shared" si="118"/>
        <v>-88.295821978454939</v>
      </c>
      <c r="AD291" s="229">
        <f t="shared" si="119"/>
        <v>-15.415257846022584</v>
      </c>
      <c r="AE291" s="229">
        <f t="shared" si="120"/>
        <v>169.14097836423832</v>
      </c>
      <c r="AF291" s="227">
        <f t="shared" si="108"/>
        <v>2.1472231218136812</v>
      </c>
      <c r="AG291" s="227">
        <f t="shared" si="109"/>
        <v>80.845156385783383</v>
      </c>
      <c r="AH291" s="229" t="str">
        <f t="shared" si="110"/>
        <v>0.166490721200056-0.0319375853756i</v>
      </c>
    </row>
    <row r="292" spans="9:34" x14ac:dyDescent="0.2">
      <c r="I292" s="227">
        <v>288</v>
      </c>
      <c r="J292" s="227">
        <f t="shared" si="98"/>
        <v>3.8080352877136194</v>
      </c>
      <c r="K292" s="227">
        <f t="shared" si="97"/>
        <v>6427.3993972014232</v>
      </c>
      <c r="L292" s="227">
        <f t="shared" si="111"/>
        <v>40384.541455870909</v>
      </c>
      <c r="M292" s="227">
        <f t="shared" si="99"/>
        <v>2245.0958662653848</v>
      </c>
      <c r="N292" s="227">
        <f>SQRT((ABS(AC292)-171.5+'Small Signal'!C$59)^2)</f>
        <v>12.671180515817454</v>
      </c>
      <c r="O292" s="227">
        <f t="shared" si="112"/>
        <v>80.380971219133684</v>
      </c>
      <c r="P292" s="227">
        <f t="shared" si="113"/>
        <v>1.9657265236612655</v>
      </c>
      <c r="Q292" s="227">
        <f t="shared" si="114"/>
        <v>6427.3993972014232</v>
      </c>
      <c r="R292" s="227" t="str">
        <f t="shared" si="100"/>
        <v>0.0945666666666667+0.189807344842593i</v>
      </c>
      <c r="S292" s="227" t="str">
        <f t="shared" si="101"/>
        <v>0.0085-2.63425000973829i</v>
      </c>
      <c r="T292" s="227" t="str">
        <f t="shared" si="102"/>
        <v>0.293890578390186-2.60107124454808i</v>
      </c>
      <c r="U292" s="227" t="str">
        <f t="shared" si="103"/>
        <v>-59.7124570484499-69.8804472661822i</v>
      </c>
      <c r="V292" s="227">
        <f t="shared" si="115"/>
        <v>39.267978278294024</v>
      </c>
      <c r="W292" s="227">
        <f t="shared" si="116"/>
        <v>-130.51370625069643</v>
      </c>
      <c r="X292" s="227" t="str">
        <f t="shared" si="104"/>
        <v>0.999706229596365-0.00544988388445793i</v>
      </c>
      <c r="Y292" s="227" t="str">
        <f t="shared" si="105"/>
        <v>138.077795092163-123.190903994096i</v>
      </c>
      <c r="Z292" s="227" t="str">
        <f t="shared" si="106"/>
        <v>77.2395344864607-69.6718707788002i</v>
      </c>
      <c r="AA292" s="227" t="str">
        <f t="shared" si="107"/>
        <v>0.151254381194563-7.39854404355404i</v>
      </c>
      <c r="AB292" s="227">
        <f t="shared" si="117"/>
        <v>17.384740020814636</v>
      </c>
      <c r="AC292" s="227">
        <f t="shared" si="118"/>
        <v>-88.828819484182546</v>
      </c>
      <c r="AD292" s="229">
        <f t="shared" si="119"/>
        <v>-15.419013497153371</v>
      </c>
      <c r="AE292" s="229">
        <f t="shared" si="120"/>
        <v>169.20979070331623</v>
      </c>
      <c r="AF292" s="227">
        <f t="shared" si="108"/>
        <v>1.9657265236612655</v>
      </c>
      <c r="AG292" s="227">
        <f t="shared" si="109"/>
        <v>80.380971219133684</v>
      </c>
      <c r="AH292" s="229" t="str">
        <f t="shared" si="110"/>
        <v>0.166456969105968-0.0317238868118145i</v>
      </c>
    </row>
    <row r="293" spans="9:34" x14ac:dyDescent="0.2">
      <c r="I293" s="227">
        <v>289</v>
      </c>
      <c r="J293" s="227">
        <f t="shared" si="98"/>
        <v>3.8177854102404027</v>
      </c>
      <c r="K293" s="227">
        <f t="shared" si="97"/>
        <v>6573.3296153334268</v>
      </c>
      <c r="L293" s="227">
        <f t="shared" si="111"/>
        <v>41301.448058311427</v>
      </c>
      <c r="M293" s="227">
        <f t="shared" si="99"/>
        <v>2095.8523907413919</v>
      </c>
      <c r="N293" s="227">
        <f>SQRT((ABS(AC293)-171.5+'Small Signal'!C$59)^2)</f>
        <v>12.138523448213292</v>
      </c>
      <c r="O293" s="227">
        <f t="shared" si="112"/>
        <v>79.911844723985936</v>
      </c>
      <c r="P293" s="227">
        <f t="shared" si="113"/>
        <v>1.7842345765190295</v>
      </c>
      <c r="Q293" s="227">
        <f t="shared" si="114"/>
        <v>6573.3296153334268</v>
      </c>
      <c r="R293" s="227" t="str">
        <f t="shared" si="100"/>
        <v>0.0945666666666667+0.194116805874064i</v>
      </c>
      <c r="S293" s="227" t="str">
        <f t="shared" si="101"/>
        <v>0.0085-2.5757687375321i</v>
      </c>
      <c r="T293" s="227" t="str">
        <f t="shared" si="102"/>
        <v>0.281502154630852-2.54465565326132i</v>
      </c>
      <c r="U293" s="227" t="str">
        <f t="shared" si="103"/>
        <v>-60.1181869021552-63.6824814259876i</v>
      </c>
      <c r="V293" s="227">
        <f t="shared" si="115"/>
        <v>38.847758195199454</v>
      </c>
      <c r="W293" s="227">
        <f t="shared" si="116"/>
        <v>-133.35087614335959</v>
      </c>
      <c r="X293" s="227" t="str">
        <f t="shared" si="104"/>
        <v>0.999692738401907-0.00557362020375362i</v>
      </c>
      <c r="Y293" s="227" t="str">
        <f t="shared" si="105"/>
        <v>129.319034779162-125.158417408888i</v>
      </c>
      <c r="Z293" s="227" t="str">
        <f t="shared" si="106"/>
        <v>72.3002940963168-70.7590676615515i</v>
      </c>
      <c r="AA293" s="227" t="str">
        <f t="shared" si="107"/>
        <v>0.0807962491762239-7.24968275338636i</v>
      </c>
      <c r="AB293" s="227">
        <f t="shared" si="117"/>
        <v>17.206919433177994</v>
      </c>
      <c r="AC293" s="227">
        <f t="shared" si="118"/>
        <v>-89.361476551786708</v>
      </c>
      <c r="AD293" s="229">
        <f t="shared" si="119"/>
        <v>-15.422684856658964</v>
      </c>
      <c r="AE293" s="229">
        <f t="shared" si="120"/>
        <v>169.27332127577264</v>
      </c>
      <c r="AF293" s="227">
        <f t="shared" si="108"/>
        <v>1.7842345765190295</v>
      </c>
      <c r="AG293" s="227">
        <f t="shared" si="109"/>
        <v>79.911844723985936</v>
      </c>
      <c r="AH293" s="229" t="str">
        <f t="shared" si="110"/>
        <v>0.166421684644237-0.0315259686790448i</v>
      </c>
    </row>
    <row r="294" spans="9:34" x14ac:dyDescent="0.2">
      <c r="I294" s="227">
        <v>290</v>
      </c>
      <c r="J294" s="227">
        <f t="shared" si="98"/>
        <v>3.8275355327671861</v>
      </c>
      <c r="K294" s="227">
        <f t="shared" si="97"/>
        <v>6722.5730908574196</v>
      </c>
      <c r="L294" s="227">
        <f t="shared" si="111"/>
        <v>42239.172470916194</v>
      </c>
      <c r="M294" s="227">
        <f t="shared" si="99"/>
        <v>1943.2204323190927</v>
      </c>
      <c r="N294" s="227">
        <f>SQRT((ABS(AC294)-171.5+'Small Signal'!C$59)^2)</f>
        <v>11.606027447175919</v>
      </c>
      <c r="O294" s="227">
        <f t="shared" si="112"/>
        <v>79.437622706491354</v>
      </c>
      <c r="P294" s="227">
        <f t="shared" si="113"/>
        <v>1.6027703473074943</v>
      </c>
      <c r="Q294" s="227">
        <f t="shared" si="114"/>
        <v>6722.5730908574196</v>
      </c>
      <c r="R294" s="227" t="str">
        <f t="shared" si="100"/>
        <v>0.0945666666666667+0.198524110613306i</v>
      </c>
      <c r="S294" s="227" t="str">
        <f t="shared" si="101"/>
        <v>0.0085-2.51858577003738i</v>
      </c>
      <c r="T294" s="227" t="str">
        <f t="shared" si="102"/>
        <v>0.269645566123915-2.48940720974254i</v>
      </c>
      <c r="U294" s="227" t="str">
        <f t="shared" si="103"/>
        <v>-60.0123196148676-57.8174640537792i</v>
      </c>
      <c r="V294" s="227">
        <f t="shared" si="115"/>
        <v>38.416308294222802</v>
      </c>
      <c r="W294" s="227">
        <f t="shared" si="116"/>
        <v>-136.06714460945247</v>
      </c>
      <c r="X294" s="227" t="str">
        <f t="shared" si="104"/>
        <v>0.999678627634049-0.00570016588138381i</v>
      </c>
      <c r="Y294" s="227" t="str">
        <f t="shared" si="105"/>
        <v>120.840627652487-126.307435172293i</v>
      </c>
      <c r="Z294" s="227" t="str">
        <f t="shared" si="106"/>
        <v>67.5208827041685-71.385976095446i</v>
      </c>
      <c r="AA294" s="227" t="str">
        <f t="shared" si="107"/>
        <v>0.0131446157627352-7.10316212356341i</v>
      </c>
      <c r="AB294" s="227">
        <f t="shared" si="117"/>
        <v>17.029049415884128</v>
      </c>
      <c r="AC294" s="227">
        <f t="shared" si="118"/>
        <v>-89.893972552824081</v>
      </c>
      <c r="AD294" s="229">
        <f t="shared" si="119"/>
        <v>-15.426279068576633</v>
      </c>
      <c r="AE294" s="229">
        <f t="shared" si="120"/>
        <v>169.33159525931543</v>
      </c>
      <c r="AF294" s="227">
        <f t="shared" si="108"/>
        <v>1.6027703473074943</v>
      </c>
      <c r="AG294" s="227">
        <f t="shared" si="109"/>
        <v>79.437622706491354</v>
      </c>
      <c r="AH294" s="229" t="str">
        <f t="shared" si="110"/>
        <v>0.166384798669974-0.0313437167395447i</v>
      </c>
    </row>
    <row r="295" spans="9:34" x14ac:dyDescent="0.2">
      <c r="I295" s="227">
        <v>291</v>
      </c>
      <c r="J295" s="227">
        <f t="shared" si="98"/>
        <v>3.8372856552939694</v>
      </c>
      <c r="K295" s="227">
        <f t="shared" si="97"/>
        <v>6875.2050492797189</v>
      </c>
      <c r="L295" s="227">
        <f t="shared" si="111"/>
        <v>43198.187349481232</v>
      </c>
      <c r="M295" s="227">
        <f t="shared" si="99"/>
        <v>1787.1230575425252</v>
      </c>
      <c r="N295" s="227">
        <f>SQRT((ABS(AC295)-171.5+'Small Signal'!C$59)^2)</f>
        <v>11.073512655147056</v>
      </c>
      <c r="O295" s="227">
        <f t="shared" si="112"/>
        <v>78.95814849208864</v>
      </c>
      <c r="P295" s="227">
        <f t="shared" si="113"/>
        <v>1.4213569965012844</v>
      </c>
      <c r="Q295" s="227">
        <f t="shared" si="114"/>
        <v>6875.2050492797189</v>
      </c>
      <c r="R295" s="227" t="str">
        <f t="shared" si="100"/>
        <v>0.0945666666666667+0.203031480542562i</v>
      </c>
      <c r="S295" s="227" t="str">
        <f t="shared" si="101"/>
        <v>0.0085-2.46267228443514i</v>
      </c>
      <c r="T295" s="227" t="str">
        <f t="shared" si="102"/>
        <v>0.258298484926088-2.43530542543284i</v>
      </c>
      <c r="U295" s="227" t="str">
        <f t="shared" si="103"/>
        <v>-59.4755811193778-52.3165296286612i</v>
      </c>
      <c r="V295" s="227">
        <f t="shared" si="115"/>
        <v>37.97569711700767</v>
      </c>
      <c r="W295" s="227">
        <f t="shared" si="116"/>
        <v>-138.66415920894195</v>
      </c>
      <c r="X295" s="227" t="str">
        <f t="shared" si="104"/>
        <v>0.999663868839327-0.0058295847021313i</v>
      </c>
      <c r="Y295" s="227" t="str">
        <f t="shared" si="105"/>
        <v>112.713821744964-126.737861478879i</v>
      </c>
      <c r="Z295" s="227" t="str">
        <f t="shared" si="106"/>
        <v>62.9411865873657-71.609025899091i</v>
      </c>
      <c r="AA295" s="227" t="str">
        <f t="shared" si="107"/>
        <v>-0.0518009247346344-6.95898619727922i</v>
      </c>
      <c r="AB295" s="227">
        <f t="shared" si="117"/>
        <v>16.851160135083738</v>
      </c>
      <c r="AC295" s="227">
        <f t="shared" si="118"/>
        <v>-90.426487344852944</v>
      </c>
      <c r="AD295" s="229">
        <f t="shared" si="119"/>
        <v>-15.429803138582454</v>
      </c>
      <c r="AE295" s="229">
        <f t="shared" si="120"/>
        <v>169.38463583694158</v>
      </c>
      <c r="AF295" s="227">
        <f t="shared" si="108"/>
        <v>1.4213569965012844</v>
      </c>
      <c r="AG295" s="227">
        <f t="shared" si="109"/>
        <v>78.95814849208864</v>
      </c>
      <c r="AH295" s="229" t="str">
        <f t="shared" si="110"/>
        <v>0.166346238995331-0.0311770236601518i</v>
      </c>
    </row>
    <row r="296" spans="9:34" x14ac:dyDescent="0.2">
      <c r="I296" s="227">
        <v>292</v>
      </c>
      <c r="J296" s="227">
        <f t="shared" si="98"/>
        <v>3.8470357778207527</v>
      </c>
      <c r="K296" s="227">
        <f t="shared" si="97"/>
        <v>7031.3024240562863</v>
      </c>
      <c r="L296" s="227">
        <f t="shared" si="111"/>
        <v>44178.976081166664</v>
      </c>
      <c r="M296" s="227">
        <f t="shared" si="99"/>
        <v>1627.4815862280984</v>
      </c>
      <c r="N296" s="227">
        <f>SQRT((ABS(AC296)-171.5+'Small Signal'!C$59)^2)</f>
        <v>10.540798949708304</v>
      </c>
      <c r="O296" s="227">
        <f t="shared" si="112"/>
        <v>78.473263132604714</v>
      </c>
      <c r="P296" s="227">
        <f t="shared" si="113"/>
        <v>1.2400177963505392</v>
      </c>
      <c r="Q296" s="227">
        <f t="shared" si="114"/>
        <v>7031.3024240562863</v>
      </c>
      <c r="R296" s="227" t="str">
        <f t="shared" si="100"/>
        <v>0.0945666666666667+0.207641187581483i</v>
      </c>
      <c r="S296" s="227" t="str">
        <f t="shared" si="101"/>
        <v>0.0085-2.40800009778305i</v>
      </c>
      <c r="T296" s="227" t="str">
        <f t="shared" si="102"/>
        <v>0.247439477601075-2.38232992733967i</v>
      </c>
      <c r="U296" s="227" t="str">
        <f t="shared" si="103"/>
        <v>-58.5841020205427-47.1955758242899i</v>
      </c>
      <c r="V296" s="227">
        <f t="shared" si="115"/>
        <v>37.527795519546167</v>
      </c>
      <c r="W296" s="227">
        <f t="shared" si="116"/>
        <v>-141.14494896115693</v>
      </c>
      <c r="X296" s="227" t="str">
        <f t="shared" si="104"/>
        <v>0.999648432257575-0.00596194189897384i</v>
      </c>
      <c r="Y296" s="227" t="str">
        <f t="shared" si="105"/>
        <v>104.987350495583-126.548676502035i</v>
      </c>
      <c r="Z296" s="227" t="str">
        <f t="shared" si="106"/>
        <v>58.5884151806729-71.4840730260688i</v>
      </c>
      <c r="AA296" s="227" t="str">
        <f t="shared" si="107"/>
        <v>-0.114138145958523-6.8171558826958i</v>
      </c>
      <c r="AB296" s="227">
        <f t="shared" si="117"/>
        <v>16.67328174259746</v>
      </c>
      <c r="AC296" s="227">
        <f t="shared" si="118"/>
        <v>-90.959201050291696</v>
      </c>
      <c r="AD296" s="229">
        <f t="shared" si="119"/>
        <v>-15.433263946246921</v>
      </c>
      <c r="AE296" s="229">
        <f t="shared" si="120"/>
        <v>169.43246418289641</v>
      </c>
      <c r="AF296" s="227">
        <f t="shared" si="108"/>
        <v>1.2400177963505392</v>
      </c>
      <c r="AG296" s="227">
        <f t="shared" si="109"/>
        <v>78.473263132604714</v>
      </c>
      <c r="AH296" s="229" t="str">
        <f t="shared" si="110"/>
        <v>0.166305930261179-0.0310257888910533i</v>
      </c>
    </row>
    <row r="297" spans="9:34" x14ac:dyDescent="0.2">
      <c r="I297" s="227">
        <v>293</v>
      </c>
      <c r="J297" s="227">
        <f t="shared" si="98"/>
        <v>3.8567859003475364</v>
      </c>
      <c r="K297" s="227">
        <f t="shared" si="97"/>
        <v>7190.9438953707131</v>
      </c>
      <c r="L297" s="227">
        <f t="shared" si="111"/>
        <v>45182.033028146005</v>
      </c>
      <c r="M297" s="227">
        <f t="shared" si="99"/>
        <v>1464.2155518062518</v>
      </c>
      <c r="N297" s="227">
        <f>SQRT((ABS(AC297)-171.5+'Small Signal'!C$59)^2)</f>
        <v>10.007706164154797</v>
      </c>
      <c r="O297" s="227">
        <f t="shared" si="112"/>
        <v>77.982805614338218</v>
      </c>
      <c r="P297" s="227">
        <f t="shared" si="113"/>
        <v>1.0587761493484482</v>
      </c>
      <c r="Q297" s="227">
        <f t="shared" si="114"/>
        <v>7190.9438953707131</v>
      </c>
      <c r="R297" s="227" t="str">
        <f t="shared" si="100"/>
        <v>0.0945666666666667+0.212355555232286i</v>
      </c>
      <c r="S297" s="227" t="str">
        <f t="shared" si="101"/>
        <v>0.0085-2.35454165280994i</v>
      </c>
      <c r="T297" s="227" t="str">
        <f t="shared" si="102"/>
        <v>0.237047973062605-2.33046047612923i</v>
      </c>
      <c r="U297" s="227" t="str">
        <f t="shared" si="103"/>
        <v>-57.407465179012-42.4582327200542i</v>
      </c>
      <c r="V297" s="227">
        <f t="shared" si="115"/>
        <v>37.074269701967609</v>
      </c>
      <c r="W297" s="227">
        <f t="shared" si="116"/>
        <v>-143.51358259952107</v>
      </c>
      <c r="X297" s="227" t="str">
        <f t="shared" si="104"/>
        <v>0.99963228676191-0.00609730418596451i</v>
      </c>
      <c r="Y297" s="227" t="str">
        <f t="shared" si="105"/>
        <v>97.6908142902606-125.834211769733i</v>
      </c>
      <c r="Z297" s="227" t="str">
        <f t="shared" si="106"/>
        <v>54.4790142335331-71.0643100893204i</v>
      </c>
      <c r="AA297" s="227" t="str">
        <f t="shared" si="107"/>
        <v>-0.173962175516646-6.67766916181025i</v>
      </c>
      <c r="AB297" s="227">
        <f t="shared" si="117"/>
        <v>16.495444406499445</v>
      </c>
      <c r="AC297" s="227">
        <f t="shared" si="118"/>
        <v>-91.492293835845203</v>
      </c>
      <c r="AD297" s="229">
        <f t="shared" si="119"/>
        <v>-15.436668257150997</v>
      </c>
      <c r="AE297" s="229">
        <f t="shared" si="120"/>
        <v>169.47509945018342</v>
      </c>
      <c r="AF297" s="227">
        <f t="shared" si="108"/>
        <v>1.0587761493484482</v>
      </c>
      <c r="AG297" s="227">
        <f t="shared" si="109"/>
        <v>77.982805614338218</v>
      </c>
      <c r="AH297" s="229" t="str">
        <f t="shared" si="110"/>
        <v>0.166263793803973-0.0308899185435254i</v>
      </c>
    </row>
    <row r="298" spans="9:34" x14ac:dyDescent="0.2">
      <c r="I298" s="227">
        <v>294</v>
      </c>
      <c r="J298" s="227">
        <f t="shared" si="98"/>
        <v>3.8665360228743197</v>
      </c>
      <c r="K298" s="227">
        <f t="shared" si="97"/>
        <v>7354.2099297925597</v>
      </c>
      <c r="L298" s="227">
        <f t="shared" si="111"/>
        <v>46207.863776786828</v>
      </c>
      <c r="M298" s="227">
        <f t="shared" si="99"/>
        <v>1297.2426607625521</v>
      </c>
      <c r="N298" s="227">
        <f>SQRT((ABS(AC298)-171.5+'Small Signal'!C$59)^2)</f>
        <v>9.4740543081353223</v>
      </c>
      <c r="O298" s="227">
        <f t="shared" si="112"/>
        <v>77.486613067673545</v>
      </c>
      <c r="P298" s="227">
        <f t="shared" si="113"/>
        <v>0.87765560682882438</v>
      </c>
      <c r="Q298" s="227">
        <f t="shared" si="114"/>
        <v>7354.2099297925597</v>
      </c>
      <c r="R298" s="227" t="str">
        <f t="shared" si="100"/>
        <v>0.0945666666666667+0.217176959750898i</v>
      </c>
      <c r="S298" s="227" t="str">
        <f t="shared" si="101"/>
        <v>0.0085-2.30227000402575i</v>
      </c>
      <c r="T298" s="227" t="str">
        <f t="shared" si="102"/>
        <v>0.227104231249485-2.2796769826197i</v>
      </c>
      <c r="U298" s="227" t="str">
        <f t="shared" si="103"/>
        <v>-56.0076682981497-38.0986957769276i</v>
      </c>
      <c r="V298" s="227">
        <f t="shared" si="115"/>
        <v>36.616583868995733</v>
      </c>
      <c r="W298" s="227">
        <f t="shared" si="116"/>
        <v>-145.77486826852532</v>
      </c>
      <c r="X298" s="227" t="str">
        <f t="shared" si="104"/>
        <v>0.999615399795972-0.00623573979185861i</v>
      </c>
      <c r="Y298" s="227" t="str">
        <f t="shared" si="105"/>
        <v>90.8381981294111-124.681728009891i</v>
      </c>
      <c r="Z298" s="227" t="str">
        <f t="shared" si="106"/>
        <v>50.6206525312503-70.398910691324i</v>
      </c>
      <c r="AA298" s="227" t="str">
        <f t="shared" si="107"/>
        <v>-0.231365490189003-6.54052129096946i</v>
      </c>
      <c r="AB298" s="227">
        <f t="shared" si="117"/>
        <v>16.317678341702958</v>
      </c>
      <c r="AC298" s="227">
        <f t="shared" si="118"/>
        <v>-92.025945691864678</v>
      </c>
      <c r="AD298" s="229">
        <f t="shared" si="119"/>
        <v>-15.440022734874134</v>
      </c>
      <c r="AE298" s="229">
        <f t="shared" si="120"/>
        <v>169.51255875953822</v>
      </c>
      <c r="AF298" s="227">
        <f t="shared" si="108"/>
        <v>0.87765560682882438</v>
      </c>
      <c r="AG298" s="227">
        <f t="shared" si="109"/>
        <v>77.486613067673545</v>
      </c>
      <c r="AH298" s="229" t="str">
        <f t="shared" si="110"/>
        <v>0.166219747517679-0.0307693252663i</v>
      </c>
    </row>
    <row r="299" spans="9:34" x14ac:dyDescent="0.2">
      <c r="I299" s="227">
        <v>295</v>
      </c>
      <c r="J299" s="227">
        <f t="shared" si="98"/>
        <v>3.8762861454011031</v>
      </c>
      <c r="K299" s="227">
        <f t="shared" si="97"/>
        <v>7521.1828208362595</v>
      </c>
      <c r="L299" s="227">
        <f t="shared" si="111"/>
        <v>47256.9853924899</v>
      </c>
      <c r="M299" s="227">
        <f t="shared" si="99"/>
        <v>1126.4787511581171</v>
      </c>
      <c r="N299" s="227">
        <f>SQRT((ABS(AC299)-171.5+'Small Signal'!C$59)^2)</f>
        <v>8.93966378897467</v>
      </c>
      <c r="O299" s="227">
        <f t="shared" si="112"/>
        <v>76.984520978762973</v>
      </c>
      <c r="P299" s="227">
        <f t="shared" si="113"/>
        <v>0.69667988757379362</v>
      </c>
      <c r="Q299" s="227">
        <f t="shared" si="114"/>
        <v>7521.1828208362595</v>
      </c>
      <c r="R299" s="227" t="str">
        <f t="shared" si="100"/>
        <v>0.0945666666666667+0.222107831344703i</v>
      </c>
      <c r="S299" s="227" t="str">
        <f t="shared" si="101"/>
        <v>0.0085-2.25115880413969i</v>
      </c>
      <c r="T299" s="227" t="str">
        <f t="shared" si="102"/>
        <v>0.217589312642068-2.22995952277367i</v>
      </c>
      <c r="U299" s="227" t="str">
        <f t="shared" si="103"/>
        <v>-54.4387862523965-34.104254794741i</v>
      </c>
      <c r="V299" s="227">
        <f t="shared" si="115"/>
        <v>36.156009661634549</v>
      </c>
      <c r="W299" s="227">
        <f t="shared" si="116"/>
        <v>-147.93409944665837</v>
      </c>
      <c r="X299" s="227" t="str">
        <f t="shared" si="104"/>
        <v>0.999597737308271-0.00637731849450414i</v>
      </c>
      <c r="Y299" s="227" t="str">
        <f t="shared" si="105"/>
        <v>84.431219444711-123.170059567316i</v>
      </c>
      <c r="Z299" s="227" t="str">
        <f t="shared" si="106"/>
        <v>47.0141104302646-69.5322739875172i</v>
      </c>
      <c r="AA299" s="227" t="str">
        <f t="shared" si="107"/>
        <v>-0.286437919473127-6.40570499300388i</v>
      </c>
      <c r="AB299" s="227">
        <f t="shared" si="117"/>
        <v>16.14001384044014</v>
      </c>
      <c r="AC299" s="227">
        <f t="shared" si="118"/>
        <v>-92.56033621102533</v>
      </c>
      <c r="AD299" s="229">
        <f t="shared" si="119"/>
        <v>-15.443333952866347</v>
      </c>
      <c r="AE299" s="229">
        <f t="shared" si="120"/>
        <v>169.5448571897883</v>
      </c>
      <c r="AF299" s="227">
        <f t="shared" si="108"/>
        <v>0.69667988757379362</v>
      </c>
      <c r="AG299" s="227">
        <f t="shared" si="109"/>
        <v>76.984520978762973</v>
      </c>
      <c r="AH299" s="229" t="str">
        <f t="shared" si="110"/>
        <v>0.166173705710637-0.0306639281201965i</v>
      </c>
    </row>
    <row r="300" spans="9:34" x14ac:dyDescent="0.2">
      <c r="I300" s="227">
        <v>296</v>
      </c>
      <c r="J300" s="227">
        <f t="shared" si="98"/>
        <v>3.8860362679278864</v>
      </c>
      <c r="K300" s="227">
        <f t="shared" si="97"/>
        <v>7691.9467304406944</v>
      </c>
      <c r="L300" s="227">
        <f t="shared" si="111"/>
        <v>48329.92668031303</v>
      </c>
      <c r="M300" s="227">
        <f t="shared" si="99"/>
        <v>951.83775020807479</v>
      </c>
      <c r="N300" s="227">
        <f>SQRT((ABS(AC300)-171.5+'Small Signal'!C$59)^2)</f>
        <v>8.4043556342993355</v>
      </c>
      <c r="O300" s="227">
        <f t="shared" si="112"/>
        <v>76.476363403828415</v>
      </c>
      <c r="P300" s="227">
        <f t="shared" si="113"/>
        <v>0.51587289631635969</v>
      </c>
      <c r="Q300" s="227">
        <f t="shared" si="114"/>
        <v>7691.9467304406944</v>
      </c>
      <c r="R300" s="227" t="str">
        <f t="shared" si="100"/>
        <v>0.0945666666666667+0.227150655397471i</v>
      </c>
      <c r="S300" s="227" t="str">
        <f t="shared" si="101"/>
        <v>0.0085-2.20118229078007i</v>
      </c>
      <c r="T300" s="227" t="str">
        <f t="shared" si="102"/>
        <v>0.208485048625716-2.18128835128369i</v>
      </c>
      <c r="U300" s="227" t="str">
        <f t="shared" si="103"/>
        <v>-52.7471293490881-30.457439715925i</v>
      </c>
      <c r="V300" s="227">
        <f t="shared" si="115"/>
        <v>35.693639931445603</v>
      </c>
      <c r="W300" s="227">
        <f t="shared" si="116"/>
        <v>-149.99684698753273</v>
      </c>
      <c r="X300" s="227" t="str">
        <f t="shared" si="104"/>
        <v>0.999579263683528-0.00652211165601289i</v>
      </c>
      <c r="Y300" s="227" t="str">
        <f t="shared" si="105"/>
        <v>78.4623256584132-121.369073914353i</v>
      </c>
      <c r="Z300" s="227" t="str">
        <f t="shared" si="106"/>
        <v>43.6549692096815-68.5037274350986i</v>
      </c>
      <c r="AA300" s="227" t="str">
        <f t="shared" si="107"/>
        <v>-0.339266656655919-6.27321064100374i</v>
      </c>
      <c r="AB300" s="227">
        <f t="shared" si="117"/>
        <v>15.962481302532565</v>
      </c>
      <c r="AC300" s="227">
        <f t="shared" si="118"/>
        <v>-93.095644365700664</v>
      </c>
      <c r="AD300" s="229">
        <f t="shared" si="119"/>
        <v>-15.446608406216205</v>
      </c>
      <c r="AE300" s="229">
        <f t="shared" si="120"/>
        <v>169.57200776952908</v>
      </c>
      <c r="AF300" s="227">
        <f t="shared" si="108"/>
        <v>0.51587289631635969</v>
      </c>
      <c r="AG300" s="227">
        <f t="shared" si="109"/>
        <v>76.476363403828415</v>
      </c>
      <c r="AH300" s="229" t="str">
        <f t="shared" si="110"/>
        <v>0.166125578957249-0.0305736524506402i</v>
      </c>
    </row>
    <row r="301" spans="9:34" x14ac:dyDescent="0.2">
      <c r="I301" s="227">
        <v>297</v>
      </c>
      <c r="J301" s="227">
        <f t="shared" si="98"/>
        <v>3.8957863904546697</v>
      </c>
      <c r="K301" s="227">
        <f t="shared" si="97"/>
        <v>7866.5877313907367</v>
      </c>
      <c r="L301" s="227">
        <f t="shared" si="111"/>
        <v>49427.228451513467</v>
      </c>
      <c r="M301" s="227">
        <f t="shared" si="99"/>
        <v>773.23163089701484</v>
      </c>
      <c r="N301" s="227">
        <f>SQRT((ABS(AC301)-171.5+'Small Signal'!C$59)^2)</f>
        <v>7.8679517165755612</v>
      </c>
      <c r="O301" s="227">
        <f t="shared" si="112"/>
        <v>75.961973186631468</v>
      </c>
      <c r="P301" s="227">
        <f t="shared" si="113"/>
        <v>0.33525874201358263</v>
      </c>
      <c r="Q301" s="227">
        <f t="shared" si="114"/>
        <v>7866.5877313907367</v>
      </c>
      <c r="R301" s="227" t="str">
        <f t="shared" si="100"/>
        <v>0.0945666666666667+0.232307973722113i</v>
      </c>
      <c r="S301" s="227" t="str">
        <f t="shared" si="101"/>
        <v>0.0085-2.15231527350886i</v>
      </c>
      <c r="T301" s="227" t="str">
        <f t="shared" si="102"/>
        <v>0.199774012703271-2.13364391383973i</v>
      </c>
      <c r="U301" s="227" t="str">
        <f t="shared" si="103"/>
        <v>-50.9717238543682-27.1377668231924i</v>
      </c>
      <c r="V301" s="227">
        <f t="shared" si="115"/>
        <v>35.230404925654575</v>
      </c>
      <c r="W301" s="227">
        <f t="shared" si="116"/>
        <v>-151.9687940529318</v>
      </c>
      <c r="X301" s="227" t="str">
        <f t="shared" si="104"/>
        <v>0.999559941670857-0.00667019225873032i</v>
      </c>
      <c r="Y301" s="227" t="str">
        <f t="shared" si="105"/>
        <v>72.9172576460653-119.339713975667i</v>
      </c>
      <c r="Z301" s="227" t="str">
        <f t="shared" si="106"/>
        <v>40.5350545773186-67.3475567203296i</v>
      </c>
      <c r="AA301" s="227" t="str">
        <f t="shared" si="107"/>
        <v>-0.389936276648316-6.14302643379824i</v>
      </c>
      <c r="AB301" s="227">
        <f t="shared" si="117"/>
        <v>15.785111265341712</v>
      </c>
      <c r="AC301" s="227">
        <f t="shared" si="118"/>
        <v>-93.632048283424439</v>
      </c>
      <c r="AD301" s="229">
        <f t="shared" si="119"/>
        <v>-15.449852523328129</v>
      </c>
      <c r="AE301" s="229">
        <f t="shared" si="120"/>
        <v>169.59402147005591</v>
      </c>
      <c r="AF301" s="227">
        <f t="shared" si="108"/>
        <v>0.33525874201358263</v>
      </c>
      <c r="AG301" s="227">
        <f t="shared" si="109"/>
        <v>75.961973186631468</v>
      </c>
      <c r="AH301" s="229" t="str">
        <f t="shared" si="110"/>
        <v>0.166075273944364-0.0304984297576649i</v>
      </c>
    </row>
    <row r="302" spans="9:34" x14ac:dyDescent="0.2">
      <c r="I302" s="227">
        <v>298</v>
      </c>
      <c r="J302" s="227">
        <f t="shared" si="98"/>
        <v>3.905536512981453</v>
      </c>
      <c r="K302" s="227">
        <f t="shared" si="97"/>
        <v>8045.1938507017967</v>
      </c>
      <c r="L302" s="227">
        <f t="shared" si="111"/>
        <v>50549.443796141088</v>
      </c>
      <c r="M302" s="227">
        <f t="shared" si="99"/>
        <v>590.57036760935443</v>
      </c>
      <c r="N302" s="227">
        <f>SQRT((ABS(AC302)-171.5+'Small Signal'!C$59)^2)</f>
        <v>7.3302749801539733</v>
      </c>
      <c r="O302" s="227">
        <f t="shared" si="112"/>
        <v>75.441182179653538</v>
      </c>
      <c r="P302" s="227">
        <f t="shared" si="113"/>
        <v>0.15486175577212613</v>
      </c>
      <c r="Q302" s="227">
        <f t="shared" si="114"/>
        <v>8045.1938507017967</v>
      </c>
      <c r="R302" s="227" t="str">
        <f t="shared" si="100"/>
        <v>0.0945666666666667+0.237582385841863i</v>
      </c>
      <c r="S302" s="227" t="str">
        <f t="shared" si="101"/>
        <v>0.0085-2.10453312112458i</v>
      </c>
      <c r="T302" s="227" t="str">
        <f t="shared" si="102"/>
        <v>0.191439492555511-2.08700685816338i</v>
      </c>
      <c r="U302" s="227" t="str">
        <f t="shared" si="103"/>
        <v>-49.1449778808541-24.1231083064841i</v>
      </c>
      <c r="V302" s="227">
        <f t="shared" si="115"/>
        <v>34.767089433144712</v>
      </c>
      <c r="W302" s="227">
        <f t="shared" si="116"/>
        <v>-153.85560900792288</v>
      </c>
      <c r="X302" s="227" t="str">
        <f t="shared" si="104"/>
        <v>0.999539732308655-0.00682163494202191i</v>
      </c>
      <c r="Y302" s="227" t="str">
        <f t="shared" si="105"/>
        <v>67.7771622899076-117.134427478779i</v>
      </c>
      <c r="Z302" s="227" t="str">
        <f t="shared" si="106"/>
        <v>37.6436253275535-66.0932525666725i</v>
      </c>
      <c r="AA302" s="227" t="str">
        <f t="shared" si="107"/>
        <v>-0.438528759866329-6.01513856323971i</v>
      </c>
      <c r="AB302" s="227">
        <f t="shared" si="117"/>
        <v>15.60793443329336</v>
      </c>
      <c r="AC302" s="227">
        <f t="shared" si="118"/>
        <v>-94.169725019846027</v>
      </c>
      <c r="AD302" s="229">
        <f t="shared" si="119"/>
        <v>-15.453072677521234</v>
      </c>
      <c r="AE302" s="229">
        <f t="shared" si="120"/>
        <v>169.61090719949956</v>
      </c>
      <c r="AF302" s="227">
        <f t="shared" si="108"/>
        <v>0.15486175577212613</v>
      </c>
      <c r="AG302" s="227">
        <f t="shared" si="109"/>
        <v>75.441182179653538</v>
      </c>
      <c r="AH302" s="229" t="str">
        <f t="shared" si="110"/>
        <v>0.166022693312263-0.0304381975629815i</v>
      </c>
    </row>
    <row r="303" spans="9:34" x14ac:dyDescent="0.2">
      <c r="I303" s="227">
        <v>299</v>
      </c>
      <c r="J303" s="227">
        <f t="shared" si="98"/>
        <v>3.9152866355082363</v>
      </c>
      <c r="K303" s="227">
        <f t="shared" si="97"/>
        <v>8227.8551139894571</v>
      </c>
      <c r="L303" s="227">
        <f t="shared" si="111"/>
        <v>51697.138361820973</v>
      </c>
      <c r="M303" s="227">
        <f t="shared" si="99"/>
        <v>403.76189075229377</v>
      </c>
      <c r="N303" s="227">
        <f>SQRT((ABS(AC303)-171.5+'Small Signal'!C$59)^2)</f>
        <v>6.791149671400234</v>
      </c>
      <c r="O303" s="227">
        <f t="shared" si="112"/>
        <v>74.913821469522162</v>
      </c>
      <c r="P303" s="227">
        <f t="shared" si="113"/>
        <v>2.5293491700756121E-2</v>
      </c>
      <c r="Q303" s="227">
        <f t="shared" si="114"/>
        <v>8227.8551139894571</v>
      </c>
      <c r="R303" s="227" t="str">
        <f t="shared" si="100"/>
        <v>0.0945666666666667+0.242976550300559i</v>
      </c>
      <c r="S303" s="227" t="str">
        <f t="shared" si="101"/>
        <v>0.0085-2.05781174924702i</v>
      </c>
      <c r="T303" s="227" t="str">
        <f t="shared" si="102"/>
        <v>0.183465462945778-2.04135804388852i</v>
      </c>
      <c r="U303" s="227" t="str">
        <f t="shared" si="103"/>
        <v>-47.2934315995982-21.3907294135916i</v>
      </c>
      <c r="V303" s="227">
        <f t="shared" si="115"/>
        <v>34.30434986386566</v>
      </c>
      <c r="W303" s="227">
        <f t="shared" si="116"/>
        <v>-155.6628506710224</v>
      </c>
      <c r="X303" s="227" t="str">
        <f t="shared" si="104"/>
        <v>0.999518594846032-0.0069765160398948i</v>
      </c>
      <c r="Y303" s="227" t="str">
        <f t="shared" si="105"/>
        <v>63.0202790830833-114.797829214887i</v>
      </c>
      <c r="Z303" s="227" t="str">
        <f t="shared" si="106"/>
        <v>34.9683215734895-64.7658876933728i</v>
      </c>
      <c r="AA303" s="227" t="str">
        <f t="shared" si="107"/>
        <v>-0.485123521487501-5.8895313734222i</v>
      </c>
      <c r="AB303" s="227">
        <f t="shared" si="117"/>
        <v>15.430981706862338</v>
      </c>
      <c r="AC303" s="227">
        <f t="shared" si="118"/>
        <v>-94.708850328599766</v>
      </c>
      <c r="AD303" s="229">
        <f t="shared" si="119"/>
        <v>-15.456275198563095</v>
      </c>
      <c r="AE303" s="229">
        <f t="shared" si="120"/>
        <v>169.62267179812193</v>
      </c>
      <c r="AF303" s="227">
        <f t="shared" si="108"/>
        <v>-2.5293491700756121E-2</v>
      </c>
      <c r="AG303" s="227">
        <f t="shared" si="109"/>
        <v>74.913821469522162</v>
      </c>
      <c r="AH303" s="229" t="str">
        <f t="shared" si="110"/>
        <v>0.165967735490137-0.0303928992736695i</v>
      </c>
    </row>
    <row r="304" spans="9:34" x14ac:dyDescent="0.2">
      <c r="I304" s="227">
        <v>300</v>
      </c>
      <c r="J304" s="227">
        <f t="shared" si="98"/>
        <v>3.9250367580350205</v>
      </c>
      <c r="K304" s="227">
        <f t="shared" si="97"/>
        <v>8414.6635908465178</v>
      </c>
      <c r="L304" s="227">
        <f t="shared" si="111"/>
        <v>52870.890638865858</v>
      </c>
      <c r="M304" s="227">
        <f t="shared" si="99"/>
        <v>212.71204034867333</v>
      </c>
      <c r="N304" s="227">
        <f>SQRT((ABS(AC304)-171.5+'Small Signal'!C$59)^2)</f>
        <v>6.2504015724641562</v>
      </c>
      <c r="O304" s="227">
        <f t="shared" si="112"/>
        <v>74.379721607200437</v>
      </c>
      <c r="P304" s="227">
        <f t="shared" si="113"/>
        <v>0.20518217324601196</v>
      </c>
      <c r="Q304" s="227">
        <f t="shared" si="114"/>
        <v>8414.6635908465178</v>
      </c>
      <c r="R304" s="227" t="str">
        <f t="shared" si="100"/>
        <v>0.0945666666666667+0.24849318600267i</v>
      </c>
      <c r="S304" s="227" t="str">
        <f t="shared" si="101"/>
        <v>0.0085-2.01212760817767i</v>
      </c>
      <c r="T304" s="227" t="str">
        <f t="shared" si="102"/>
        <v>0.175836559462581-1.99667855136483i</v>
      </c>
      <c r="U304" s="227" t="str">
        <f t="shared" si="103"/>
        <v>-45.4385217997153-18.9180458252868i</v>
      </c>
      <c r="V304" s="227">
        <f t="shared" si="115"/>
        <v>33.842730579572716</v>
      </c>
      <c r="W304" s="227">
        <f t="shared" si="116"/>
        <v>-157.39590031502848</v>
      </c>
      <c r="X304" s="227" t="str">
        <f t="shared" si="104"/>
        <v>0.999496486660643-0.00713491361947368i</v>
      </c>
      <c r="Y304" s="227" t="str">
        <f t="shared" si="105"/>
        <v>58.6232482573274-112.367481702722i</v>
      </c>
      <c r="Z304" s="227" t="str">
        <f t="shared" si="106"/>
        <v>32.4958995596937-63.3865595528589i</v>
      </c>
      <c r="AA304" s="227" t="str">
        <f t="shared" si="107"/>
        <v>-0.529797445457416-5.76618751199364i</v>
      </c>
      <c r="AB304" s="227">
        <f t="shared" si="117"/>
        <v>15.254284210905499</v>
      </c>
      <c r="AC304" s="227">
        <f t="shared" si="118"/>
        <v>-95.249598427535844</v>
      </c>
      <c r="AD304" s="229">
        <f t="shared" si="119"/>
        <v>-15.459466384151511</v>
      </c>
      <c r="AE304" s="229">
        <f t="shared" si="120"/>
        <v>169.62932003473628</v>
      </c>
      <c r="AF304" s="227">
        <f t="shared" si="108"/>
        <v>-0.20518217324601196</v>
      </c>
      <c r="AG304" s="227">
        <f t="shared" si="109"/>
        <v>74.379721607200437</v>
      </c>
      <c r="AH304" s="229" t="str">
        <f t="shared" si="110"/>
        <v>0.165910294525969-0.0303624840420291i</v>
      </c>
    </row>
    <row r="305" spans="9:34" x14ac:dyDescent="0.2">
      <c r="I305" s="227">
        <v>301</v>
      </c>
      <c r="J305" s="227">
        <f t="shared" si="98"/>
        <v>3.9347868805618038</v>
      </c>
      <c r="K305" s="227">
        <f t="shared" si="97"/>
        <v>8605.7134412501382</v>
      </c>
      <c r="L305" s="227">
        <f t="shared" si="111"/>
        <v>54071.292251860745</v>
      </c>
      <c r="M305" s="227">
        <f t="shared" si="99"/>
        <v>17.324518575878756</v>
      </c>
      <c r="N305" s="227">
        <f>SQRT((ABS(AC305)-171.5+'Small Signal'!C$59)^2)</f>
        <v>5.7078582392152697</v>
      </c>
      <c r="O305" s="227">
        <f t="shared" si="112"/>
        <v>73.83871284343941</v>
      </c>
      <c r="P305" s="227">
        <f t="shared" si="113"/>
        <v>0.38477918913443787</v>
      </c>
      <c r="Q305" s="227">
        <f t="shared" ref="Q305:Q368" si="121">K305</f>
        <v>8605.7134412501382</v>
      </c>
      <c r="R305" s="227" t="str">
        <f t="shared" si="100"/>
        <v>0.0945666666666667+0.254135073583745i</v>
      </c>
      <c r="S305" s="227" t="str">
        <f t="shared" si="101"/>
        <v>0.0085-1.96745767102955i</v>
      </c>
      <c r="T305" s="227" t="str">
        <f t="shared" si="102"/>
        <v>0.168538053091783-1.95294968945554i</v>
      </c>
      <c r="U305" s="227" t="str">
        <f t="shared" si="103"/>
        <v>-43.5973156582111-16.6831541499654i</v>
      </c>
      <c r="V305" s="227">
        <f t="shared" si="115"/>
        <v>33.382679061044691</v>
      </c>
      <c r="W305" s="227">
        <f t="shared" si="116"/>
        <v>-159.0599152218856</v>
      </c>
      <c r="X305" s="227" t="str">
        <f t="shared" si="104"/>
        <v>0.999473363172744-0.00729690752035i</v>
      </c>
      <c r="Y305" s="227" t="str">
        <f t="shared" si="105"/>
        <v>54.5620970204071-109.874713710841i</v>
      </c>
      <c r="Z305" s="227" t="str">
        <f t="shared" si="106"/>
        <v>30.212785113343-61.9728536229742i</v>
      </c>
      <c r="AA305" s="227" t="str">
        <f t="shared" si="107"/>
        <v>-0.572624922664006-5.6450880737411i</v>
      </c>
      <c r="AB305" s="227">
        <f t="shared" si="117"/>
        <v>15.077873322224526</v>
      </c>
      <c r="AC305" s="227">
        <f t="shared" si="118"/>
        <v>-95.79214176078473</v>
      </c>
      <c r="AD305" s="229">
        <f t="shared" si="119"/>
        <v>-15.462652511358964</v>
      </c>
      <c r="AE305" s="229">
        <f t="shared" si="120"/>
        <v>169.63085460422414</v>
      </c>
      <c r="AF305" s="227">
        <f t="shared" si="108"/>
        <v>-0.38477918913443787</v>
      </c>
      <c r="AG305" s="227">
        <f t="shared" si="109"/>
        <v>73.83871284343941</v>
      </c>
      <c r="AH305" s="229" t="str">
        <f t="shared" si="110"/>
        <v>0.16585025991071-0.030346906621103i</v>
      </c>
    </row>
    <row r="306" spans="9:34" x14ac:dyDescent="0.2">
      <c r="I306" s="227">
        <v>302</v>
      </c>
      <c r="J306" s="227">
        <f t="shared" si="98"/>
        <v>3.9445370030885871</v>
      </c>
      <c r="K306" s="227">
        <f t="shared" si="97"/>
        <v>8801.1009630229328</v>
      </c>
      <c r="L306" s="227">
        <f t="shared" si="111"/>
        <v>55298.948257869801</v>
      </c>
      <c r="M306" s="227">
        <f t="shared" si="99"/>
        <v>182.49915877252715</v>
      </c>
      <c r="N306" s="227">
        <f>SQRT((ABS(AC306)-171.5+'Small Signal'!C$59)^2)</f>
        <v>5.1633492438419495</v>
      </c>
      <c r="O306" s="227">
        <f t="shared" si="112"/>
        <v>73.290625369974308</v>
      </c>
      <c r="P306" s="227">
        <f t="shared" si="113"/>
        <v>0.56405915181128741</v>
      </c>
      <c r="Q306" s="227">
        <f t="shared" si="121"/>
        <v>8801.1009630229328</v>
      </c>
      <c r="R306" s="227" t="str">
        <f t="shared" si="100"/>
        <v>0.0945666666666667+0.259905056811988i</v>
      </c>
      <c r="S306" s="227" t="str">
        <f t="shared" si="101"/>
        <v>0.0085-1.92377942212065i</v>
      </c>
      <c r="T306" s="227" t="str">
        <f t="shared" si="102"/>
        <v>0.161555825608214-1.91015300239777i</v>
      </c>
      <c r="U306" s="227" t="str">
        <f t="shared" si="103"/>
        <v>-41.7831872587079-14.6651840560628i</v>
      </c>
      <c r="V306" s="227">
        <f t="shared" si="115"/>
        <v>32.924559694044213</v>
      </c>
      <c r="W306" s="227">
        <f t="shared" si="116"/>
        <v>-160.65979920828406</v>
      </c>
      <c r="X306" s="227" t="str">
        <f t="shared" si="104"/>
        <v>0.999449177755297-0.00746257939482499i</v>
      </c>
      <c r="Y306" s="227" t="str">
        <f t="shared" si="105"/>
        <v>50.812961079791-107.345423241614i</v>
      </c>
      <c r="Z306" s="227" t="str">
        <f t="shared" si="106"/>
        <v>28.1054780594693-60.539297319695i</v>
      </c>
      <c r="AA306" s="227" t="str">
        <f t="shared" si="107"/>
        <v>-0.613677892739496-5.52621273664948i</v>
      </c>
      <c r="AB306" s="227">
        <f t="shared" si="117"/>
        <v>14.901780696239879</v>
      </c>
      <c r="AC306" s="227">
        <f t="shared" si="118"/>
        <v>-96.336650756158051</v>
      </c>
      <c r="AD306" s="229">
        <f t="shared" si="119"/>
        <v>-15.465839848051166</v>
      </c>
      <c r="AE306" s="229">
        <f t="shared" si="120"/>
        <v>169.62727612613236</v>
      </c>
      <c r="AF306" s="227">
        <f t="shared" si="108"/>
        <v>-0.56405915181128741</v>
      </c>
      <c r="AG306" s="227">
        <f t="shared" si="109"/>
        <v>73.290625369974308</v>
      </c>
      <c r="AH306" s="229" t="str">
        <f t="shared" si="110"/>
        <v>0.165787516396718-0.0303461272153568i</v>
      </c>
    </row>
    <row r="307" spans="9:34" x14ac:dyDescent="0.2">
      <c r="I307" s="227">
        <v>303</v>
      </c>
      <c r="J307" s="227">
        <f t="shared" si="98"/>
        <v>3.9542871256153704</v>
      </c>
      <c r="K307" s="227">
        <f t="shared" si="97"/>
        <v>9000.9246403713387</v>
      </c>
      <c r="L307" s="227">
        <f t="shared" si="111"/>
        <v>56554.477451411898</v>
      </c>
      <c r="M307" s="227">
        <f t="shared" si="99"/>
        <v>386.85971192735815</v>
      </c>
      <c r="N307" s="227">
        <f>SQRT((ABS(AC307)-171.5+'Small Signal'!C$59)^2)</f>
        <v>4.6167064225714824</v>
      </c>
      <c r="O307" s="227">
        <f t="shared" si="112"/>
        <v>72.735289566907923</v>
      </c>
      <c r="P307" s="227">
        <f t="shared" si="113"/>
        <v>0.74299637164532406</v>
      </c>
      <c r="Q307" s="227">
        <f t="shared" si="121"/>
        <v>9000.9246403713387</v>
      </c>
      <c r="R307" s="227" t="str">
        <f t="shared" si="100"/>
        <v>0.0945666666666667+0.265806044021636i</v>
      </c>
      <c r="S307" s="227" t="str">
        <f t="shared" si="101"/>
        <v>0.0085-1.88107084562494i</v>
      </c>
      <c r="T307" s="227" t="str">
        <f t="shared" si="102"/>
        <v>0.154876345774817-1.86827027578919i</v>
      </c>
      <c r="U307" s="227" t="str">
        <f t="shared" si="103"/>
        <v>-40.0064237048509-12.8445140137122i</v>
      </c>
      <c r="V307" s="227">
        <f t="shared" si="115"/>
        <v>32.468666095086476</v>
      </c>
      <c r="W307" s="227">
        <f t="shared" si="116"/>
        <v>-162.2001862237542</v>
      </c>
      <c r="X307" s="227" t="str">
        <f t="shared" si="104"/>
        <v>0.999423881639953-0.00763201274906595i</v>
      </c>
      <c r="Y307" s="227" t="str">
        <f t="shared" si="105"/>
        <v>47.3525943497003-104.800832133222i</v>
      </c>
      <c r="Z307" s="227" t="str">
        <f t="shared" si="106"/>
        <v>26.1608374672524-59.0977861602244i</v>
      </c>
      <c r="AA307" s="227" t="str">
        <f t="shared" si="107"/>
        <v>-0.653025888990326-5.40953989064683i</v>
      </c>
      <c r="AB307" s="227">
        <f t="shared" si="117"/>
        <v>14.726038292649907</v>
      </c>
      <c r="AC307" s="227">
        <f t="shared" si="118"/>
        <v>-96.883293577428518</v>
      </c>
      <c r="AD307" s="229">
        <f t="shared" si="119"/>
        <v>-15.469034664295231</v>
      </c>
      <c r="AE307" s="229">
        <f t="shared" si="120"/>
        <v>169.61858314433644</v>
      </c>
      <c r="AF307" s="227">
        <f t="shared" si="108"/>
        <v>-0.74299637164532406</v>
      </c>
      <c r="AG307" s="227">
        <f t="shared" si="109"/>
        <v>72.735289566907923</v>
      </c>
      <c r="AH307" s="229" t="str">
        <f t="shared" si="110"/>
        <v>0.16572194381036-0.0303601113259816i</v>
      </c>
    </row>
    <row r="308" spans="9:34" x14ac:dyDescent="0.2">
      <c r="I308" s="227">
        <v>304</v>
      </c>
      <c r="J308" s="227">
        <f t="shared" si="98"/>
        <v>3.9640372481421537</v>
      </c>
      <c r="K308" s="227">
        <f t="shared" si="97"/>
        <v>9205.2851935261697</v>
      </c>
      <c r="L308" s="227">
        <f t="shared" si="111"/>
        <v>57838.512676361424</v>
      </c>
      <c r="M308" s="227">
        <f t="shared" si="99"/>
        <v>595.86014791140224</v>
      </c>
      <c r="N308" s="227">
        <f>SQRT((ABS(AC308)-171.5+'Small Signal'!C$59)^2)</f>
        <v>4.0677641289268962</v>
      </c>
      <c r="O308" s="227">
        <f t="shared" si="112"/>
        <v>72.172536256697398</v>
      </c>
      <c r="P308" s="227">
        <f t="shared" si="113"/>
        <v>0.92156484382152115</v>
      </c>
      <c r="Q308" s="227">
        <f t="shared" si="121"/>
        <v>9205.2851935261697</v>
      </c>
      <c r="R308" s="227" t="str">
        <f t="shared" si="100"/>
        <v>0.0945666666666667+0.271841009578899i</v>
      </c>
      <c r="S308" s="227" t="str">
        <f t="shared" si="101"/>
        <v>0.0085-1.83931041447549i</v>
      </c>
      <c r="T308" s="227" t="str">
        <f t="shared" si="102"/>
        <v>0.1484866463362-1.82728354176209i</v>
      </c>
      <c r="U308" s="227" t="str">
        <f t="shared" si="103"/>
        <v>-38.2747566659172-11.2028854698319i</v>
      </c>
      <c r="V308" s="227">
        <f t="shared" si="115"/>
        <v>32.015231991022446</v>
      </c>
      <c r="W308" s="227">
        <f t="shared" si="116"/>
        <v>-163.68543379697994</v>
      </c>
      <c r="X308" s="227" t="str">
        <f t="shared" si="104"/>
        <v>0.999397423818708-0.00780529298519728i</v>
      </c>
      <c r="Y308" s="227" t="str">
        <f t="shared" si="105"/>
        <v>44.1587131133161-102.258174284954i</v>
      </c>
      <c r="Z308" s="227" t="str">
        <f t="shared" si="106"/>
        <v>24.3662738279561-57.6579721527618i</v>
      </c>
      <c r="AA308" s="227" t="str">
        <f t="shared" si="107"/>
        <v>-0.690736085994171-5.29504675926424i</v>
      </c>
      <c r="AB308" s="227">
        <f t="shared" si="117"/>
        <v>14.550678399949151</v>
      </c>
      <c r="AC308" s="227">
        <f t="shared" si="118"/>
        <v>-97.432235871073104</v>
      </c>
      <c r="AD308" s="229">
        <f t="shared" si="119"/>
        <v>-15.472243243770672</v>
      </c>
      <c r="AE308" s="229">
        <f t="shared" si="120"/>
        <v>169.6047721277705</v>
      </c>
      <c r="AF308" s="227">
        <f t="shared" si="108"/>
        <v>-0.92156484382152115</v>
      </c>
      <c r="AG308" s="227">
        <f t="shared" si="109"/>
        <v>72.172536256697398</v>
      </c>
      <c r="AH308" s="229" t="str">
        <f t="shared" si="110"/>
        <v>0.165653416858741-0.0303888295902462i</v>
      </c>
    </row>
    <row r="309" spans="9:34" x14ac:dyDescent="0.2">
      <c r="I309" s="227">
        <v>305</v>
      </c>
      <c r="J309" s="227">
        <f t="shared" si="98"/>
        <v>3.9737873706689371</v>
      </c>
      <c r="K309" s="227">
        <f t="shared" si="97"/>
        <v>9414.2856295102138</v>
      </c>
      <c r="L309" s="227">
        <f t="shared" si="111"/>
        <v>59151.701144930499</v>
      </c>
      <c r="M309" s="227">
        <f t="shared" si="99"/>
        <v>809.60581245958383</v>
      </c>
      <c r="N309" s="227">
        <f>SQRT((ABS(AC309)-171.5+'Small Signal'!C$59)^2)</f>
        <v>3.5163594928870339</v>
      </c>
      <c r="O309" s="227">
        <f t="shared" si="112"/>
        <v>71.6021969651147</v>
      </c>
      <c r="P309" s="227">
        <f t="shared" si="113"/>
        <v>1.099738236524761</v>
      </c>
      <c r="Q309" s="227">
        <f t="shared" si="121"/>
        <v>9414.2856295102138</v>
      </c>
      <c r="R309" s="227" t="str">
        <f t="shared" si="100"/>
        <v>0.0945666666666667+0.278012995381173i</v>
      </c>
      <c r="S309" s="227" t="str">
        <f t="shared" si="101"/>
        <v>0.0085-1.79847707951374i</v>
      </c>
      <c r="T309" s="227" t="str">
        <f t="shared" si="102"/>
        <v>0.142374301792101-1.7871750834015i</v>
      </c>
      <c r="U309" s="227" t="str">
        <f t="shared" si="103"/>
        <v>-36.593820913127-9.72344344174747i</v>
      </c>
      <c r="V309" s="227">
        <f t="shared" si="115"/>
        <v>31.564440724845081</v>
      </c>
      <c r="W309" s="227">
        <f t="shared" si="116"/>
        <v>-165.1196237229907</v>
      </c>
      <c r="X309" s="227" t="str">
        <f t="shared" si="104"/>
        <v>0.999369750941056-0.00798250744434698i</v>
      </c>
      <c r="Y309" s="227" t="str">
        <f t="shared" si="105"/>
        <v>41.2102135549225-99.7313097674064i</v>
      </c>
      <c r="Z309" s="227" t="str">
        <f t="shared" si="106"/>
        <v>22.7098700976553-56.227610147578i</v>
      </c>
      <c r="AA309" s="227" t="str">
        <f t="shared" si="107"/>
        <v>-0.726873349439884-5.18270951444468i</v>
      </c>
      <c r="AB309" s="227">
        <f t="shared" si="117"/>
        <v>14.37573365867128</v>
      </c>
      <c r="AC309" s="227">
        <f t="shared" si="118"/>
        <v>-97.983640507112966</v>
      </c>
      <c r="AD309" s="229">
        <f t="shared" si="119"/>
        <v>-15.475471895196041</v>
      </c>
      <c r="AE309" s="229">
        <f t="shared" si="120"/>
        <v>169.58583747222767</v>
      </c>
      <c r="AF309" s="227">
        <f t="shared" si="108"/>
        <v>-1.099738236524761</v>
      </c>
      <c r="AG309" s="227">
        <f t="shared" si="109"/>
        <v>71.6021969651147</v>
      </c>
      <c r="AH309" s="229" t="str">
        <f t="shared" si="110"/>
        <v>0.165581804930542-0.0304322576143132i</v>
      </c>
    </row>
    <row r="310" spans="9:34" x14ac:dyDescent="0.2">
      <c r="I310" s="227">
        <v>306</v>
      </c>
      <c r="J310" s="227">
        <f t="shared" si="98"/>
        <v>3.9835374931957204</v>
      </c>
      <c r="K310" s="227">
        <f t="shared" si="97"/>
        <v>9628.0312940583954</v>
      </c>
      <c r="L310" s="227">
        <f t="shared" si="111"/>
        <v>60494.704763892965</v>
      </c>
      <c r="M310" s="227">
        <f t="shared" si="99"/>
        <v>1028.204443118113</v>
      </c>
      <c r="N310" s="227">
        <f>SQRT((ABS(AC310)-171.5+'Small Signal'!C$59)^2)</f>
        <v>2.9623326862681267</v>
      </c>
      <c r="O310" s="227">
        <f t="shared" si="112"/>
        <v>71.024104189513707</v>
      </c>
      <c r="P310" s="227">
        <f t="shared" si="113"/>
        <v>1.2774898805650494</v>
      </c>
      <c r="Q310" s="227">
        <f t="shared" si="121"/>
        <v>9628.0312940583954</v>
      </c>
      <c r="R310" s="227" t="str">
        <f t="shared" si="100"/>
        <v>0.0945666666666667+0.284325112390297i</v>
      </c>
      <c r="S310" s="227" t="str">
        <f t="shared" si="101"/>
        <v>0.0085-1.75855025887985i</v>
      </c>
      <c r="T310" s="227" t="str">
        <f t="shared" si="102"/>
        <v>0.136527406935455-1.74792743846162i</v>
      </c>
      <c r="U310" s="227" t="str">
        <f t="shared" si="103"/>
        <v>-34.9675447634623-8.3907254411901i</v>
      </c>
      <c r="V310" s="227">
        <f t="shared" si="115"/>
        <v>31.116433493533087</v>
      </c>
      <c r="W310" s="227">
        <f t="shared" si="116"/>
        <v>-166.50656792264417</v>
      </c>
      <c r="X310" s="227" t="str">
        <f t="shared" si="104"/>
        <v>0.999340807206405-0.00816374545067051i</v>
      </c>
      <c r="Y310" s="227" t="str">
        <f t="shared" si="105"/>
        <v>38.4872944358765-97.2312638262009i</v>
      </c>
      <c r="Z310" s="227" t="str">
        <f t="shared" si="106"/>
        <v>21.1804495004911-54.8128616666191i</v>
      </c>
      <c r="AA310" s="227" t="str">
        <f t="shared" si="107"/>
        <v>-0.761500287820969-5.07250338474414i</v>
      </c>
      <c r="AB310" s="227">
        <f t="shared" si="117"/>
        <v>14.201237083221157</v>
      </c>
      <c r="AC310" s="227">
        <f t="shared" si="118"/>
        <v>-98.537667313731873</v>
      </c>
      <c r="AD310" s="229">
        <f t="shared" si="119"/>
        <v>-15.478726963786206</v>
      </c>
      <c r="AE310" s="229">
        <f t="shared" si="120"/>
        <v>169.56177150324558</v>
      </c>
      <c r="AF310" s="227">
        <f t="shared" si="108"/>
        <v>-1.2774898805650494</v>
      </c>
      <c r="AG310" s="227">
        <f t="shared" si="109"/>
        <v>71.024104189513707</v>
      </c>
      <c r="AH310" s="229" t="str">
        <f t="shared" si="110"/>
        <v>0.165506971890931-0.0304903757988889i</v>
      </c>
    </row>
    <row r="311" spans="9:34" x14ac:dyDescent="0.2">
      <c r="I311" s="227">
        <v>307</v>
      </c>
      <c r="J311" s="227">
        <f t="shared" si="98"/>
        <v>3.9932876157225037</v>
      </c>
      <c r="K311" s="227">
        <f t="shared" si="97"/>
        <v>9846.6299247169245</v>
      </c>
      <c r="L311" s="227">
        <f t="shared" si="111"/>
        <v>61868.200468216215</v>
      </c>
      <c r="M311" s="227">
        <f t="shared" si="99"/>
        <v>1251.7662235490461</v>
      </c>
      <c r="N311" s="227">
        <f>SQRT((ABS(AC311)-171.5+'Small Signal'!C$59)^2)</f>
        <v>2.4055271945781556</v>
      </c>
      <c r="O311" s="227">
        <f t="shared" si="112"/>
        <v>70.438091674677224</v>
      </c>
      <c r="P311" s="227">
        <f t="shared" si="113"/>
        <v>1.4547927605988242</v>
      </c>
      <c r="Q311" s="227">
        <f t="shared" si="121"/>
        <v>9846.6299247169245</v>
      </c>
      <c r="R311" s="227" t="str">
        <f t="shared" si="100"/>
        <v>0.0945666666666667+0.290780542200616i</v>
      </c>
      <c r="S311" s="227" t="str">
        <f t="shared" si="101"/>
        <v>0.0085-1.71950982763846i</v>
      </c>
      <c r="T311" s="227" t="str">
        <f t="shared" si="102"/>
        <v>0.130934556138787-1.70952340243101i</v>
      </c>
      <c r="U311" s="227" t="str">
        <f t="shared" si="103"/>
        <v>-33.3984790724172-7.19061550470397i</v>
      </c>
      <c r="V311" s="227">
        <f t="shared" si="115"/>
        <v>30.671316439704931</v>
      </c>
      <c r="W311" s="227">
        <f t="shared" si="116"/>
        <v>-167.84981786086024</v>
      </c>
      <c r="X311" s="227" t="str">
        <f t="shared" si="104"/>
        <v>0.99931053425156-0.00834909835637437i</v>
      </c>
      <c r="Y311" s="227" t="str">
        <f t="shared" si="105"/>
        <v>35.9715102561164-94.7666939644187i</v>
      </c>
      <c r="Z311" s="227" t="str">
        <f t="shared" si="106"/>
        <v>19.7676043560023-53.4185580656046i</v>
      </c>
      <c r="AA311" s="227" t="str">
        <f t="shared" si="107"/>
        <v>-0.794677305626756-4.96440275717143i</v>
      </c>
      <c r="AB311" s="227">
        <f t="shared" si="117"/>
        <v>14.027222082153692</v>
      </c>
      <c r="AC311" s="227">
        <f t="shared" si="118"/>
        <v>-99.094472805421844</v>
      </c>
      <c r="AD311" s="229">
        <f t="shared" si="119"/>
        <v>-15.482014842752516</v>
      </c>
      <c r="AE311" s="229">
        <f t="shared" si="120"/>
        <v>169.53256448009907</v>
      </c>
      <c r="AF311" s="227">
        <f t="shared" si="108"/>
        <v>-1.4547927605988242</v>
      </c>
      <c r="AG311" s="227">
        <f t="shared" si="109"/>
        <v>70.438091674677224</v>
      </c>
      <c r="AH311" s="229" t="str">
        <f t="shared" si="110"/>
        <v>0.165428775870578-0.0305631691570575i</v>
      </c>
    </row>
    <row r="312" spans="9:34" x14ac:dyDescent="0.2">
      <c r="I312" s="227">
        <v>308</v>
      </c>
      <c r="J312" s="227">
        <f t="shared" si="98"/>
        <v>4.0030377382492865</v>
      </c>
      <c r="K312" s="227">
        <f t="shared" si="97"/>
        <v>10070.191705147858</v>
      </c>
      <c r="L312" s="227">
        <f t="shared" si="111"/>
        <v>63272.880562266764</v>
      </c>
      <c r="M312" s="227">
        <f t="shared" si="99"/>
        <v>1480.4038390678779</v>
      </c>
      <c r="N312" s="227">
        <f>SQRT((ABS(AC312)-171.5+'Small Signal'!C$59)^2)</f>
        <v>1.8457900955336584</v>
      </c>
      <c r="O312" s="227">
        <f t="shared" si="112"/>
        <v>69.843994696462772</v>
      </c>
      <c r="P312" s="227">
        <f t="shared" si="113"/>
        <v>1.6316195081064162</v>
      </c>
      <c r="Q312" s="227">
        <f t="shared" si="121"/>
        <v>10070.191705147858</v>
      </c>
      <c r="R312" s="227" t="str">
        <f t="shared" si="100"/>
        <v>0.0945666666666667+0.297382538642654i</v>
      </c>
      <c r="S312" s="227" t="str">
        <f t="shared" si="101"/>
        <v>0.0085-1.68133610763482i</v>
      </c>
      <c r="T312" s="227" t="str">
        <f t="shared" si="102"/>
        <v>0.12558482337204-1.67194603099441i</v>
      </c>
      <c r="U312" s="227" t="str">
        <f t="shared" si="103"/>
        <v>-31.8880720617203-6.11027591289785i</v>
      </c>
      <c r="V312" s="227">
        <f t="shared" si="115"/>
        <v>30.229166723135997</v>
      </c>
      <c r="W312" s="227">
        <f t="shared" si="116"/>
        <v>-169.15267628485435</v>
      </c>
      <c r="X312" s="227" t="str">
        <f t="shared" si="104"/>
        <v>0.999278871033042-0.00853865958776163i</v>
      </c>
      <c r="Y312" s="227" t="str">
        <f t="shared" si="105"/>
        <v>33.6457747213043-92.3442906524489i</v>
      </c>
      <c r="Z312" s="227" t="str">
        <f t="shared" si="106"/>
        <v>18.4616970789812-52.0484262004616i</v>
      </c>
      <c r="AA312" s="227" t="str">
        <f t="shared" si="107"/>
        <v>-0.826462657706585-4.85838127291636i</v>
      </c>
      <c r="AB312" s="227">
        <f t="shared" si="117"/>
        <v>13.853722476754047</v>
      </c>
      <c r="AC312" s="227">
        <f t="shared" si="118"/>
        <v>-99.654209904466342</v>
      </c>
      <c r="AD312" s="229">
        <f t="shared" si="119"/>
        <v>-15.485341984860463</v>
      </c>
      <c r="AE312" s="229">
        <f t="shared" si="120"/>
        <v>169.49820460092911</v>
      </c>
      <c r="AF312" s="227">
        <f t="shared" si="108"/>
        <v>-1.6316195081064162</v>
      </c>
      <c r="AG312" s="227">
        <f t="shared" si="109"/>
        <v>69.843994696462772</v>
      </c>
      <c r="AH312" s="229" t="str">
        <f t="shared" si="110"/>
        <v>0.165347069048784-0.0306506271236133i</v>
      </c>
    </row>
    <row r="313" spans="9:34" x14ac:dyDescent="0.2">
      <c r="I313" s="227">
        <v>309</v>
      </c>
      <c r="J313" s="227">
        <f t="shared" si="98"/>
        <v>4.0127878607760703</v>
      </c>
      <c r="K313" s="227">
        <f t="shared" si="97"/>
        <v>10298.829320666689</v>
      </c>
      <c r="L313" s="227">
        <f t="shared" si="111"/>
        <v>64709.453068763265</v>
      </c>
      <c r="M313" s="227">
        <f t="shared" si="99"/>
        <v>1714.2325334421002</v>
      </c>
      <c r="N313" s="227">
        <f>SQRT((ABS(AC313)-171.5+'Small Signal'!C$59)^2)</f>
        <v>1.2829723443577166</v>
      </c>
      <c r="O313" s="227">
        <f t="shared" si="112"/>
        <v>69.241650353406584</v>
      </c>
      <c r="P313" s="227">
        <f t="shared" si="113"/>
        <v>1.8079423962885297</v>
      </c>
      <c r="Q313" s="227">
        <f t="shared" si="121"/>
        <v>10298.829320666689</v>
      </c>
      <c r="R313" s="227" t="str">
        <f t="shared" si="100"/>
        <v>0.0945666666666667+0.304134429423187i</v>
      </c>
      <c r="S313" s="227" t="str">
        <f t="shared" si="101"/>
        <v>0.0085-1.64400985757609i</v>
      </c>
      <c r="T313" s="227" t="str">
        <f t="shared" si="102"/>
        <v>0.12046774293441-1.63517864193607i</v>
      </c>
      <c r="U313" s="227" t="str">
        <f t="shared" si="103"/>
        <v>-30.4368972350987-5.13806584700002i</v>
      </c>
      <c r="V313" s="227">
        <f t="shared" si="115"/>
        <v>29.790037695019016</v>
      </c>
      <c r="W313" s="227">
        <f t="shared" si="116"/>
        <v>-170.41821034627716</v>
      </c>
      <c r="X313" s="227" t="str">
        <f t="shared" si="104"/>
        <v>0.999245753703991-0.00873252469232313i</v>
      </c>
      <c r="Y313" s="227" t="str">
        <f t="shared" si="105"/>
        <v>31.4943297534675-89.9691183452049i</v>
      </c>
      <c r="Z313" s="227" t="str">
        <f t="shared" si="106"/>
        <v>17.2538419171389-50.7052803961083i</v>
      </c>
      <c r="AA313" s="227" t="str">
        <f t="shared" si="107"/>
        <v>-0.856912504511437-4.75441191721621i</v>
      </c>
      <c r="AB313" s="227">
        <f t="shared" si="117"/>
        <v>13.680772517768363</v>
      </c>
      <c r="AC313" s="227">
        <f t="shared" si="118"/>
        <v>-100.21702765564228</v>
      </c>
      <c r="AD313" s="229">
        <f t="shared" si="119"/>
        <v>-15.488714914056892</v>
      </c>
      <c r="AE313" s="229">
        <f t="shared" si="120"/>
        <v>169.45867800904887</v>
      </c>
      <c r="AF313" s="227">
        <f t="shared" si="108"/>
        <v>-1.8079423962885297</v>
      </c>
      <c r="AG313" s="227">
        <f t="shared" si="109"/>
        <v>69.241650353406584</v>
      </c>
      <c r="AH313" s="229" t="str">
        <f t="shared" si="110"/>
        <v>0.165261697430805-0.0307527433551727i</v>
      </c>
    </row>
    <row r="314" spans="9:34" x14ac:dyDescent="0.2">
      <c r="I314" s="227">
        <v>310</v>
      </c>
      <c r="J314" s="227">
        <f t="shared" si="98"/>
        <v>4.0225379833028541</v>
      </c>
      <c r="K314" s="227">
        <f t="shared" si="97"/>
        <v>10532.658015040912</v>
      </c>
      <c r="L314" s="227">
        <f t="shared" si="111"/>
        <v>66178.642085652362</v>
      </c>
      <c r="M314" s="227">
        <f t="shared" si="99"/>
        <v>1953.3701669792463</v>
      </c>
      <c r="N314" s="227">
        <f>SQRT((ABS(AC314)-171.5+'Small Signal'!C$59)^2)</f>
        <v>0.71692906589363758</v>
      </c>
      <c r="O314" s="227">
        <f t="shared" si="112"/>
        <v>68.630897866364833</v>
      </c>
      <c r="P314" s="227">
        <f t="shared" si="113"/>
        <v>1.9837333370503494</v>
      </c>
      <c r="Q314" s="227">
        <f t="shared" si="121"/>
        <v>10532.658015040912</v>
      </c>
      <c r="R314" s="227" t="str">
        <f t="shared" si="100"/>
        <v>0.0945666666666667+0.311039617802566i</v>
      </c>
      <c r="S314" s="227" t="str">
        <f t="shared" si="101"/>
        <v>0.0085-1.60751226333289i</v>
      </c>
      <c r="T314" s="227" t="str">
        <f t="shared" si="102"/>
        <v>0.115573290882303-1.59920481652674i</v>
      </c>
      <c r="U314" s="227" t="str">
        <f t="shared" si="103"/>
        <v>-29.0448412062828-4.26345363704941i</v>
      </c>
      <c r="V314" s="227">
        <f t="shared" si="115"/>
        <v>29.353963290240451</v>
      </c>
      <c r="W314" s="227">
        <f t="shared" si="116"/>
        <v>-171.64926541166318</v>
      </c>
      <c r="X314" s="227" t="str">
        <f t="shared" si="104"/>
        <v>0.999211115485427-0.00893079138689773i</v>
      </c>
      <c r="Y314" s="227" t="str">
        <f t="shared" si="105"/>
        <v>29.5026915753227-87.6449038140643i</v>
      </c>
      <c r="Z314" s="227" t="str">
        <f t="shared" si="106"/>
        <v>16.1358739031204-49.3911846911669i</v>
      </c>
      <c r="AA314" s="227" t="str">
        <f t="shared" si="107"/>
        <v>-0.886080967945682-4.65246710360992i</v>
      </c>
      <c r="AB314" s="227">
        <f t="shared" si="117"/>
        <v>13.5084069001306</v>
      </c>
      <c r="AC314" s="227">
        <f t="shared" si="118"/>
        <v>-100.78307093410636</v>
      </c>
      <c r="AD314" s="229">
        <f t="shared" si="119"/>
        <v>-15.49214023718095</v>
      </c>
      <c r="AE314" s="229">
        <f t="shared" si="120"/>
        <v>169.4139688004712</v>
      </c>
      <c r="AF314" s="227">
        <f t="shared" si="108"/>
        <v>-1.9837333370503494</v>
      </c>
      <c r="AG314" s="227">
        <f t="shared" si="109"/>
        <v>68.630897866364833</v>
      </c>
      <c r="AH314" s="229" t="str">
        <f t="shared" si="110"/>
        <v>0.165172500619437-0.0308695155203176i</v>
      </c>
    </row>
    <row r="315" spans="9:34" x14ac:dyDescent="0.2">
      <c r="I315" s="227">
        <v>311</v>
      </c>
      <c r="J315" s="227">
        <f t="shared" si="98"/>
        <v>4.0322881058296378</v>
      </c>
      <c r="K315" s="227">
        <f t="shared" si="97"/>
        <v>10771.795648578058</v>
      </c>
      <c r="L315" s="227">
        <f t="shared" si="111"/>
        <v>67681.188151086651</v>
      </c>
      <c r="M315" s="227">
        <f t="shared" si="99"/>
        <v>2197.9372759338676</v>
      </c>
      <c r="N315" s="227">
        <f>SQRT((ABS(AC315)-171.5+'Small Signal'!C$59)^2)</f>
        <v>0.14751985349225549</v>
      </c>
      <c r="O315" s="227">
        <f t="shared" si="112"/>
        <v>68.01157888620763</v>
      </c>
      <c r="P315" s="227">
        <f t="shared" si="113"/>
        <v>2.1589638802443378</v>
      </c>
      <c r="Q315" s="227">
        <f t="shared" si="121"/>
        <v>10771.795648578058</v>
      </c>
      <c r="R315" s="227" t="str">
        <f t="shared" si="100"/>
        <v>0.0945666666666667+0.318101584310107i</v>
      </c>
      <c r="S315" s="227" t="str">
        <f t="shared" si="101"/>
        <v>0.0085-1.57182492845608i</v>
      </c>
      <c r="T315" s="227" t="str">
        <f t="shared" si="102"/>
        <v>0.11089186713526-1.564008400434i</v>
      </c>
      <c r="U315" s="227" t="str">
        <f t="shared" si="103"/>
        <v>-27.7112576288148-3.4769272741274i</v>
      </c>
      <c r="V315" s="227">
        <f t="shared" si="115"/>
        <v>28.920961742992102</v>
      </c>
      <c r="W315" s="227">
        <f t="shared" si="116"/>
        <v>-172.84847905404405</v>
      </c>
      <c r="X315" s="227" t="str">
        <f t="shared" si="104"/>
        <v>0.999174886531593-0.00913355960692603i</v>
      </c>
      <c r="Y315" s="227" t="str">
        <f t="shared" si="105"/>
        <v>27.6575824574698-85.3742786302292i</v>
      </c>
      <c r="Z315" s="227" t="str">
        <f t="shared" si="106"/>
        <v>15.1003098415965-48.1075892290871i</v>
      </c>
      <c r="AA315" s="227" t="str">
        <f t="shared" si="107"/>
        <v>-0.91402018758666-4.55251875282705i</v>
      </c>
      <c r="AB315" s="227">
        <f t="shared" si="117"/>
        <v>13.336660775526353</v>
      </c>
      <c r="AC315" s="227">
        <f t="shared" si="118"/>
        <v>-101.35248014650774</v>
      </c>
      <c r="AD315" s="229">
        <f t="shared" si="119"/>
        <v>-15.49562465577069</v>
      </c>
      <c r="AE315" s="229">
        <f t="shared" si="120"/>
        <v>169.36405903271537</v>
      </c>
      <c r="AF315" s="227">
        <f t="shared" si="108"/>
        <v>-2.1589638802443378</v>
      </c>
      <c r="AG315" s="227">
        <f t="shared" si="109"/>
        <v>68.01157888620763</v>
      </c>
      <c r="AH315" s="229" t="str">
        <f t="shared" si="110"/>
        <v>0.165079311581-0.0310009450789833i</v>
      </c>
    </row>
    <row r="316" spans="9:34" x14ac:dyDescent="0.2">
      <c r="I316" s="227">
        <v>312</v>
      </c>
      <c r="J316" s="227">
        <f t="shared" si="98"/>
        <v>4.0420382283564207</v>
      </c>
      <c r="K316" s="227">
        <f t="shared" si="97"/>
        <v>11016.362757532679</v>
      </c>
      <c r="L316" s="227">
        <f t="shared" si="111"/>
        <v>69217.84861668972</v>
      </c>
      <c r="M316" s="227">
        <f t="shared" si="99"/>
        <v>2448.0571332634117</v>
      </c>
      <c r="N316" s="227">
        <f>SQRT((ABS(AC316)-171.5+'Small Signal'!C$59)^2)</f>
        <v>0.4253909254723709</v>
      </c>
      <c r="O316" s="227">
        <f t="shared" si="112"/>
        <v>67.383537809482576</v>
      </c>
      <c r="P316" s="227">
        <f t="shared" si="113"/>
        <v>2.3336052153457096</v>
      </c>
      <c r="Q316" s="227">
        <f t="shared" si="121"/>
        <v>11016.362757532679</v>
      </c>
      <c r="R316" s="227" t="str">
        <f t="shared" si="100"/>
        <v>0.0945666666666667+0.325323888498442i</v>
      </c>
      <c r="S316" s="227" t="str">
        <f t="shared" si="101"/>
        <v>0.0085-1.53692986490414i</v>
      </c>
      <c r="T316" s="227" t="str">
        <f t="shared" si="102"/>
        <v>0.106414278241469-1.52957350419301i</v>
      </c>
      <c r="U316" s="227" t="str">
        <f t="shared" si="103"/>
        <v>-26.4350927002411-2.76990636935651i</v>
      </c>
      <c r="V316" s="227">
        <f t="shared" si="115"/>
        <v>28.49103872012272</v>
      </c>
      <c r="W316" s="227">
        <f t="shared" si="116"/>
        <v>-174.01829486447417</v>
      </c>
      <c r="X316" s="227" t="str">
        <f t="shared" si="104"/>
        <v>0.999136993789116-0.00934093155682238i</v>
      </c>
      <c r="Y316" s="227" t="str">
        <f t="shared" si="105"/>
        <v>25.946854422401-83.1589821788779i</v>
      </c>
      <c r="Z316" s="227" t="str">
        <f t="shared" si="106"/>
        <v>14.1403048606912-46.8554444031656i</v>
      </c>
      <c r="AA316" s="227" t="str">
        <f t="shared" si="107"/>
        <v>-0.940780377055-4.4545383665561i</v>
      </c>
      <c r="AB316" s="227">
        <f t="shared" si="117"/>
        <v>13.165569762632884</v>
      </c>
      <c r="AC316" s="227">
        <f t="shared" si="118"/>
        <v>-101.92539092547237</v>
      </c>
      <c r="AD316" s="229">
        <f t="shared" si="119"/>
        <v>-15.499174977978594</v>
      </c>
      <c r="AE316" s="229">
        <f t="shared" si="120"/>
        <v>169.30892873495495</v>
      </c>
      <c r="AF316" s="227">
        <f t="shared" si="108"/>
        <v>-2.3336052153457096</v>
      </c>
      <c r="AG316" s="227">
        <f t="shared" si="109"/>
        <v>67.383537809482576</v>
      </c>
      <c r="AH316" s="229" t="str">
        <f t="shared" si="110"/>
        <v>0.164981956405862-0.0311470370502745i</v>
      </c>
    </row>
    <row r="317" spans="9:34" x14ac:dyDescent="0.2">
      <c r="I317" s="227">
        <v>313</v>
      </c>
      <c r="J317" s="227">
        <f t="shared" si="98"/>
        <v>4.0517883508832035</v>
      </c>
      <c r="K317" s="227">
        <f t="shared" si="97"/>
        <v>11266.482614862223</v>
      </c>
      <c r="L317" s="227">
        <f t="shared" si="111"/>
        <v>70789.398029296572</v>
      </c>
      <c r="M317" s="227">
        <f t="shared" si="99"/>
        <v>2703.8558107632525</v>
      </c>
      <c r="N317" s="227">
        <f>SQRT((ABS(AC317)-171.5+'Small Signal'!C$59)^2)</f>
        <v>1.0019338176904995</v>
      </c>
      <c r="O317" s="227">
        <f t="shared" si="112"/>
        <v>66.746622101890623</v>
      </c>
      <c r="P317" s="227">
        <f t="shared" si="113"/>
        <v>2.5076281757387591</v>
      </c>
      <c r="Q317" s="227">
        <f t="shared" si="121"/>
        <v>11266.482614862223</v>
      </c>
      <c r="R317" s="227" t="str">
        <f t="shared" si="100"/>
        <v>0.0945666666666667+0.332710170737694i</v>
      </c>
      <c r="S317" s="227" t="str">
        <f t="shared" si="101"/>
        <v>0.0085-1.50280948397636i</v>
      </c>
      <c r="T317" s="227" t="str">
        <f t="shared" si="102"/>
        <v>0.102131720784368-1.49588450327272i</v>
      </c>
      <c r="U317" s="227" t="str">
        <f t="shared" si="103"/>
        <v>-25.2149869904492-2.13465763997191i</v>
      </c>
      <c r="V317" s="227">
        <f t="shared" si="115"/>
        <v>28.064189955665512</v>
      </c>
      <c r="W317" s="227">
        <f t="shared" si="116"/>
        <v>-175.16097583384112</v>
      </c>
      <c r="X317" s="227" t="str">
        <f t="shared" si="104"/>
        <v>0.9990973608497-0.00955301176149065i</v>
      </c>
      <c r="Y317" s="227" t="str">
        <f t="shared" si="105"/>
        <v>24.3594094328881-81.0000309815806i</v>
      </c>
      <c r="Z317" s="227" t="str">
        <f t="shared" si="106"/>
        <v>13.2496070636971-45.6352960197925i</v>
      </c>
      <c r="AA317" s="227" t="str">
        <f t="shared" si="107"/>
        <v>-0.966409880339833-4.35849709633128i</v>
      </c>
      <c r="AB317" s="227">
        <f t="shared" si="117"/>
        <v>12.995169954868837</v>
      </c>
      <c r="AC317" s="227">
        <f t="shared" si="118"/>
        <v>-102.5019338176905</v>
      </c>
      <c r="AD317" s="229">
        <f t="shared" si="119"/>
        <v>-15.502798130607596</v>
      </c>
      <c r="AE317" s="229">
        <f t="shared" si="120"/>
        <v>169.24855591958112</v>
      </c>
      <c r="AF317" s="227">
        <f t="shared" si="108"/>
        <v>-2.5076281757387591</v>
      </c>
      <c r="AG317" s="227">
        <f t="shared" si="109"/>
        <v>66.746622101890623</v>
      </c>
      <c r="AH317" s="229" t="str">
        <f t="shared" si="110"/>
        <v>0.164880254063713-0.031307799767852i</v>
      </c>
    </row>
    <row r="318" spans="9:34" x14ac:dyDescent="0.2">
      <c r="I318" s="227">
        <v>314</v>
      </c>
      <c r="J318" s="227">
        <f t="shared" si="98"/>
        <v>4.0615384734099873</v>
      </c>
      <c r="K318" s="227">
        <f t="shared" si="97"/>
        <v>11522.281292362064</v>
      </c>
      <c r="L318" s="227">
        <f t="shared" si="111"/>
        <v>72396.62852135954</v>
      </c>
      <c r="M318" s="227">
        <f t="shared" si="99"/>
        <v>2965.462242612648</v>
      </c>
      <c r="N318" s="227">
        <f>SQRT((ABS(AC318)-171.5+'Small Signal'!C$59)^2)</f>
        <v>1.5822339659575277</v>
      </c>
      <c r="O318" s="227">
        <f t="shared" si="112"/>
        <v>66.1006826293046</v>
      </c>
      <c r="P318" s="227">
        <f t="shared" si="113"/>
        <v>2.6810032457904658</v>
      </c>
      <c r="Q318" s="227">
        <f t="shared" si="121"/>
        <v>11522.281292362064</v>
      </c>
      <c r="R318" s="227" t="str">
        <f t="shared" si="100"/>
        <v>0.0945666666666667+0.34026415405039i</v>
      </c>
      <c r="S318" s="227" t="str">
        <f t="shared" si="101"/>
        <v>0.0085-1.46944658744734i</v>
      </c>
      <c r="T318" s="227" t="str">
        <f t="shared" si="102"/>
        <v>0.0980357654117987-1.46292603777012i</v>
      </c>
      <c r="U318" s="227" t="str">
        <f t="shared" si="103"/>
        <v>-24.0493576596115-1.5642151996499i</v>
      </c>
      <c r="V318" s="227">
        <f t="shared" si="115"/>
        <v>27.640403459490205</v>
      </c>
      <c r="W318" s="227">
        <f t="shared" si="116"/>
        <v>-176.27861713978746</v>
      </c>
      <c r="X318" s="227" t="str">
        <f t="shared" si="104"/>
        <v>0.999055907796051-0.00976990711900944i</v>
      </c>
      <c r="Y318" s="227" t="str">
        <f t="shared" si="105"/>
        <v>22.8851192498245-78.897859449666i</v>
      </c>
      <c r="Z318" s="227" t="str">
        <f t="shared" si="106"/>
        <v>12.4225120625713-44.4473643723212i</v>
      </c>
      <c r="AA318" s="227" t="str">
        <f t="shared" si="107"/>
        <v>-0.990955227905337-4.2643658077737i</v>
      </c>
      <c r="AB318" s="227">
        <f t="shared" si="117"/>
        <v>12.825497925488962</v>
      </c>
      <c r="AC318" s="227">
        <f t="shared" si="118"/>
        <v>-103.08223396595753</v>
      </c>
      <c r="AD318" s="229">
        <f t="shared" si="119"/>
        <v>-15.506501171279428</v>
      </c>
      <c r="AE318" s="229">
        <f t="shared" si="120"/>
        <v>169.18291659526213</v>
      </c>
      <c r="AF318" s="227">
        <f t="shared" si="108"/>
        <v>-2.6810032457904658</v>
      </c>
      <c r="AG318" s="227">
        <f t="shared" si="109"/>
        <v>66.1006826293046</v>
      </c>
      <c r="AH318" s="229" t="str">
        <f t="shared" si="110"/>
        <v>0.164774016153828-0.031483244622004i</v>
      </c>
    </row>
    <row r="319" spans="9:34" x14ac:dyDescent="0.2">
      <c r="I319" s="227">
        <v>315</v>
      </c>
      <c r="J319" s="227">
        <f t="shared" si="98"/>
        <v>4.0712885959367711</v>
      </c>
      <c r="K319" s="227">
        <f t="shared" ref="K319:K382" si="122">10^(J319)</f>
        <v>11783.887724211459</v>
      </c>
      <c r="L319" s="227">
        <f t="shared" si="111"/>
        <v>74040.350210219331</v>
      </c>
      <c r="M319" s="227">
        <f t="shared" si="99"/>
        <v>3233.0082903634629</v>
      </c>
      <c r="N319" s="227">
        <f>SQRT((ABS(AC319)-171.5+'Small Signal'!C$59)^2)</f>
        <v>2.1664107856167618</v>
      </c>
      <c r="O319" s="227">
        <f t="shared" si="112"/>
        <v>65.445573995973035</v>
      </c>
      <c r="P319" s="227">
        <f t="shared" si="113"/>
        <v>2.8537005708938885</v>
      </c>
      <c r="Q319" s="227">
        <f t="shared" si="121"/>
        <v>11783.887724211459</v>
      </c>
      <c r="R319" s="227" t="str">
        <f t="shared" si="100"/>
        <v>0.0945666666666667+0.347989645988031i</v>
      </c>
      <c r="S319" s="227" t="str">
        <f t="shared" si="101"/>
        <v>0.0085-1.4368243588983i</v>
      </c>
      <c r="T319" s="227" t="str">
        <f t="shared" si="102"/>
        <v>0.0941183414692034-1.43068301176321i</v>
      </c>
      <c r="U319" s="227" t="str">
        <f t="shared" si="103"/>
        <v>-22.9364645085698-1.05230635508505i</v>
      </c>
      <c r="V319" s="227">
        <f t="shared" si="115"/>
        <v>27.219661363331923</v>
      </c>
      <c r="W319" s="227">
        <f t="shared" si="116"/>
        <v>-177.37315823669732</v>
      </c>
      <c r="X319" s="227" t="str">
        <f t="shared" si="104"/>
        <v>0.999012551040734-0.00999172695451356i</v>
      </c>
      <c r="Y319" s="227" t="str">
        <f t="shared" si="105"/>
        <v>21.514747136353-76.8524365406283i</v>
      </c>
      <c r="Z319" s="227" t="str">
        <f t="shared" si="106"/>
        <v>11.6538186084597-43.291609749184i</v>
      </c>
      <c r="AA319" s="227" t="str">
        <f t="shared" si="107"/>
        <v>-1.01446119242295-4.17211514041521i</v>
      </c>
      <c r="AB319" s="227">
        <f t="shared" si="117"/>
        <v>12.656590729853512</v>
      </c>
      <c r="AC319" s="227">
        <f t="shared" si="118"/>
        <v>-103.66641078561676</v>
      </c>
      <c r="AD319" s="229">
        <f t="shared" si="119"/>
        <v>-15.510291300747401</v>
      </c>
      <c r="AE319" s="229">
        <f t="shared" si="120"/>
        <v>169.1119847815898</v>
      </c>
      <c r="AF319" s="227">
        <f t="shared" si="108"/>
        <v>-2.8537005708938885</v>
      </c>
      <c r="AG319" s="227">
        <f t="shared" si="109"/>
        <v>65.445573995973035</v>
      </c>
      <c r="AH319" s="229" t="str">
        <f t="shared" si="110"/>
        <v>0.164663046650595-0.0316733857874705i</v>
      </c>
    </row>
    <row r="320" spans="9:34" x14ac:dyDescent="0.2">
      <c r="I320" s="227">
        <v>316</v>
      </c>
      <c r="J320" s="227">
        <f t="shared" si="98"/>
        <v>4.0810387184635548</v>
      </c>
      <c r="K320" s="227">
        <f t="shared" si="122"/>
        <v>12051.433771962274</v>
      </c>
      <c r="L320" s="227">
        <f t="shared" si="111"/>
        <v>75721.391606441219</v>
      </c>
      <c r="M320" s="227">
        <f t="shared" si="99"/>
        <v>3506.6288094044503</v>
      </c>
      <c r="N320" s="227">
        <f>SQRT((ABS(AC320)-171.5+'Small Signal'!C$59)^2)</f>
        <v>2.7545776359847167</v>
      </c>
      <c r="O320" s="227">
        <f t="shared" si="112"/>
        <v>64.781154889427327</v>
      </c>
      <c r="P320" s="227">
        <f t="shared" si="113"/>
        <v>3.0256899706563072</v>
      </c>
      <c r="Q320" s="227">
        <f t="shared" si="121"/>
        <v>12051.433771962274</v>
      </c>
      <c r="R320" s="227" t="str">
        <f t="shared" si="100"/>
        <v>0.0945666666666667+0.355890540550274i</v>
      </c>
      <c r="S320" s="227" t="str">
        <f t="shared" si="101"/>
        <v>0.0085-1.40492635524087i</v>
      </c>
      <c r="T320" s="227" t="str">
        <f t="shared" si="102"/>
        <v>0.0903717222184539-1.39914059235136i</v>
      </c>
      <c r="U320" s="227" t="str">
        <f t="shared" si="103"/>
        <v>-21.8744627530721-0.593283206912588i</v>
      </c>
      <c r="V320" s="227">
        <f t="shared" si="115"/>
        <v>26.801941458688066</v>
      </c>
      <c r="W320" s="227">
        <f t="shared" si="116"/>
        <v>-178.44639419329218</v>
      </c>
      <c r="X320" s="227" t="str">
        <f t="shared" si="104"/>
        <v>0.998967203157618-0.010218583075299i</v>
      </c>
      <c r="Y320" s="227" t="str">
        <f t="shared" si="105"/>
        <v>20.239872836825-74.8633621761686i</v>
      </c>
      <c r="Z320" s="227" t="str">
        <f t="shared" si="106"/>
        <v>10.9387861145595-42.1677865526035i</v>
      </c>
      <c r="AA320" s="227" t="str">
        <f t="shared" si="107"/>
        <v>-1.03697084399303-4.08171556332917i</v>
      </c>
      <c r="AB320" s="227">
        <f t="shared" si="117"/>
        <v>12.488485904706668</v>
      </c>
      <c r="AC320" s="227">
        <f t="shared" si="118"/>
        <v>-104.25457763598472</v>
      </c>
      <c r="AD320" s="229">
        <f t="shared" si="119"/>
        <v>-15.514175875362975</v>
      </c>
      <c r="AE320" s="229">
        <f t="shared" si="120"/>
        <v>169.03573252541204</v>
      </c>
      <c r="AF320" s="227">
        <f t="shared" si="108"/>
        <v>-3.0256899706563072</v>
      </c>
      <c r="AG320" s="227">
        <f t="shared" si="109"/>
        <v>64.781154889427327</v>
      </c>
      <c r="AH320" s="229" t="str">
        <f t="shared" si="110"/>
        <v>0.164547141644678-0.0318782399360666i</v>
      </c>
    </row>
    <row r="321" spans="9:34" x14ac:dyDescent="0.2">
      <c r="I321" s="227">
        <v>317</v>
      </c>
      <c r="J321" s="227">
        <f t="shared" si="98"/>
        <v>4.0907888409903386</v>
      </c>
      <c r="K321" s="227">
        <f t="shared" si="122"/>
        <v>12325.054291003262</v>
      </c>
      <c r="L321" s="227">
        <f t="shared" si="111"/>
        <v>77440.600031422407</v>
      </c>
      <c r="M321" s="227">
        <f t="shared" si="99"/>
        <v>3786.4617169343619</v>
      </c>
      <c r="N321" s="227">
        <f>SQRT((ABS(AC321)-171.5+'Small Signal'!C$59)^2)</f>
        <v>3.3468414874527355</v>
      </c>
      <c r="O321" s="227">
        <f t="shared" si="112"/>
        <v>64.107288431507783</v>
      </c>
      <c r="P321" s="227">
        <f t="shared" si="113"/>
        <v>3.196940955413913</v>
      </c>
      <c r="Q321" s="227">
        <f t="shared" si="121"/>
        <v>12325.054291003262</v>
      </c>
      <c r="R321" s="227" t="str">
        <f t="shared" si="100"/>
        <v>0.0945666666666667+0.363970820147685i</v>
      </c>
      <c r="S321" s="227" t="str">
        <f t="shared" si="101"/>
        <v>0.0085-1.37373649842896i</v>
      </c>
      <c r="T321" s="227" t="str">
        <f t="shared" si="102"/>
        <v>0.0867885106240086-1.36828420840979i</v>
      </c>
      <c r="U321" s="227" t="str">
        <f t="shared" si="103"/>
        <v>-20.8614449342478-0.182060076370834i</v>
      </c>
      <c r="V321" s="227">
        <f t="shared" si="115"/>
        <v>26.387218473287746</v>
      </c>
      <c r="W321" s="227">
        <f t="shared" si="116"/>
        <v>-179.49998625621544</v>
      </c>
      <c r="X321" s="227" t="str">
        <f t="shared" si="104"/>
        <v>0.998919772705592-0.0104505898271787i</v>
      </c>
      <c r="Y321" s="227" t="str">
        <f t="shared" si="105"/>
        <v>19.0528217107759-72.9299467214116i</v>
      </c>
      <c r="Z321" s="227" t="str">
        <f t="shared" si="106"/>
        <v>10.2730945591519-41.0754878881232i</v>
      </c>
      <c r="AA321" s="227" t="str">
        <f t="shared" si="107"/>
        <v>-1.05852560473488-3.99313742678338i</v>
      </c>
      <c r="AB321" s="227">
        <f t="shared" si="117"/>
        <v>12.321221464294103</v>
      </c>
      <c r="AC321" s="227">
        <f t="shared" si="118"/>
        <v>-104.84684148745274</v>
      </c>
      <c r="AD321" s="229">
        <f t="shared" si="119"/>
        <v>-15.518162419708016</v>
      </c>
      <c r="AE321" s="229">
        <f t="shared" si="120"/>
        <v>168.95412991896052</v>
      </c>
      <c r="AF321" s="227">
        <f t="shared" si="108"/>
        <v>-3.196940955413913</v>
      </c>
      <c r="AG321" s="227">
        <f t="shared" si="109"/>
        <v>64.107288431507783</v>
      </c>
      <c r="AH321" s="229" t="str">
        <f t="shared" si="110"/>
        <v>0.164426089080187-0.0320978259331018i</v>
      </c>
    </row>
    <row r="322" spans="9:34" x14ac:dyDescent="0.2">
      <c r="I322" s="227">
        <v>318</v>
      </c>
      <c r="J322" s="227">
        <f t="shared" si="98"/>
        <v>4.1005389635171214</v>
      </c>
      <c r="K322" s="227">
        <f t="shared" si="122"/>
        <v>12604.887198533173</v>
      </c>
      <c r="L322" s="227">
        <f t="shared" si="111"/>
        <v>79198.842044479694</v>
      </c>
      <c r="M322" s="227">
        <f t="shared" si="99"/>
        <v>4072.6480614786269</v>
      </c>
      <c r="N322" s="227">
        <f>SQRT((ABS(AC322)-171.5+'Small Signal'!C$59)^2)</f>
        <v>3.9433025850929653</v>
      </c>
      <c r="O322" s="227">
        <f t="shared" si="112"/>
        <v>63.423842534799348</v>
      </c>
      <c r="P322" s="227">
        <f t="shared" si="113"/>
        <v>3.3674227462418767</v>
      </c>
      <c r="Q322" s="227">
        <f t="shared" si="121"/>
        <v>12604.887198533173</v>
      </c>
      <c r="R322" s="227" t="str">
        <f t="shared" si="100"/>
        <v>0.0945666666666667+0.372234557609055i</v>
      </c>
      <c r="S322" s="227" t="str">
        <f t="shared" si="101"/>
        <v>0.0085-1.34323906735477i</v>
      </c>
      <c r="T322" s="227" t="str">
        <f t="shared" si="102"/>
        <v>0.0833616256883515-1.33809954908352i</v>
      </c>
      <c r="U322" s="227" t="str">
        <f t="shared" si="103"/>
        <v>-19.8954739674915+0.185943404306742i</v>
      </c>
      <c r="V322" s="227">
        <f t="shared" si="115"/>
        <v>25.975465126007485</v>
      </c>
      <c r="W322" s="227">
        <f t="shared" si="116"/>
        <v>-180.53547164211784</v>
      </c>
      <c r="X322" s="227" t="str">
        <f t="shared" si="104"/>
        <v>0.998870164044176-0.0106878641521183i</v>
      </c>
      <c r="Y322" s="227" t="str">
        <f t="shared" si="105"/>
        <v>17.9465985059173-71.0512763271206i</v>
      </c>
      <c r="Z322" s="227" t="str">
        <f t="shared" si="106"/>
        <v>9.65280703470832-40.014182203945i</v>
      </c>
      <c r="AA322" s="227" t="str">
        <f t="shared" si="107"/>
        <v>-1.07916530264038-3.90635101012653i</v>
      </c>
      <c r="AB322" s="227">
        <f t="shared" si="117"/>
        <v>12.154835893158955</v>
      </c>
      <c r="AC322" s="227">
        <f t="shared" si="118"/>
        <v>-105.44330258509297</v>
      </c>
      <c r="AD322" s="229">
        <f t="shared" si="119"/>
        <v>-15.522258639400832</v>
      </c>
      <c r="AE322" s="229">
        <f t="shared" si="120"/>
        <v>168.86714511989231</v>
      </c>
      <c r="AF322" s="227">
        <f t="shared" si="108"/>
        <v>-3.3674227462418767</v>
      </c>
      <c r="AG322" s="227">
        <f t="shared" si="109"/>
        <v>63.423842534799348</v>
      </c>
      <c r="AH322" s="229" t="str">
        <f t="shared" si="110"/>
        <v>0.164299668488348-0.0323321645165647i</v>
      </c>
    </row>
    <row r="323" spans="9:34" x14ac:dyDescent="0.2">
      <c r="I323" s="227">
        <v>319</v>
      </c>
      <c r="J323" s="227">
        <f t="shared" si="98"/>
        <v>4.1102890860439043</v>
      </c>
      <c r="K323" s="227">
        <f t="shared" si="122"/>
        <v>12891.073543077438</v>
      </c>
      <c r="L323" s="227">
        <f t="shared" si="111"/>
        <v>80997.003879635653</v>
      </c>
      <c r="M323" s="227">
        <f t="shared" si="99"/>
        <v>4365.3320939842524</v>
      </c>
      <c r="N323" s="227">
        <f>SQRT((ABS(AC323)-171.5+'Small Signal'!C$59)^2)</f>
        <v>4.5440541097358818</v>
      </c>
      <c r="O323" s="227">
        <f t="shared" si="112"/>
        <v>62.730690263635822</v>
      </c>
      <c r="P323" s="227">
        <f t="shared" si="113"/>
        <v>3.5371042986345795</v>
      </c>
      <c r="Q323" s="227">
        <f t="shared" si="121"/>
        <v>12891.073543077438</v>
      </c>
      <c r="R323" s="227" t="str">
        <f t="shared" si="100"/>
        <v>0.0945666666666667+0.380685918234288i</v>
      </c>
      <c r="S323" s="227" t="str">
        <f t="shared" si="101"/>
        <v>0.0085-1.31341868992454i</v>
      </c>
      <c r="T323" s="227" t="str">
        <f t="shared" si="102"/>
        <v>0.0800842893188143-1.30857256204379i</v>
      </c>
      <c r="U323" s="227" t="str">
        <f t="shared" si="103"/>
        <v>-18.97460898439+0.51485381559577i</v>
      </c>
      <c r="V323" s="227">
        <f t="shared" si="115"/>
        <v>25.566652994160741</v>
      </c>
      <c r="W323" s="227">
        <f t="shared" si="116"/>
        <v>-181.55427257753126</v>
      </c>
      <c r="X323" s="227" t="str">
        <f t="shared" si="104"/>
        <v>0.998818277140672-0.0109305256471801i</v>
      </c>
      <c r="Y323" s="227" t="str">
        <f t="shared" si="105"/>
        <v>16.9148259727522-69.2262665011575i</v>
      </c>
      <c r="Z323" s="227" t="str">
        <f t="shared" si="106"/>
        <v>9.07433505154442-38.9832433131036i</v>
      </c>
      <c r="AA323" s="227" t="str">
        <f t="shared" si="107"/>
        <v>-1.09892822459982-3.82132656610843i</v>
      </c>
      <c r="AB323" s="227">
        <f t="shared" si="117"/>
        <v>11.989368135451349</v>
      </c>
      <c r="AC323" s="227">
        <f t="shared" si="118"/>
        <v>-106.04405410973588</v>
      </c>
      <c r="AD323" s="229">
        <f t="shared" si="119"/>
        <v>-15.526472434085928</v>
      </c>
      <c r="AE323" s="229">
        <f t="shared" si="120"/>
        <v>168.7747443733717</v>
      </c>
      <c r="AF323" s="227">
        <f t="shared" si="108"/>
        <v>-3.5371042986345795</v>
      </c>
      <c r="AG323" s="227">
        <f t="shared" si="109"/>
        <v>62.730690263635822</v>
      </c>
      <c r="AH323" s="229" t="str">
        <f t="shared" si="110"/>
        <v>0.164167650718189-0.0325812779580106i</v>
      </c>
    </row>
    <row r="324" spans="9:34" x14ac:dyDescent="0.2">
      <c r="I324" s="227">
        <v>320</v>
      </c>
      <c r="J324" s="227">
        <f t="shared" ref="J324:J387" si="123">1+I324*(LOG(fsw)-1)/500</f>
        <v>4.1200392085706881</v>
      </c>
      <c r="K324" s="227">
        <f t="shared" si="122"/>
        <v>13183.757575583064</v>
      </c>
      <c r="L324" s="227">
        <f t="shared" si="111"/>
        <v>82835.991892321064</v>
      </c>
      <c r="M324" s="227">
        <f t="shared" ref="M324:M387" si="124">SQRT((Fco_target-K325)^2)</f>
        <v>4664.6613405286826</v>
      </c>
      <c r="N324" s="227">
        <f>SQRT((ABS(AC324)-171.5+'Small Signal'!C$59)^2)</f>
        <v>5.149181837613483</v>
      </c>
      <c r="O324" s="227">
        <f t="shared" si="112"/>
        <v>62.027710198718538</v>
      </c>
      <c r="P324" s="227">
        <f t="shared" si="113"/>
        <v>3.705954330012581</v>
      </c>
      <c r="Q324" s="227">
        <f t="shared" si="121"/>
        <v>13183.757575583064</v>
      </c>
      <c r="R324" s="227" t="str">
        <f t="shared" ref="R324:R387" si="125">IMSUM(COMPLEX(DCRss,Lss*L324),COMPLEX(Rdsonss,0),COMPLEX(40/3*Risense,0))</f>
        <v>0.0945666666666667+0.389329161893909i</v>
      </c>
      <c r="S324" s="227" t="str">
        <f t="shared" ref="S324:S387" si="126">IMSUM(COMPLEX(ESRss,0),IMDIV(COMPLEX(1,0),COMPLEX(0,L324*Cbulkss)))</f>
        <v>0.0085-1.28426033531043i</v>
      </c>
      <c r="T324" s="227" t="str">
        <f t="shared" ref="T324:T387" si="127">IMDIV(IMPRODUCT(S324,COMPLEX(Ross,0)),IMSUM(S324,COMPLEX(Ross,0)))</f>
        <v>0.0769500137082428-1.27968945152938i</v>
      </c>
      <c r="U324" s="227" t="str">
        <f t="shared" ref="U324:U387" si="128">IMPRODUCT(COMPLEX(Vinss,0),COMPLEX(M^2,0),IMDIV(IMSUB(COMPLEX(1,0),IMDIV(IMPRODUCT(R324,COMPLEX(M^2,0)),COMPLEX(Ross,0))),IMSUM(COMPLEX(1,0),IMDIV(IMPRODUCT(R324,COMPLEX(M^2,0)),T324))))</f>
        <v>-18.096925330387+0.80839043384038i</v>
      </c>
      <c r="V324" s="227">
        <f t="shared" si="115"/>
        <v>25.160753221970559</v>
      </c>
      <c r="W324" s="227">
        <f t="shared" si="116"/>
        <v>-182.55770461708244</v>
      </c>
      <c r="X324" s="227" t="str">
        <f t="shared" ref="X324:X387" si="129">IMSUM(COMPLEX(1,L324/(wn*q0)),IMPOWER(COMPLEX(0,L324/wn),2))</f>
        <v>0.99876400736845-0.0111786966248052i</v>
      </c>
      <c r="Y324" s="227" t="str">
        <f t="shared" ref="Y324:Y387" si="130">IMPRODUCT(COMPLEX(2*Ioutss*M^2,0),IMDIV(IMSUM(COMPLEX(1,0),IMDIV(COMPLEX(Ross,0),IMPRODUCT(COMPLEX(2,0),S324))),IMSUM(COMPLEX(1,0),IMDIV(IMPRODUCT(R324,COMPLEX(M^2,0)),T324))))</f>
        <v>15.9516883278259-67.4537058989996i</v>
      </c>
      <c r="Z324" s="227" t="str">
        <f t="shared" ref="Z324:Z387" si="131">IMPRODUCT(COMPLEX(Fm*40/3*Risense,0),Y324,X324)</f>
        <v>8.53440659523877-37.9819749190506i</v>
      </c>
      <c r="AA324" s="227" t="str">
        <f t="shared" ref="AA324:AA387" si="132">IMDIV(IMPRODUCT(COMPLEX(Fm,0),U324),IMSUM(COMPLEX(1,0),Z324))</f>
        <v>-1.11785116852169-3.73803436183153i</v>
      </c>
      <c r="AB324" s="227">
        <f t="shared" si="117"/>
        <v>11.824857580601982</v>
      </c>
      <c r="AC324" s="227">
        <f t="shared" si="118"/>
        <v>-106.64918183761348</v>
      </c>
      <c r="AD324" s="229">
        <f t="shared" si="119"/>
        <v>-15.530811910614563</v>
      </c>
      <c r="AE324" s="229">
        <f t="shared" si="120"/>
        <v>168.67689203633202</v>
      </c>
      <c r="AF324" s="227">
        <f t="shared" ref="AF324:AF387" si="133">AD324+AB324</f>
        <v>-3.705954330012581</v>
      </c>
      <c r="AG324" s="227">
        <f t="shared" ref="AG324:AG387" si="134">AE324+AC324</f>
        <v>62.027710198718538</v>
      </c>
      <c r="AH324" s="229" t="str">
        <f t="shared" ref="AH324:AH387" si="135">IMDIV(IMPRODUCT(COMPLEX(gea*Rea*Rslss/(Rslss+Rshss),0),COMPLEX(1,L324*Ccompss*Rcompss),COMPLEX(1,k_3*L324*Cffss*Rshss)),IMPRODUCT(COMPLEX(1,L324*Rea*Ccompss),COMPLEX(1,L324*Rcompss*Chfss),COMPLEX(1,k_3*L324*Rffss*Cffss)))</f>
        <v>0.164029797664872-0.0328451897040475i</v>
      </c>
    </row>
    <row r="325" spans="9:34" x14ac:dyDescent="0.2">
      <c r="I325" s="227">
        <v>321</v>
      </c>
      <c r="J325" s="227">
        <f t="shared" si="123"/>
        <v>4.1297893310974718</v>
      </c>
      <c r="K325" s="227">
        <f t="shared" si="122"/>
        <v>13483.086822127494</v>
      </c>
      <c r="L325" s="227">
        <f t="shared" ref="L325:L388" si="136">2*PI()*K325</f>
        <v>84716.733016218175</v>
      </c>
      <c r="M325" s="227">
        <f t="shared" si="124"/>
        <v>4970.7866766797797</v>
      </c>
      <c r="N325" s="227">
        <f>SQRT((ABS(AC325)-171.5+'Small Signal'!C$59)^2)</f>
        <v>5.7587637998176007</v>
      </c>
      <c r="O325" s="227">
        <f t="shared" ref="O325:O388" si="137">ABS(AG325)</f>
        <v>61.314786804244577</v>
      </c>
      <c r="P325" s="227">
        <f t="shared" ref="P325:P388" si="138">ABS(AF325)</f>
        <v>3.8739413512159508</v>
      </c>
      <c r="Q325" s="227">
        <f t="shared" si="121"/>
        <v>13483.086822127494</v>
      </c>
      <c r="R325" s="227" t="str">
        <f t="shared" si="125"/>
        <v>0.0945666666666667+0.398168645176225i</v>
      </c>
      <c r="S325" s="227" t="str">
        <f t="shared" si="126"/>
        <v>0.0085-1.2557493063742i</v>
      </c>
      <c r="T325" s="227" t="str">
        <f t="shared" si="127"/>
        <v>0.0739525892121644-1.25143667619273i</v>
      </c>
      <c r="U325" s="227" t="str">
        <f t="shared" si="128"/>
        <v>-17.2605298371674+1.06990705283417i</v>
      </c>
      <c r="V325" s="227">
        <f t="shared" ref="V325:V388" si="139">20*LOG(IMABS(U325))</f>
        <v>24.757737094626805</v>
      </c>
      <c r="W325" s="227">
        <f t="shared" ref="W325:W388" si="140">IF(DEGREES(IMARGUMENT(U325))&gt;0,DEGREES(IMARGUMENT(U325))-360, DEGREES(IMARGUMENT(U325)))</f>
        <v>-183.54698427776981</v>
      </c>
      <c r="X325" s="227" t="str">
        <f t="shared" si="129"/>
        <v>0.998707245295978-0.0114325021744649i</v>
      </c>
      <c r="Y325" s="227" t="str">
        <f t="shared" si="130"/>
        <v>15.0518794405714-65.7322920008672i</v>
      </c>
      <c r="Z325" s="227" t="str">
        <f t="shared" si="131"/>
        <v>8.03003686343784-37.009630583431i</v>
      </c>
      <c r="AA325" s="227" t="str">
        <f t="shared" si="132"/>
        <v>-1.13596949447965-3.65644471651896i</v>
      </c>
      <c r="AB325" s="227">
        <f t="shared" ref="AB325:AB388" si="141">20*LOG(IMABS(AA325))</f>
        <v>11.661344045208033</v>
      </c>
      <c r="AC325" s="227">
        <f t="shared" ref="AC325:AC388" si="142">IF(DEGREES(IMARGUMENT(AA325))&gt;0,DEGREES(IMARGUMENT(AA325))-360, DEGREES(IMARGUMENT(AA325)))</f>
        <v>-107.2587637998176</v>
      </c>
      <c r="AD325" s="229">
        <f t="shared" ref="AD325:AD388" si="143">20*LOG(IMABS(AH325))</f>
        <v>-15.535285396423983</v>
      </c>
      <c r="AE325" s="229">
        <f t="shared" ref="AE325:AE388" si="144">180+DEGREES(IMARGUMENT(AH325))</f>
        <v>168.57355060406218</v>
      </c>
      <c r="AF325" s="227">
        <f t="shared" si="133"/>
        <v>-3.8739413512159508</v>
      </c>
      <c r="AG325" s="227">
        <f t="shared" si="134"/>
        <v>61.314786804244577</v>
      </c>
      <c r="AH325" s="229" t="str">
        <f t="shared" si="135"/>
        <v>0.163885861996351-0.0331239239972969i</v>
      </c>
    </row>
    <row r="326" spans="9:34" x14ac:dyDescent="0.2">
      <c r="I326" s="227">
        <v>322</v>
      </c>
      <c r="J326" s="227">
        <f t="shared" si="123"/>
        <v>4.1395394536242547</v>
      </c>
      <c r="K326" s="227">
        <f t="shared" si="122"/>
        <v>13789.212158278591</v>
      </c>
      <c r="L326" s="227">
        <f t="shared" si="136"/>
        <v>86640.175230478155</v>
      </c>
      <c r="M326" s="227">
        <f t="shared" si="124"/>
        <v>5283.862403544088</v>
      </c>
      <c r="N326" s="227">
        <f>SQRT((ABS(AC326)-171.5+'Small Signal'!C$59)^2)</f>
        <v>6.3728699429562283</v>
      </c>
      <c r="O326" s="227">
        <f t="shared" si="137"/>
        <v>60.591810796321099</v>
      </c>
      <c r="P326" s="227">
        <f t="shared" si="138"/>
        <v>4.041033702121938</v>
      </c>
      <c r="Q326" s="227">
        <f t="shared" si="121"/>
        <v>13789.212158278591</v>
      </c>
      <c r="R326" s="227" t="str">
        <f t="shared" si="125"/>
        <v>0.0945666666666667+0.407208823583247i</v>
      </c>
      <c r="S326" s="227" t="str">
        <f t="shared" si="126"/>
        <v>0.0085-1.22787123225925i</v>
      </c>
      <c r="T326" s="227" t="str">
        <f t="shared" si="127"/>
        <v>0.0710860727055324-1.22380094677021i</v>
      </c>
      <c r="U326" s="227" t="str">
        <f t="shared" si="128"/>
        <v>-16.4635722863969+1.30242953304699i</v>
      </c>
      <c r="V326" s="227">
        <f t="shared" si="139"/>
        <v>24.357576498579974</v>
      </c>
      <c r="W326" s="227">
        <f t="shared" si="140"/>
        <v>-184.52323603119871</v>
      </c>
      <c r="X326" s="227" t="str">
        <f t="shared" si="129"/>
        <v>0.998647876466162-0.0116920702257114i</v>
      </c>
      <c r="Y326" s="227" t="str">
        <f t="shared" si="130"/>
        <v>14.2105555332464-64.0606600691841i</v>
      </c>
      <c r="Z326" s="227" t="str">
        <f t="shared" si="131"/>
        <v>7.55850156018894-36.0654299204247i</v>
      </c>
      <c r="AA326" s="227" t="str">
        <f t="shared" si="132"/>
        <v>-1.15331717483108-3.57652803628127i</v>
      </c>
      <c r="AB326" s="227">
        <f t="shared" si="141"/>
        <v>11.498867750999009</v>
      </c>
      <c r="AC326" s="227">
        <f t="shared" si="142"/>
        <v>-107.87286994295623</v>
      </c>
      <c r="AD326" s="229">
        <f t="shared" si="143"/>
        <v>-15.539901453120947</v>
      </c>
      <c r="AE326" s="229">
        <f t="shared" si="144"/>
        <v>168.46468073927733</v>
      </c>
      <c r="AF326" s="227">
        <f t="shared" si="133"/>
        <v>-4.041033702121938</v>
      </c>
      <c r="AG326" s="227">
        <f t="shared" si="134"/>
        <v>60.591810796321099</v>
      </c>
      <c r="AH326" s="229" t="str">
        <f t="shared" si="135"/>
        <v>0.163735586879149-0.0334175054756677i</v>
      </c>
    </row>
    <row r="327" spans="9:34" x14ac:dyDescent="0.2">
      <c r="I327" s="227">
        <v>323</v>
      </c>
      <c r="J327" s="227">
        <f t="shared" si="123"/>
        <v>4.1492895761510376</v>
      </c>
      <c r="K327" s="227">
        <f t="shared" si="122"/>
        <v>14102.2878851429</v>
      </c>
      <c r="L327" s="227">
        <f t="shared" si="136"/>
        <v>88607.288037546547</v>
      </c>
      <c r="M327" s="227">
        <f t="shared" si="124"/>
        <v>5604.0463255414397</v>
      </c>
      <c r="N327" s="227">
        <f>SQRT((ABS(AC327)-171.5+'Small Signal'!C$59)^2)</f>
        <v>6.991561792541475</v>
      </c>
      <c r="O327" s="227">
        <f t="shared" si="137"/>
        <v>59.858679511298831</v>
      </c>
      <c r="P327" s="227">
        <f t="shared" si="138"/>
        <v>4.2071995915211691</v>
      </c>
      <c r="Q327" s="227">
        <f t="shared" si="121"/>
        <v>14102.2878851429</v>
      </c>
      <c r="R327" s="227" t="str">
        <f t="shared" si="125"/>
        <v>0.0945666666666667+0.416454253776469i</v>
      </c>
      <c r="S327" s="227" t="str">
        <f t="shared" si="126"/>
        <v>0.0085-1.20061206114699i</v>
      </c>
      <c r="T327" s="227" t="str">
        <f t="shared" si="127"/>
        <v>0.0683447764023901-1.19676922359426i</v>
      </c>
      <c r="U327" s="227" t="str">
        <f t="shared" si="128"/>
        <v>-15.7042538140789+1.50868946234057i</v>
      </c>
      <c r="V327" s="227">
        <f t="shared" si="139"/>
        <v>23.960244285522862</v>
      </c>
      <c r="W327" s="227">
        <f t="shared" si="140"/>
        <v>-185.48749869765675</v>
      </c>
      <c r="X327" s="227" t="str">
        <f t="shared" si="129"/>
        <v>0.998585781165544-0.0119575316126598i</v>
      </c>
      <c r="Y327" s="227" t="str">
        <f t="shared" si="130"/>
        <v>13.423292131803-62.4374065487614i</v>
      </c>
      <c r="Z327" s="227" t="str">
        <f t="shared" si="131"/>
        <v>7.11731259740349-35.1485716716243i</v>
      </c>
      <c r="AA327" s="227" t="str">
        <f t="shared" si="132"/>
        <v>-1.16992684326073-3.49825484605264i</v>
      </c>
      <c r="AB327" s="227">
        <f t="shared" si="141"/>
        <v>11.337469298753655</v>
      </c>
      <c r="AC327" s="227">
        <f t="shared" si="142"/>
        <v>-108.49156179254148</v>
      </c>
      <c r="AD327" s="229">
        <f t="shared" si="143"/>
        <v>-15.544668890274824</v>
      </c>
      <c r="AE327" s="229">
        <f t="shared" si="144"/>
        <v>168.35024130384031</v>
      </c>
      <c r="AF327" s="227">
        <f t="shared" si="133"/>
        <v>-4.2071995915211691</v>
      </c>
      <c r="AG327" s="227">
        <f t="shared" si="134"/>
        <v>59.858679511298831</v>
      </c>
      <c r="AH327" s="229" t="str">
        <f t="shared" si="135"/>
        <v>0.16357870570413-0.0337259587487581i</v>
      </c>
    </row>
    <row r="328" spans="9:34" x14ac:dyDescent="0.2">
      <c r="I328" s="227">
        <v>324</v>
      </c>
      <c r="J328" s="227">
        <f t="shared" si="123"/>
        <v>4.1590396986778213</v>
      </c>
      <c r="K328" s="227">
        <f t="shared" si="122"/>
        <v>14422.471807140251</v>
      </c>
      <c r="L328" s="227">
        <f t="shared" si="136"/>
        <v>90619.06295183544</v>
      </c>
      <c r="M328" s="227">
        <f t="shared" si="124"/>
        <v>5931.499829945602</v>
      </c>
      <c r="N328" s="227">
        <f>SQRT((ABS(AC328)-171.5+'Small Signal'!C$59)^2)</f>
        <v>7.6148921207806808</v>
      </c>
      <c r="O328" s="227">
        <f t="shared" si="137"/>
        <v>59.115297272530356</v>
      </c>
      <c r="P328" s="227">
        <f t="shared" si="138"/>
        <v>4.3724071413616912</v>
      </c>
      <c r="Q328" s="227">
        <f t="shared" si="121"/>
        <v>14422.471807140251</v>
      </c>
      <c r="R328" s="227" t="str">
        <f t="shared" si="125"/>
        <v>0.0945666666666667+0.425909595873627i</v>
      </c>
      <c r="S328" s="227" t="str">
        <f t="shared" si="126"/>
        <v>0.0085-1.17395805317417i</v>
      </c>
      <c r="T328" s="227" t="str">
        <f t="shared" si="127"/>
        <v>0.0657232571222196-1.17032871396383i</v>
      </c>
      <c r="U328" s="227" t="str">
        <f t="shared" si="128"/>
        <v>-14.980832866824+1.69115429657063i</v>
      </c>
      <c r="V328" s="227">
        <f t="shared" si="139"/>
        <v>23.565714554800358</v>
      </c>
      <c r="W328" s="227">
        <f t="shared" si="140"/>
        <v>-186.44073128635284</v>
      </c>
      <c r="X328" s="227" t="str">
        <f t="shared" si="129"/>
        <v>0.998520834182914-0.012229020139935i</v>
      </c>
      <c r="Y328" s="227" t="str">
        <f t="shared" si="130"/>
        <v>12.6860449780219-60.8611078774361i</v>
      </c>
      <c r="Z328" s="227" t="str">
        <f t="shared" si="131"/>
        <v>6.70419603802437-34.2582442057404i</v>
      </c>
      <c r="AA328" s="227" t="str">
        <f t="shared" si="132"/>
        <v>-1.18582984271256-3.42159581886361i</v>
      </c>
      <c r="AB328" s="227">
        <f t="shared" si="141"/>
        <v>11.177189638061868</v>
      </c>
      <c r="AC328" s="227">
        <f t="shared" si="142"/>
        <v>-109.11489212078068</v>
      </c>
      <c r="AD328" s="229">
        <f t="shared" si="143"/>
        <v>-15.54959677942356</v>
      </c>
      <c r="AE328" s="229">
        <f t="shared" si="144"/>
        <v>168.23018939331104</v>
      </c>
      <c r="AF328" s="227">
        <f t="shared" si="133"/>
        <v>-4.3724071413616912</v>
      </c>
      <c r="AG328" s="227">
        <f t="shared" si="134"/>
        <v>59.115297272530356</v>
      </c>
      <c r="AH328" s="229" t="str">
        <f t="shared" si="135"/>
        <v>0.163414941813258-0.0340493079501846i</v>
      </c>
    </row>
    <row r="329" spans="9:34" x14ac:dyDescent="0.2">
      <c r="I329" s="227">
        <v>325</v>
      </c>
      <c r="J329" s="227">
        <f t="shared" si="123"/>
        <v>4.1687898212046051</v>
      </c>
      <c r="K329" s="227">
        <f t="shared" si="122"/>
        <v>14749.925311544413</v>
      </c>
      <c r="L329" s="227">
        <f t="shared" si="136"/>
        <v>92676.513999492134</v>
      </c>
      <c r="M329" s="227">
        <f t="shared" si="124"/>
        <v>6266.3879682308379</v>
      </c>
      <c r="N329" s="227">
        <f>SQRT((ABS(AC329)-171.5+'Small Signal'!C$59)^2)</f>
        <v>8.2429046205923981</v>
      </c>
      <c r="O329" s="227">
        <f t="shared" si="137"/>
        <v>58.361575753921059</v>
      </c>
      <c r="P329" s="227">
        <f t="shared" si="138"/>
        <v>4.5366244354621195</v>
      </c>
      <c r="Q329" s="227">
        <f t="shared" si="121"/>
        <v>14749.925311544413</v>
      </c>
      <c r="R329" s="227" t="str">
        <f t="shared" si="125"/>
        <v>0.0945666666666667+0.435579615797613i</v>
      </c>
      <c r="S329" s="227" t="str">
        <f t="shared" si="126"/>
        <v>0.0085-1.14789577350727i</v>
      </c>
      <c r="T329" s="227" t="str">
        <f t="shared" si="127"/>
        <v>0.0632163059870555-1.14446686938856i</v>
      </c>
      <c r="U329" s="227" t="str">
        <f t="shared" si="128"/>
        <v>-14.2916292078807+1.85205432693761i</v>
      </c>
      <c r="V329" s="227">
        <f t="shared" si="139"/>
        <v>23.173962866690868</v>
      </c>
      <c r="W329" s="227">
        <f t="shared" si="140"/>
        <v>-187.3838183255061</v>
      </c>
      <c r="X329" s="227" t="str">
        <f t="shared" si="129"/>
        <v>0.998452904556827-0.0125066726501149i</v>
      </c>
      <c r="Y329" s="227" t="str">
        <f t="shared" si="130"/>
        <v>11.9951146027648-59.3303355118006i</v>
      </c>
      <c r="Z329" s="227" t="str">
        <f t="shared" si="131"/>
        <v>6.31707210995712-33.3936338955473i</v>
      </c>
      <c r="AA329" s="227" t="str">
        <f t="shared" si="132"/>
        <v>-1.20105627218023-3.34652180260588i</v>
      </c>
      <c r="AB329" s="227">
        <f t="shared" si="141"/>
        <v>11.018070032833247</v>
      </c>
      <c r="AC329" s="227">
        <f t="shared" si="142"/>
        <v>-109.7429046205924</v>
      </c>
      <c r="AD329" s="229">
        <f t="shared" si="143"/>
        <v>-15.554694468295367</v>
      </c>
      <c r="AE329" s="229">
        <f t="shared" si="144"/>
        <v>168.10448037451346</v>
      </c>
      <c r="AF329" s="227">
        <f t="shared" si="133"/>
        <v>-4.5366244354621195</v>
      </c>
      <c r="AG329" s="227">
        <f t="shared" si="134"/>
        <v>58.361575753921059</v>
      </c>
      <c r="AH329" s="229" t="str">
        <f t="shared" si="135"/>
        <v>0.163244008228433-0.0343875762646044i</v>
      </c>
    </row>
    <row r="330" spans="9:34" x14ac:dyDescent="0.2">
      <c r="I330" s="227">
        <v>326</v>
      </c>
      <c r="J330" s="227">
        <f t="shared" si="123"/>
        <v>4.1785399437313888</v>
      </c>
      <c r="K330" s="227">
        <f t="shared" si="122"/>
        <v>15084.813449829649</v>
      </c>
      <c r="L330" s="227">
        <f t="shared" si="136"/>
        <v>94780.678229514655</v>
      </c>
      <c r="M330" s="227">
        <f t="shared" si="124"/>
        <v>6608.8795392654429</v>
      </c>
      <c r="N330" s="227">
        <f>SQRT((ABS(AC330)-171.5+'Small Signal'!C$59)^2)</f>
        <v>8.8756335877944537</v>
      </c>
      <c r="O330" s="227">
        <f t="shared" si="137"/>
        <v>57.597434338521424</v>
      </c>
      <c r="P330" s="227">
        <f t="shared" si="138"/>
        <v>4.6998195727632321</v>
      </c>
      <c r="Q330" s="227">
        <f t="shared" si="121"/>
        <v>15084.813449829649</v>
      </c>
      <c r="R330" s="227" t="str">
        <f t="shared" si="125"/>
        <v>0.0945666666666667+0.445469187678719i</v>
      </c>
      <c r="S330" s="227" t="str">
        <f t="shared" si="126"/>
        <v>0.0085-1.1224120855708i</v>
      </c>
      <c r="T330" s="227" t="str">
        <f t="shared" si="127"/>
        <v>0.0608189385338957-1.119171382721i</v>
      </c>
      <c r="U330" s="227" t="str">
        <f t="shared" si="128"/>
        <v>-13.6350263777+1.99340679611707i</v>
      </c>
      <c r="V330" s="227">
        <f t="shared" si="139"/>
        <v>22.784966397067095</v>
      </c>
      <c r="W330" s="227">
        <f t="shared" si="140"/>
        <v>-188.31757472460106</v>
      </c>
      <c r="X330" s="227" t="str">
        <f t="shared" si="129"/>
        <v>0.99838185531153-0.0127906290927053i</v>
      </c>
      <c r="Y330" s="227" t="str">
        <f t="shared" si="130"/>
        <v>11.3471142613985-57.843667836241i</v>
      </c>
      <c r="Z330" s="227" t="str">
        <f t="shared" si="131"/>
        <v>5.95403712082527-32.5539317476655i</v>
      </c>
      <c r="AA330" s="227" t="str">
        <f t="shared" si="132"/>
        <v>-1.21563503233462-3.27300384444193i</v>
      </c>
      <c r="AB330" s="227">
        <f t="shared" si="141"/>
        <v>10.860152022483561</v>
      </c>
      <c r="AC330" s="227">
        <f t="shared" si="142"/>
        <v>-110.37563358779445</v>
      </c>
      <c r="AD330" s="229">
        <f t="shared" si="143"/>
        <v>-15.559971595246793</v>
      </c>
      <c r="AE330" s="229">
        <f t="shared" si="144"/>
        <v>167.97306792631588</v>
      </c>
      <c r="AF330" s="227">
        <f t="shared" si="133"/>
        <v>-4.6998195727632321</v>
      </c>
      <c r="AG330" s="227">
        <f t="shared" si="134"/>
        <v>57.597434338521424</v>
      </c>
      <c r="AH330" s="229" t="str">
        <f t="shared" si="135"/>
        <v>0.163065607383623-0.0347407854282027i</v>
      </c>
    </row>
    <row r="331" spans="9:34" x14ac:dyDescent="0.2">
      <c r="I331" s="227">
        <v>327</v>
      </c>
      <c r="J331" s="227">
        <f t="shared" si="123"/>
        <v>4.1882900662581726</v>
      </c>
      <c r="K331" s="227">
        <f t="shared" si="122"/>
        <v>15427.305020864254</v>
      </c>
      <c r="L331" s="227">
        <f t="shared" si="136"/>
        <v>96932.616236472139</v>
      </c>
      <c r="M331" s="227">
        <f t="shared" si="124"/>
        <v>6959.1471743938764</v>
      </c>
      <c r="N331" s="227">
        <f>SQRT((ABS(AC331)-171.5+'Small Signal'!C$59)^2)</f>
        <v>9.5131036135518912</v>
      </c>
      <c r="O331" s="227">
        <f t="shared" si="137"/>
        <v>56.822800470284449</v>
      </c>
      <c r="P331" s="227">
        <f t="shared" si="138"/>
        <v>4.8619607251728034</v>
      </c>
      <c r="Q331" s="227">
        <f t="shared" si="121"/>
        <v>15427.305020864254</v>
      </c>
      <c r="R331" s="227" t="str">
        <f t="shared" si="125"/>
        <v>0.0945666666666667+0.455583296311419i</v>
      </c>
      <c r="S331" s="227" t="str">
        <f t="shared" si="126"/>
        <v>0.0085-1.09749414442583i</v>
      </c>
      <c r="T331" s="227" t="str">
        <f t="shared" si="127"/>
        <v>0.058526385227278-1.09443018519018i</v>
      </c>
      <c r="U331" s="227" t="str">
        <f t="shared" si="128"/>
        <v>-13.0094729375604+2.11703745900914i</v>
      </c>
      <c r="V331" s="227">
        <f t="shared" si="139"/>
        <v>22.398704042307742</v>
      </c>
      <c r="W331" s="227">
        <f t="shared" si="140"/>
        <v>-189.24275020928243</v>
      </c>
      <c r="X331" s="227" t="str">
        <f t="shared" si="129"/>
        <v>0.998307543180752-0.013081032594681i</v>
      </c>
      <c r="Y331" s="227" t="str">
        <f t="shared" si="130"/>
        <v>10.7389409414773-56.3996995097514i</v>
      </c>
      <c r="Z331" s="227" t="str">
        <f t="shared" si="131"/>
        <v>5.61334710896686-31.7383385967389i</v>
      </c>
      <c r="AA331" s="227" t="str">
        <f t="shared" si="132"/>
        <v>-1.2295938699727-3.20101321300118i</v>
      </c>
      <c r="AB331" s="227">
        <f t="shared" si="141"/>
        <v>10.703477378743727</v>
      </c>
      <c r="AC331" s="227">
        <f t="shared" si="142"/>
        <v>-111.01310361355189</v>
      </c>
      <c r="AD331" s="229">
        <f t="shared" si="143"/>
        <v>-15.565438103916531</v>
      </c>
      <c r="AE331" s="229">
        <f t="shared" si="144"/>
        <v>167.83590408383634</v>
      </c>
      <c r="AF331" s="227">
        <f t="shared" si="133"/>
        <v>-4.8619607251728034</v>
      </c>
      <c r="AG331" s="227">
        <f t="shared" si="134"/>
        <v>56.822800470284449</v>
      </c>
      <c r="AH331" s="229" t="str">
        <f t="shared" si="135"/>
        <v>0.162879430861639-0.0351089552013886i</v>
      </c>
    </row>
    <row r="332" spans="9:34" x14ac:dyDescent="0.2">
      <c r="I332" s="227">
        <v>328</v>
      </c>
      <c r="J332" s="227">
        <f t="shared" si="123"/>
        <v>4.1980401887849554</v>
      </c>
      <c r="K332" s="227">
        <f t="shared" si="122"/>
        <v>15777.572655992688</v>
      </c>
      <c r="L332" s="227">
        <f t="shared" si="136"/>
        <v>99133.412695091654</v>
      </c>
      <c r="M332" s="227">
        <f t="shared" si="124"/>
        <v>7317.3674244509766</v>
      </c>
      <c r="N332" s="227">
        <f>SQRT((ABS(AC332)-171.5+'Small Signal'!C$59)^2)</f>
        <v>10.155329289289952</v>
      </c>
      <c r="O332" s="227">
        <f t="shared" si="137"/>
        <v>56.037609996999223</v>
      </c>
      <c r="P332" s="227">
        <f t="shared" si="138"/>
        <v>5.0230162000260314</v>
      </c>
      <c r="Q332" s="227">
        <f t="shared" si="121"/>
        <v>15777.572655992688</v>
      </c>
      <c r="R332" s="227" t="str">
        <f t="shared" si="125"/>
        <v>0.0945666666666667+0.465927039666931i</v>
      </c>
      <c r="S332" s="227" t="str">
        <f t="shared" si="126"/>
        <v>0.0085-1.07312939029558i</v>
      </c>
      <c r="T332" s="227" t="str">
        <f t="shared" si="127"/>
        <v>0.0563340823573364-1.07023144334885i</v>
      </c>
      <c r="U332" s="227" t="str">
        <f t="shared" si="128"/>
        <v>-12.4134827624218+2.22459985770025i</v>
      </c>
      <c r="V332" s="227">
        <f t="shared" si="139"/>
        <v>22.015156481958549</v>
      </c>
      <c r="W332" s="227">
        <f t="shared" si="140"/>
        <v>-190.1600333672464</v>
      </c>
      <c r="X332" s="227" t="str">
        <f t="shared" si="129"/>
        <v>0.998229818318826-0.0133780295326284i</v>
      </c>
      <c r="Y332" s="227" t="str">
        <f t="shared" si="130"/>
        <v>10.1677491667544-54.997048710215i</v>
      </c>
      <c r="Z332" s="227" t="str">
        <f t="shared" si="131"/>
        <v>5.29340307419008-30.9460691222248i</v>
      </c>
      <c r="AA332" s="227" t="str">
        <f t="shared" si="132"/>
        <v>-1.24295942127844-3.13052141849986i</v>
      </c>
      <c r="AB332" s="227">
        <f t="shared" si="141"/>
        <v>10.548088058066362</v>
      </c>
      <c r="AC332" s="227">
        <f t="shared" si="142"/>
        <v>-111.65532928928995</v>
      </c>
      <c r="AD332" s="229">
        <f t="shared" si="143"/>
        <v>-15.571104258092394</v>
      </c>
      <c r="AE332" s="229">
        <f t="shared" si="144"/>
        <v>167.69293928628917</v>
      </c>
      <c r="AF332" s="227">
        <f t="shared" si="133"/>
        <v>-5.0230162000260314</v>
      </c>
      <c r="AG332" s="227">
        <f t="shared" si="134"/>
        <v>56.037609996999223</v>
      </c>
      <c r="AH332" s="229" t="str">
        <f t="shared" si="135"/>
        <v>0.162685159137034-0.0354921028124602i</v>
      </c>
    </row>
    <row r="333" spans="9:34" x14ac:dyDescent="0.2">
      <c r="I333" s="227">
        <v>329</v>
      </c>
      <c r="J333" s="227">
        <f t="shared" si="123"/>
        <v>4.2077903113117383</v>
      </c>
      <c r="K333" s="227">
        <f t="shared" si="122"/>
        <v>16135.792906049788</v>
      </c>
      <c r="L333" s="227">
        <f t="shared" si="136"/>
        <v>101384.17690698462</v>
      </c>
      <c r="M333" s="227">
        <f t="shared" si="124"/>
        <v>7683.7208487516527</v>
      </c>
      <c r="N333" s="227">
        <f>SQRT((ABS(AC333)-171.5+'Small Signal'!C$59)^2)</f>
        <v>10.802314926387851</v>
      </c>
      <c r="O333" s="227">
        <f t="shared" si="137"/>
        <v>55.24180750231659</v>
      </c>
      <c r="P333" s="227">
        <f t="shared" si="138"/>
        <v>5.1829545071569321</v>
      </c>
      <c r="Q333" s="227">
        <f t="shared" si="121"/>
        <v>16135.792906049788</v>
      </c>
      <c r="R333" s="227" t="str">
        <f t="shared" si="125"/>
        <v>0.0945666666666667+0.476505631462828i</v>
      </c>
      <c r="S333" s="227" t="str">
        <f t="shared" si="126"/>
        <v>0.0085-1.04930554223472i</v>
      </c>
      <c r="T333" s="227" t="str">
        <f t="shared" si="127"/>
        <v>0.0542376633090292-1.04656355594582i</v>
      </c>
      <c r="U333" s="227" t="str">
        <f t="shared" si="128"/>
        <v>-11.8456345982304+2.31759255477891i</v>
      </c>
      <c r="V333" s="227">
        <f t="shared" si="139"/>
        <v>21.634306205484908</v>
      </c>
      <c r="W333" s="227">
        <f t="shared" si="140"/>
        <v>-191.07005534121419</v>
      </c>
      <c r="X333" s="227" t="str">
        <f t="shared" si="129"/>
        <v>0.998148523998528-0.0136817696065256i</v>
      </c>
      <c r="Y333" s="227" t="str">
        <f t="shared" si="130"/>
        <v>9.63092733852999-53.6343626570089i</v>
      </c>
      <c r="Z333" s="227" t="str">
        <f t="shared" si="131"/>
        <v>4.9927376415309-30.1763549016589i</v>
      </c>
      <c r="AA333" s="227" t="str">
        <f t="shared" si="132"/>
        <v>-1.25575725389128-3.06150023091389i</v>
      </c>
      <c r="AB333" s="227">
        <f t="shared" si="141"/>
        <v>10.394026149629845</v>
      </c>
      <c r="AC333" s="227">
        <f t="shared" si="142"/>
        <v>-112.30231492638785</v>
      </c>
      <c r="AD333" s="229">
        <f t="shared" si="143"/>
        <v>-15.576980656786777</v>
      </c>
      <c r="AE333" s="229">
        <f t="shared" si="144"/>
        <v>167.54412242870444</v>
      </c>
      <c r="AF333" s="227">
        <f t="shared" si="133"/>
        <v>-5.1829545071569321</v>
      </c>
      <c r="AG333" s="227">
        <f t="shared" si="134"/>
        <v>55.24180750231659</v>
      </c>
      <c r="AH333" s="229" t="str">
        <f t="shared" si="135"/>
        <v>0.162482461326762-0.0358902423709943i</v>
      </c>
    </row>
    <row r="334" spans="9:34" x14ac:dyDescent="0.2">
      <c r="I334" s="227">
        <v>330</v>
      </c>
      <c r="J334" s="227">
        <f t="shared" si="123"/>
        <v>4.2175404338385221</v>
      </c>
      <c r="K334" s="227">
        <f t="shared" si="122"/>
        <v>16502.146330350464</v>
      </c>
      <c r="L334" s="227">
        <f t="shared" si="136"/>
        <v>103686.04335978556</v>
      </c>
      <c r="M334" s="227">
        <f t="shared" si="124"/>
        <v>8058.3921061007804</v>
      </c>
      <c r="N334" s="227">
        <f>SQRT((ABS(AC334)-171.5+'Small Signal'!C$59)^2)</f>
        <v>11.454054293072005</v>
      </c>
      <c r="O334" s="227">
        <f t="shared" si="137"/>
        <v>54.435346624686503</v>
      </c>
      <c r="P334" s="227">
        <f t="shared" si="138"/>
        <v>5.341744430542013</v>
      </c>
      <c r="Q334" s="227">
        <f t="shared" si="121"/>
        <v>16502.146330350464</v>
      </c>
      <c r="R334" s="227" t="str">
        <f t="shared" si="125"/>
        <v>0.0945666666666667+0.487324403790992i</v>
      </c>
      <c r="S334" s="227" t="str">
        <f t="shared" si="126"/>
        <v>0.0085-1.02601059193917i</v>
      </c>
      <c r="T334" s="227" t="str">
        <f t="shared" si="127"/>
        <v>0.0522329501886479-1.02341515073404i</v>
      </c>
      <c r="U334" s="227" t="str">
        <f t="shared" si="128"/>
        <v>-11.3045710573277+2.39737454502285i</v>
      </c>
      <c r="V334" s="227">
        <f t="shared" si="139"/>
        <v>21.256137508493662</v>
      </c>
      <c r="W334" s="227">
        <f t="shared" si="140"/>
        <v>-191.97339320275518</v>
      </c>
      <c r="X334" s="227" t="str">
        <f t="shared" si="129"/>
        <v>0.998063496295052-0.0139924059151984i</v>
      </c>
      <c r="Y334" s="227" t="str">
        <f t="shared" si="130"/>
        <v>9.12607637376716-52.3103217272847i</v>
      </c>
      <c r="Z334" s="227" t="str">
        <f t="shared" si="131"/>
        <v>4.71000302178651-29.4284466774157i</v>
      </c>
      <c r="AA334" s="227" t="str">
        <f t="shared" si="132"/>
        <v>-1.26801190778298-2.99392169632818i</v>
      </c>
      <c r="AB334" s="227">
        <f t="shared" si="141"/>
        <v>10.241333818972294</v>
      </c>
      <c r="AC334" s="227">
        <f t="shared" si="142"/>
        <v>-112.95405429307201</v>
      </c>
      <c r="AD334" s="229">
        <f t="shared" si="143"/>
        <v>-15.583078249514307</v>
      </c>
      <c r="AE334" s="229">
        <f t="shared" si="144"/>
        <v>167.38940091775851</v>
      </c>
      <c r="AF334" s="227">
        <f t="shared" si="133"/>
        <v>-5.341744430542013</v>
      </c>
      <c r="AG334" s="227">
        <f t="shared" si="134"/>
        <v>54.435346624686503</v>
      </c>
      <c r="AH334" s="229" t="str">
        <f t="shared" si="135"/>
        <v>0.162270994950374-0.0363033842497343i</v>
      </c>
    </row>
    <row r="335" spans="9:34" x14ac:dyDescent="0.2">
      <c r="I335" s="227">
        <v>331</v>
      </c>
      <c r="J335" s="227">
        <f t="shared" si="123"/>
        <v>4.2272905563653058</v>
      </c>
      <c r="K335" s="227">
        <f t="shared" si="122"/>
        <v>16876.817587699592</v>
      </c>
      <c r="L335" s="227">
        <f t="shared" si="136"/>
        <v>106040.17229898411</v>
      </c>
      <c r="M335" s="227">
        <f t="shared" si="124"/>
        <v>8441.5700478698218</v>
      </c>
      <c r="N335" s="227">
        <f>SQRT((ABS(AC335)-171.5+'Small Signal'!C$59)^2)</f>
        <v>12.110530371002795</v>
      </c>
      <c r="O335" s="227">
        <f t="shared" si="137"/>
        <v>53.618190360961364</v>
      </c>
      <c r="P335" s="227">
        <f t="shared" si="138"/>
        <v>5.4993551044442341</v>
      </c>
      <c r="Q335" s="227">
        <f t="shared" si="121"/>
        <v>16876.817587699592</v>
      </c>
      <c r="R335" s="227" t="str">
        <f t="shared" si="125"/>
        <v>0.0945666666666667+0.498388809805225i</v>
      </c>
      <c r="S335" s="227" t="str">
        <f t="shared" si="126"/>
        <v>0.0085-1.00323279769344i</v>
      </c>
      <c r="T335" s="227" t="str">
        <f t="shared" si="127"/>
        <v>0.0503159457941392-1.00077508122436i</v>
      </c>
      <c r="U335" s="227" t="str">
        <f t="shared" si="128"/>
        <v>-10.7889971917185+2.46517904297794i</v>
      </c>
      <c r="V335" s="227">
        <f t="shared" si="139"/>
        <v>20.880636462989514</v>
      </c>
      <c r="W335" s="227">
        <f t="shared" si="140"/>
        <v>-192.87057303842855</v>
      </c>
      <c r="X335" s="227" t="str">
        <f t="shared" si="129"/>
        <v>0.99797456375546-0.0143100950334887i</v>
      </c>
      <c r="Y335" s="227" t="str">
        <f t="shared" si="130"/>
        <v>8.65099041830042-51.0236424268619i</v>
      </c>
      <c r="Z335" s="227" t="str">
        <f t="shared" si="131"/>
        <v>4.44396014336767-28.701615983381i</v>
      </c>
      <c r="AA335" s="227" t="str">
        <f t="shared" si="132"/>
        <v>-1.27974693494724-2.92775815157891i</v>
      </c>
      <c r="AB335" s="227">
        <f t="shared" si="141"/>
        <v>10.090053247319013</v>
      </c>
      <c r="AC335" s="227">
        <f t="shared" si="142"/>
        <v>-113.6105303710028</v>
      </c>
      <c r="AD335" s="229">
        <f t="shared" si="143"/>
        <v>-15.589408351763247</v>
      </c>
      <c r="AE335" s="229">
        <f t="shared" si="144"/>
        <v>167.22872073196416</v>
      </c>
      <c r="AF335" s="227">
        <f t="shared" si="133"/>
        <v>-5.4993551044442341</v>
      </c>
      <c r="AG335" s="227">
        <f t="shared" si="134"/>
        <v>53.618190360961364</v>
      </c>
      <c r="AH335" s="229" t="str">
        <f t="shared" si="135"/>
        <v>0.162050405701692-0.0367315344337786i</v>
      </c>
    </row>
    <row r="336" spans="9:34" x14ac:dyDescent="0.2">
      <c r="I336" s="227">
        <v>332</v>
      </c>
      <c r="J336" s="227">
        <f t="shared" si="123"/>
        <v>4.2370406788920896</v>
      </c>
      <c r="K336" s="227">
        <f t="shared" si="122"/>
        <v>17259.995529468633</v>
      </c>
      <c r="L336" s="227">
        <f t="shared" si="136"/>
        <v>108447.75031274266</v>
      </c>
      <c r="M336" s="227">
        <f t="shared" si="124"/>
        <v>8833.447813186418</v>
      </c>
      <c r="N336" s="227">
        <f>SQRT((ABS(AC336)-171.5+'Small Signal'!C$59)^2)</f>
        <v>12.771715134121081</v>
      </c>
      <c r="O336" s="227">
        <f t="shared" si="137"/>
        <v>52.790311352360703</v>
      </c>
      <c r="P336" s="227">
        <f t="shared" si="138"/>
        <v>5.6557560939457456</v>
      </c>
      <c r="Q336" s="227">
        <f t="shared" si="121"/>
        <v>17259.995529468633</v>
      </c>
      <c r="R336" s="227" t="str">
        <f t="shared" si="125"/>
        <v>0.0945666666666667+0.50970442646989i</v>
      </c>
      <c r="S336" s="227" t="str">
        <f t="shared" si="126"/>
        <v>0.0085-0.980960678452214i</v>
      </c>
      <c r="T336" s="227" t="str">
        <f t="shared" si="127"/>
        <v>0.0484828259161413-0.978632423393761i</v>
      </c>
      <c r="U336" s="227" t="str">
        <f t="shared" si="128"/>
        <v>-10.2976787563446+2.52212582322152i</v>
      </c>
      <c r="V336" s="227">
        <f t="shared" si="139"/>
        <v>20.507790865554387</v>
      </c>
      <c r="W336" s="227">
        <f t="shared" si="140"/>
        <v>-193.76207277746806</v>
      </c>
      <c r="X336" s="227" t="str">
        <f t="shared" si="129"/>
        <v>0.997881547052962-0.0146349970911757i</v>
      </c>
      <c r="Y336" s="227" t="str">
        <f t="shared" si="130"/>
        <v>8.20363943215807-49.773079431495i</v>
      </c>
      <c r="Z336" s="227" t="str">
        <f t="shared" si="131"/>
        <v>4.1934688406493-27.9951562525613i</v>
      </c>
      <c r="AA336" s="227" t="str">
        <f t="shared" si="132"/>
        <v>-1.29098493791062-2.862982237299i</v>
      </c>
      <c r="AB336" s="227">
        <f t="shared" si="141"/>
        <v>9.9402265667021812</v>
      </c>
      <c r="AC336" s="227">
        <f t="shared" si="142"/>
        <v>-114.27171513412108</v>
      </c>
      <c r="AD336" s="229">
        <f t="shared" si="143"/>
        <v>-15.595982660647927</v>
      </c>
      <c r="AE336" s="229">
        <f t="shared" si="144"/>
        <v>167.06202648648178</v>
      </c>
      <c r="AF336" s="227">
        <f t="shared" si="133"/>
        <v>-5.6557560939457456</v>
      </c>
      <c r="AG336" s="227">
        <f t="shared" si="134"/>
        <v>52.790311352360703</v>
      </c>
      <c r="AH336" s="229" t="str">
        <f t="shared" si="135"/>
        <v>0.161820327234109-0.0371746938359039i</v>
      </c>
    </row>
    <row r="337" spans="9:34" x14ac:dyDescent="0.2">
      <c r="I337" s="227">
        <v>333</v>
      </c>
      <c r="J337" s="227">
        <f t="shared" si="123"/>
        <v>4.2467908014188724</v>
      </c>
      <c r="K337" s="227">
        <f t="shared" si="122"/>
        <v>17651.87329478523</v>
      </c>
      <c r="L337" s="227">
        <f t="shared" si="136"/>
        <v>110909.99092999026</v>
      </c>
      <c r="M337" s="227">
        <f t="shared" si="124"/>
        <v>9234.2229262855199</v>
      </c>
      <c r="N337" s="227">
        <f>SQRT((ABS(AC337)-171.5+'Small Signal'!C$59)^2)</f>
        <v>13.437569352355922</v>
      </c>
      <c r="O337" s="227">
        <f t="shared" si="137"/>
        <v>51.951692150461099</v>
      </c>
      <c r="P337" s="227">
        <f t="shared" si="138"/>
        <v>5.8109174797198069</v>
      </c>
      <c r="Q337" s="227">
        <f t="shared" si="121"/>
        <v>17651.87329478523</v>
      </c>
      <c r="R337" s="227" t="str">
        <f t="shared" si="125"/>
        <v>0.0945666666666667+0.521276957370954i</v>
      </c>
      <c r="S337" s="227" t="str">
        <f t="shared" si="126"/>
        <v>0.0085-0.959183008053407i</v>
      </c>
      <c r="T337" s="227" t="str">
        <f t="shared" si="127"/>
        <v>0.0467299319570838-0.956976472356918i</v>
      </c>
      <c r="U337" s="227" t="str">
        <f t="shared" si="128"/>
        <v>-9.82944025205176+2.56923227118544i</v>
      </c>
      <c r="V337" s="227">
        <f t="shared" si="139"/>
        <v>20.137590166780527</v>
      </c>
      <c r="W337" s="227">
        <f t="shared" si="140"/>
        <v>-194.64832478808117</v>
      </c>
      <c r="X337" s="227" t="str">
        <f t="shared" si="129"/>
        <v>0.997784258625315-0.0149672758536883i</v>
      </c>
      <c r="Y337" s="227" t="str">
        <f t="shared" si="130"/>
        <v>7.78215346204502-48.5574268768308i</v>
      </c>
      <c r="Z337" s="227" t="str">
        <f t="shared" si="131"/>
        <v>3.95747899423836-27.3083835056077i</v>
      </c>
      <c r="AA337" s="227" t="str">
        <f t="shared" si="132"/>
        <v>-1.30174760707621-2.79956690947141i</v>
      </c>
      <c r="AB337" s="227">
        <f t="shared" si="141"/>
        <v>9.7918957910096474</v>
      </c>
      <c r="AC337" s="227">
        <f t="shared" si="142"/>
        <v>-114.93756935235592</v>
      </c>
      <c r="AD337" s="229">
        <f t="shared" si="143"/>
        <v>-15.602813270729454</v>
      </c>
      <c r="AE337" s="229">
        <f t="shared" si="144"/>
        <v>166.88926150281702</v>
      </c>
      <c r="AF337" s="227">
        <f t="shared" si="133"/>
        <v>-5.8109174797198069</v>
      </c>
      <c r="AG337" s="227">
        <f t="shared" si="134"/>
        <v>51.951692150461099</v>
      </c>
      <c r="AH337" s="229" t="str">
        <f t="shared" si="135"/>
        <v>0.161580380961793-0.0376328575769104i</v>
      </c>
    </row>
    <row r="338" spans="9:34" x14ac:dyDescent="0.2">
      <c r="I338" s="227">
        <v>334</v>
      </c>
      <c r="J338" s="227">
        <f t="shared" si="123"/>
        <v>4.2565409239456553</v>
      </c>
      <c r="K338" s="227">
        <f t="shared" si="122"/>
        <v>18052.648407884331</v>
      </c>
      <c r="L338" s="227">
        <f t="shared" si="136"/>
        <v>113428.13523209777</v>
      </c>
      <c r="M338" s="227">
        <f t="shared" si="124"/>
        <v>9644.097396070325</v>
      </c>
      <c r="N338" s="227">
        <f>SQRT((ABS(AC338)-171.5+'Small Signal'!C$59)^2)</f>
        <v>14.10804242282272</v>
      </c>
      <c r="O338" s="227">
        <f t="shared" si="137"/>
        <v>51.102325460861138</v>
      </c>
      <c r="P338" s="227">
        <f t="shared" si="138"/>
        <v>5.964809946845298</v>
      </c>
      <c r="Q338" s="227">
        <f t="shared" si="121"/>
        <v>18052.648407884331</v>
      </c>
      <c r="R338" s="227" t="str">
        <f t="shared" si="125"/>
        <v>0.0945666666666667+0.53311223559086i</v>
      </c>
      <c r="S338" s="227" t="str">
        <f t="shared" si="126"/>
        <v>0.0085-0.937888809559659i</v>
      </c>
      <c r="T338" s="227" t="str">
        <f t="shared" si="127"/>
        <v>0.0450537638560668-0.935796739008378i</v>
      </c>
      <c r="U338" s="227" t="str">
        <f t="shared" si="128"/>
        <v>-9.38316281966293+2.60742328526509i</v>
      </c>
      <c r="V338" s="227">
        <f t="shared" si="139"/>
        <v>19.770025384812207</v>
      </c>
      <c r="W338" s="227">
        <f t="shared" si="140"/>
        <v>-195.52971826738676</v>
      </c>
      <c r="X338" s="227" t="str">
        <f t="shared" si="129"/>
        <v>0.997682502296614-0.0153070988046506i</v>
      </c>
      <c r="Y338" s="227" t="str">
        <f t="shared" si="130"/>
        <v>7.38480843310786-47.3755190442149i</v>
      </c>
      <c r="Z338" s="227" t="str">
        <f t="shared" si="131"/>
        <v>3.73502252826839-26.640636702728i</v>
      </c>
      <c r="AA338" s="227" t="str">
        <f t="shared" si="132"/>
        <v>-1.31205575691522-2.73748544958986i</v>
      </c>
      <c r="AB338" s="227">
        <f t="shared" si="141"/>
        <v>9.6451027431417966</v>
      </c>
      <c r="AC338" s="227">
        <f t="shared" si="142"/>
        <v>-115.60804242282272</v>
      </c>
      <c r="AD338" s="229">
        <f t="shared" si="143"/>
        <v>-15.609912689987095</v>
      </c>
      <c r="AE338" s="229">
        <f t="shared" si="144"/>
        <v>166.71036788368386</v>
      </c>
      <c r="AF338" s="227">
        <f t="shared" si="133"/>
        <v>-5.964809946845298</v>
      </c>
      <c r="AG338" s="227">
        <f t="shared" si="134"/>
        <v>51.102325460861138</v>
      </c>
      <c r="AH338" s="229" t="str">
        <f t="shared" si="135"/>
        <v>0.161330175879304-0.0381060142299358i</v>
      </c>
    </row>
    <row r="339" spans="9:34" x14ac:dyDescent="0.2">
      <c r="I339" s="227">
        <v>335</v>
      </c>
      <c r="J339" s="227">
        <f t="shared" si="123"/>
        <v>4.2662910464724391</v>
      </c>
      <c r="K339" s="227">
        <f t="shared" si="122"/>
        <v>18462.522877669137</v>
      </c>
      <c r="L339" s="227">
        <f t="shared" si="136"/>
        <v>116003.4524784377</v>
      </c>
      <c r="M339" s="227">
        <f t="shared" si="124"/>
        <v>10063.277817934022</v>
      </c>
      <c r="N339" s="227">
        <f>SQRT((ABS(AC339)-171.5+'Small Signal'!C$59)^2)</f>
        <v>14.783072231125288</v>
      </c>
      <c r="O339" s="227">
        <f t="shared" si="137"/>
        <v>50.242214362191419</v>
      </c>
      <c r="P339" s="227">
        <f t="shared" si="138"/>
        <v>6.1174048774315626</v>
      </c>
      <c r="Q339" s="227">
        <f t="shared" si="121"/>
        <v>18462.522877669137</v>
      </c>
      <c r="R339" s="227" t="str">
        <f t="shared" si="125"/>
        <v>0.0945666666666667+0.545216226648657i</v>
      </c>
      <c r="S339" s="227" t="str">
        <f t="shared" si="126"/>
        <v>0.0085-0.917067349725464i</v>
      </c>
      <c r="T339" s="227" t="str">
        <f t="shared" si="127"/>
        <v>0.0434509733076537-0.915082946642933i</v>
      </c>
      <c r="U339" s="227" t="str">
        <f t="shared" si="128"/>
        <v>-8.95778204175175+2.6375401554877i</v>
      </c>
      <c r="V339" s="227">
        <f t="shared" si="139"/>
        <v>19.40508900547426</v>
      </c>
      <c r="W339" s="227">
        <f t="shared" si="140"/>
        <v>-196.406601448065</v>
      </c>
      <c r="X339" s="227" t="str">
        <f t="shared" si="129"/>
        <v>0.997576072881718-0.0156546372303012i</v>
      </c>
      <c r="Y339" s="227" t="str">
        <f t="shared" si="130"/>
        <v>7.01001330808684-46.22623056382i</v>
      </c>
      <c r="Z339" s="227" t="str">
        <f t="shared" si="131"/>
        <v>3.52520617889132-25.9912778270339i</v>
      </c>
      <c r="AA339" s="227" t="str">
        <f t="shared" si="132"/>
        <v>-1.32192936102251-2.67671147351866i</v>
      </c>
      <c r="AB339" s="227">
        <f t="shared" si="141"/>
        <v>9.4998889784887499</v>
      </c>
      <c r="AC339" s="227">
        <f t="shared" si="142"/>
        <v>-116.28307223112529</v>
      </c>
      <c r="AD339" s="229">
        <f t="shared" si="143"/>
        <v>-15.617293855920312</v>
      </c>
      <c r="AE339" s="229">
        <f t="shared" si="144"/>
        <v>166.52528659331671</v>
      </c>
      <c r="AF339" s="227">
        <f t="shared" si="133"/>
        <v>-6.1174048774315626</v>
      </c>
      <c r="AG339" s="227">
        <f t="shared" si="134"/>
        <v>50.242214362191419</v>
      </c>
      <c r="AH339" s="229" t="str">
        <f t="shared" si="135"/>
        <v>0.161069308402315-0.0385941450277705i</v>
      </c>
    </row>
    <row r="340" spans="9:34" x14ac:dyDescent="0.2">
      <c r="I340" s="227">
        <v>336</v>
      </c>
      <c r="J340" s="227">
        <f t="shared" si="123"/>
        <v>4.2760411689992228</v>
      </c>
      <c r="K340" s="227">
        <f t="shared" si="122"/>
        <v>18881.703299532834</v>
      </c>
      <c r="L340" s="227">
        <f t="shared" si="136"/>
        <v>118637.24074614901</v>
      </c>
      <c r="M340" s="227">
        <f t="shared" si="124"/>
        <v>10491.975477893402</v>
      </c>
      <c r="N340" s="227">
        <f>SQRT((ABS(AC340)-171.5+'Small Signal'!C$59)^2)</f>
        <v>15.462585045350806</v>
      </c>
      <c r="O340" s="227">
        <f t="shared" si="137"/>
        <v>49.371372498175333</v>
      </c>
      <c r="P340" s="227">
        <f t="shared" si="138"/>
        <v>6.2686744467639617</v>
      </c>
      <c r="Q340" s="227">
        <f t="shared" si="121"/>
        <v>18881.703299532834</v>
      </c>
      <c r="R340" s="227" t="str">
        <f t="shared" si="125"/>
        <v>0.0945666666666667+0.5575950315069i</v>
      </c>
      <c r="S340" s="227" t="str">
        <f t="shared" si="126"/>
        <v>0.0085-0.896708133587113i</v>
      </c>
      <c r="T340" s="227" t="str">
        <f t="shared" si="127"/>
        <v>0.0419183572630865-0.894825027560501i</v>
      </c>
      <c r="U340" s="227" t="str">
        <f t="shared" si="128"/>
        <v>-8.55228569666764+2.66034853014384i</v>
      </c>
      <c r="V340" s="227">
        <f t="shared" si="139"/>
        <v>19.042774871136356</v>
      </c>
      <c r="W340" s="227">
        <f t="shared" si="140"/>
        <v>-197.279283642975</v>
      </c>
      <c r="X340" s="227" t="str">
        <f t="shared" si="129"/>
        <v>0.997464755772504-0.016010066305829i</v>
      </c>
      <c r="Y340" s="227" t="str">
        <f t="shared" si="130"/>
        <v>6.65629847672703-45.1084762350716i</v>
      </c>
      <c r="Z340" s="227" t="str">
        <f t="shared" si="131"/>
        <v>3.32720495650511-25.3596917552957i</v>
      </c>
      <c r="AA340" s="227" t="str">
        <f t="shared" si="132"/>
        <v>-1.33138758605641-2.61721893914158i</v>
      </c>
      <c r="AB340" s="227">
        <f t="shared" si="141"/>
        <v>9.3562957049938849</v>
      </c>
      <c r="AC340" s="227">
        <f t="shared" si="142"/>
        <v>-116.96258504535081</v>
      </c>
      <c r="AD340" s="229">
        <f t="shared" si="143"/>
        <v>-15.624970151757847</v>
      </c>
      <c r="AE340" s="229">
        <f t="shared" si="144"/>
        <v>166.33395754352614</v>
      </c>
      <c r="AF340" s="227">
        <f t="shared" si="133"/>
        <v>-6.2686744467639617</v>
      </c>
      <c r="AG340" s="227">
        <f t="shared" si="134"/>
        <v>49.371372498175333</v>
      </c>
      <c r="AH340" s="229" t="str">
        <f t="shared" si="135"/>
        <v>0.160797362232344-0.0390972230322939i</v>
      </c>
    </row>
    <row r="341" spans="9:34" x14ac:dyDescent="0.2">
      <c r="I341" s="227">
        <v>337</v>
      </c>
      <c r="J341" s="227">
        <f t="shared" si="123"/>
        <v>4.2857912915260057</v>
      </c>
      <c r="K341" s="227">
        <f t="shared" si="122"/>
        <v>19310.400959492214</v>
      </c>
      <c r="L341" s="227">
        <f t="shared" si="136"/>
        <v>121330.82758442806</v>
      </c>
      <c r="M341" s="227">
        <f t="shared" si="124"/>
        <v>10930.406459086529</v>
      </c>
      <c r="N341" s="227">
        <f>SQRT((ABS(AC341)-171.5+'Small Signal'!C$59)^2)</f>
        <v>16.146495445279655</v>
      </c>
      <c r="O341" s="227">
        <f t="shared" si="137"/>
        <v>48.489824240515006</v>
      </c>
      <c r="P341" s="227">
        <f t="shared" si="138"/>
        <v>6.4185917226449085</v>
      </c>
      <c r="Q341" s="227">
        <f t="shared" si="121"/>
        <v>19310.400959492214</v>
      </c>
      <c r="R341" s="227" t="str">
        <f t="shared" si="125"/>
        <v>0.0945666666666667+0.570254889646812i</v>
      </c>
      <c r="S341" s="227" t="str">
        <f t="shared" si="126"/>
        <v>0.0085-0.876800899172784i</v>
      </c>
      <c r="T341" s="227" t="str">
        <f t="shared" si="127"/>
        <v>0.0404528517028313-0.875013119661772i</v>
      </c>
      <c r="U341" s="227" t="str">
        <f t="shared" si="128"/>
        <v>-8.16571149962961+2.67654556938504i</v>
      </c>
      <c r="V341" s="227">
        <f t="shared" si="139"/>
        <v>18.683078060207489</v>
      </c>
      <c r="W341" s="227">
        <f t="shared" si="140"/>
        <v>-198.14803714726608</v>
      </c>
      <c r="X341" s="227" t="str">
        <f t="shared" si="129"/>
        <v>0.997348326505128-0.0163735651836698i</v>
      </c>
      <c r="Y341" s="227" t="str">
        <f t="shared" si="130"/>
        <v>6.32230525191703-44.0212105467104i</v>
      </c>
      <c r="Z341" s="227" t="str">
        <f t="shared" si="131"/>
        <v>3.14025623195399-24.7452859621826i</v>
      </c>
      <c r="AA341" s="227" t="str">
        <f t="shared" si="132"/>
        <v>-1.34044882458339-2.55898215288115i</v>
      </c>
      <c r="AB341" s="227">
        <f t="shared" si="141"/>
        <v>9.2143637001021954</v>
      </c>
      <c r="AC341" s="227">
        <f t="shared" si="142"/>
        <v>-117.64649544527965</v>
      </c>
      <c r="AD341" s="229">
        <f t="shared" si="143"/>
        <v>-15.632955422747104</v>
      </c>
      <c r="AE341" s="229">
        <f t="shared" si="144"/>
        <v>166.13631968579466</v>
      </c>
      <c r="AF341" s="227">
        <f t="shared" si="133"/>
        <v>-6.4185917226449085</v>
      </c>
      <c r="AG341" s="227">
        <f t="shared" si="134"/>
        <v>48.489824240515006</v>
      </c>
      <c r="AH341" s="229" t="str">
        <f t="shared" si="135"/>
        <v>0.160513908248604-0.0396152122652804i</v>
      </c>
    </row>
    <row r="342" spans="9:34" x14ac:dyDescent="0.2">
      <c r="I342" s="227">
        <v>338</v>
      </c>
      <c r="J342" s="227">
        <f t="shared" si="123"/>
        <v>4.2955414140527886</v>
      </c>
      <c r="K342" s="227">
        <f t="shared" si="122"/>
        <v>19748.831940685341</v>
      </c>
      <c r="L342" s="227">
        <f t="shared" si="136"/>
        <v>124085.57068367305</v>
      </c>
      <c r="M342" s="227">
        <f t="shared" si="124"/>
        <v>11378.791750688497</v>
      </c>
      <c r="N342" s="227">
        <f>SQRT((ABS(AC342)-171.5+'Small Signal'!C$59)^2)</f>
        <v>16.834706289226432</v>
      </c>
      <c r="O342" s="227">
        <f t="shared" si="137"/>
        <v>47.597604820493331</v>
      </c>
      <c r="P342" s="227">
        <f t="shared" si="138"/>
        <v>6.5671307675497239</v>
      </c>
      <c r="Q342" s="227">
        <f t="shared" si="121"/>
        <v>19748.831940685341</v>
      </c>
      <c r="R342" s="227" t="str">
        <f t="shared" si="125"/>
        <v>0.0945666666666667+0.583202182213263i</v>
      </c>
      <c r="S342" s="227" t="str">
        <f t="shared" si="126"/>
        <v>0.0085-0.857335612329997i</v>
      </c>
      <c r="T342" s="227" t="str">
        <f t="shared" si="127"/>
        <v>0.0390515256697212-0.855637563040066i</v>
      </c>
      <c r="U342" s="227" t="str">
        <f t="shared" si="128"/>
        <v>-7.79714485782116+2.68676637372766i</v>
      </c>
      <c r="V342" s="227">
        <f t="shared" si="139"/>
        <v>18.325994758935387</v>
      </c>
      <c r="W342" s="227">
        <f t="shared" si="140"/>
        <v>-199.0130990158867</v>
      </c>
      <c r="X342" s="227" t="str">
        <f t="shared" si="129"/>
        <v>0.997226550307403-0.0167453170838072i</v>
      </c>
      <c r="Y342" s="227" t="str">
        <f t="shared" si="130"/>
        <v>6.00677636141053-42.9634269640636i</v>
      </c>
      <c r="Z342" s="227" t="str">
        <f t="shared" si="131"/>
        <v>2.963654383949-24.1474900957763i</v>
      </c>
      <c r="AA342" s="227" t="str">
        <f t="shared" si="132"/>
        <v>-1.34913072685025-2.50197577516743i</v>
      </c>
      <c r="AB342" s="227">
        <f t="shared" si="141"/>
        <v>9.0741332249424804</v>
      </c>
      <c r="AC342" s="227">
        <f t="shared" si="142"/>
        <v>-118.33470628922643</v>
      </c>
      <c r="AD342" s="229">
        <f t="shared" si="143"/>
        <v>-15.641263992492204</v>
      </c>
      <c r="AE342" s="229">
        <f t="shared" si="144"/>
        <v>165.93231110971976</v>
      </c>
      <c r="AF342" s="227">
        <f t="shared" si="133"/>
        <v>-6.5671307675497239</v>
      </c>
      <c r="AG342" s="227">
        <f t="shared" si="134"/>
        <v>47.597604820493331</v>
      </c>
      <c r="AH342" s="229" t="str">
        <f t="shared" si="135"/>
        <v>0.160218504430325-0.0401480667999505i</v>
      </c>
    </row>
    <row r="343" spans="9:34" x14ac:dyDescent="0.2">
      <c r="I343" s="227">
        <v>339</v>
      </c>
      <c r="J343" s="227">
        <f t="shared" si="123"/>
        <v>4.3052915365795723</v>
      </c>
      <c r="K343" s="227">
        <f t="shared" si="122"/>
        <v>20197.217232287308</v>
      </c>
      <c r="L343" s="227">
        <f t="shared" si="136"/>
        <v>126902.85855982197</v>
      </c>
      <c r="M343" s="227">
        <f t="shared" si="124"/>
        <v>11837.357359300075</v>
      </c>
      <c r="N343" s="227">
        <f>SQRT((ABS(AC343)-171.5+'Small Signal'!C$59)^2)</f>
        <v>17.527108720816784</v>
      </c>
      <c r="O343" s="227">
        <f t="shared" si="137"/>
        <v>46.694760427295876</v>
      </c>
      <c r="P343" s="227">
        <f t="shared" si="138"/>
        <v>6.7142667431727574</v>
      </c>
      <c r="Q343" s="227">
        <f t="shared" si="121"/>
        <v>20197.217232287308</v>
      </c>
      <c r="R343" s="227" t="str">
        <f t="shared" si="125"/>
        <v>0.0945666666666667+0.596443435231163i</v>
      </c>
      <c r="S343" s="227" t="str">
        <f t="shared" si="126"/>
        <v>0.0085-0.838302461667993i</v>
      </c>
      <c r="T343" s="227" t="str">
        <f t="shared" si="127"/>
        <v>0.0377115755523593-0.836688896574666i</v>
      </c>
      <c r="U343" s="227" t="str">
        <f t="shared" si="128"/>
        <v>-7.44571666006602+2.69158976556096i</v>
      </c>
      <c r="V343" s="227">
        <f t="shared" si="139"/>
        <v>17.971522127016122</v>
      </c>
      <c r="W343" s="227">
        <f t="shared" si="140"/>
        <v>-199.8746727328701</v>
      </c>
      <c r="X343" s="227" t="str">
        <f t="shared" si="129"/>
        <v>0.997099181625399-0.0171255093861237i</v>
      </c>
      <c r="Y343" s="227" t="str">
        <f t="shared" si="130"/>
        <v>5.70854733526647-41.9341570389626i</v>
      </c>
      <c r="Z343" s="227" t="str">
        <f t="shared" si="131"/>
        <v>2.79674595133781-23.5657554553387i</v>
      </c>
      <c r="AA343" s="227" t="str">
        <f t="shared" si="132"/>
        <v>-1.35745023150843-2.44617482492942i</v>
      </c>
      <c r="AB343" s="227">
        <f t="shared" si="141"/>
        <v>8.9356439361333493</v>
      </c>
      <c r="AC343" s="227">
        <f t="shared" si="142"/>
        <v>-119.02710872081678</v>
      </c>
      <c r="AD343" s="229">
        <f t="shared" si="143"/>
        <v>-15.649910679306107</v>
      </c>
      <c r="AE343" s="229">
        <f t="shared" si="144"/>
        <v>165.72186914811266</v>
      </c>
      <c r="AF343" s="227">
        <f t="shared" si="133"/>
        <v>-6.7142667431727574</v>
      </c>
      <c r="AG343" s="227">
        <f t="shared" si="134"/>
        <v>46.694760427295876</v>
      </c>
      <c r="AH343" s="229" t="str">
        <f t="shared" si="135"/>
        <v>0.1599106958131-0.0406957298128076i</v>
      </c>
    </row>
    <row r="344" spans="9:34" x14ac:dyDescent="0.2">
      <c r="I344" s="227">
        <v>340</v>
      </c>
      <c r="J344" s="227">
        <f t="shared" si="123"/>
        <v>4.3150416591063561</v>
      </c>
      <c r="K344" s="227">
        <f t="shared" si="122"/>
        <v>20655.782840898886</v>
      </c>
      <c r="L344" s="227">
        <f t="shared" si="136"/>
        <v>129784.11125422809</v>
      </c>
      <c r="M344" s="227">
        <f t="shared" si="124"/>
        <v>12306.334422865219</v>
      </c>
      <c r="N344" s="227">
        <f>SQRT((ABS(AC344)-171.5+'Small Signal'!C$59)^2)</f>
        <v>18.223582217824898</v>
      </c>
      <c r="O344" s="227">
        <f t="shared" si="137"/>
        <v>45.78134827123985</v>
      </c>
      <c r="P344" s="227">
        <f t="shared" si="138"/>
        <v>6.8599760168935795</v>
      </c>
      <c r="Q344" s="227">
        <f t="shared" si="121"/>
        <v>20655.782840898886</v>
      </c>
      <c r="R344" s="227" t="str">
        <f t="shared" si="125"/>
        <v>0.0945666666666667+0.609985322894872i</v>
      </c>
      <c r="S344" s="227" t="str">
        <f t="shared" si="126"/>
        <v>0.0085-0.819691853612311i</v>
      </c>
      <c r="T344" s="227" t="str">
        <f t="shared" si="127"/>
        <v>0.0364303196087765-0.818157854530175i</v>
      </c>
      <c r="U344" s="227" t="str">
        <f t="shared" si="128"/>
        <v>-7.11060111653758+2.69154349300879i</v>
      </c>
      <c r="V344" s="227">
        <f t="shared" si="139"/>
        <v>17.619658158369525</v>
      </c>
      <c r="W344" s="227">
        <f t="shared" si="140"/>
        <v>-200.73292978734051</v>
      </c>
      <c r="X344" s="227" t="str">
        <f t="shared" si="129"/>
        <v>0.9969659636283-0.0175143337248488i</v>
      </c>
      <c r="Y344" s="227" t="str">
        <f t="shared" si="130"/>
        <v>5.42653869932698-40.9324693875993i</v>
      </c>
      <c r="Z344" s="227" t="str">
        <f t="shared" si="131"/>
        <v>2.63892523961196-22.999554396629i</v>
      </c>
      <c r="AA344" s="227" t="str">
        <f t="shared" si="132"/>
        <v>-1.36542359531513-2.39155468317784i</v>
      </c>
      <c r="AB344" s="227">
        <f t="shared" si="141"/>
        <v>8.798934795644028</v>
      </c>
      <c r="AC344" s="227">
        <f t="shared" si="142"/>
        <v>-119.7235822178249</v>
      </c>
      <c r="AD344" s="229">
        <f t="shared" si="143"/>
        <v>-15.658910812537608</v>
      </c>
      <c r="AE344" s="229">
        <f t="shared" si="144"/>
        <v>165.50493048906475</v>
      </c>
      <c r="AF344" s="227">
        <f t="shared" si="133"/>
        <v>-6.8599760168935795</v>
      </c>
      <c r="AG344" s="227">
        <f t="shared" si="134"/>
        <v>45.78134827123985</v>
      </c>
      <c r="AH344" s="229" t="str">
        <f t="shared" si="135"/>
        <v>0.159590014483046-0.0412581325954868i</v>
      </c>
    </row>
    <row r="345" spans="9:34" x14ac:dyDescent="0.2">
      <c r="I345" s="227">
        <v>341</v>
      </c>
      <c r="J345" s="227">
        <f t="shared" si="123"/>
        <v>4.3247917816331398</v>
      </c>
      <c r="K345" s="227">
        <f t="shared" si="122"/>
        <v>21124.75990446403</v>
      </c>
      <c r="L345" s="227">
        <f t="shared" si="136"/>
        <v>132730.78104942484</v>
      </c>
      <c r="M345" s="227">
        <f t="shared" si="124"/>
        <v>12785.959327175218</v>
      </c>
      <c r="N345" s="227">
        <f>SQRT((ABS(AC345)-171.5+'Small Signal'!C$59)^2)</f>
        <v>18.923994685008708</v>
      </c>
      <c r="O345" s="227">
        <f t="shared" si="137"/>
        <v>44.857436610286655</v>
      </c>
      <c r="P345" s="227">
        <f t="shared" si="138"/>
        <v>7.004236269640872</v>
      </c>
      <c r="Q345" s="227">
        <f t="shared" si="121"/>
        <v>21124.75990446403</v>
      </c>
      <c r="R345" s="227" t="str">
        <f t="shared" si="125"/>
        <v>0.0945666666666667+0.623834670932297i</v>
      </c>
      <c r="S345" s="227" t="str">
        <f t="shared" si="126"/>
        <v>0.0085-0.801494407569189i</v>
      </c>
      <c r="T345" s="227" t="str">
        <f t="shared" si="127"/>
        <v>0.0352051927207178-0.800035363166272i</v>
      </c>
      <c r="U345" s="227" t="str">
        <f t="shared" si="128"/>
        <v>-6.79101365985479+2.68710891773327i</v>
      </c>
      <c r="V345" s="227">
        <f t="shared" si="139"/>
        <v>17.270401538330248</v>
      </c>
      <c r="W345" s="227">
        <f t="shared" si="140"/>
        <v>-201.5880111698086</v>
      </c>
      <c r="X345" s="227" t="str">
        <f t="shared" si="129"/>
        <v>0.996826627690516-0.0179119860851513i</v>
      </c>
      <c r="Y345" s="227" t="str">
        <f t="shared" si="130"/>
        <v>5.15974889427342-39.9574685732826i</v>
      </c>
      <c r="Z345" s="227" t="str">
        <f t="shared" si="131"/>
        <v>2.48963033625202-22.448379685391i</v>
      </c>
      <c r="AA345" s="227" t="str">
        <f t="shared" si="132"/>
        <v>-1.37306642183811-2.3380910957449i</v>
      </c>
      <c r="AB345" s="227">
        <f t="shared" si="141"/>
        <v>8.66404397918682</v>
      </c>
      <c r="AC345" s="227">
        <f t="shared" si="142"/>
        <v>-120.42399468500871</v>
      </c>
      <c r="AD345" s="229">
        <f t="shared" si="143"/>
        <v>-15.668280248827692</v>
      </c>
      <c r="AE345" s="229">
        <f t="shared" si="144"/>
        <v>165.28143129529536</v>
      </c>
      <c r="AF345" s="227">
        <f t="shared" si="133"/>
        <v>-7.004236269640872</v>
      </c>
      <c r="AG345" s="227">
        <f t="shared" si="134"/>
        <v>44.857436610286655</v>
      </c>
      <c r="AH345" s="229" t="str">
        <f t="shared" si="135"/>
        <v>0.159255979612831-0.041835193526563i</v>
      </c>
    </row>
    <row r="346" spans="9:34" x14ac:dyDescent="0.2">
      <c r="I346" s="227">
        <v>342</v>
      </c>
      <c r="J346" s="227">
        <f t="shared" si="123"/>
        <v>4.3345419041599236</v>
      </c>
      <c r="K346" s="227">
        <f t="shared" si="122"/>
        <v>21604.38480877403</v>
      </c>
      <c r="L346" s="227">
        <f t="shared" si="136"/>
        <v>135744.35320114283</v>
      </c>
      <c r="M346" s="227">
        <f t="shared" si="124"/>
        <v>13276.473825017782</v>
      </c>
      <c r="N346" s="227">
        <f>SQRT((ABS(AC346)-171.5+'Small Signal'!C$59)^2)</f>
        <v>19.628202592638644</v>
      </c>
      <c r="O346" s="227">
        <f t="shared" si="137"/>
        <v>43.923104738457056</v>
      </c>
      <c r="P346" s="227">
        <f t="shared" si="138"/>
        <v>7.14702660459775</v>
      </c>
      <c r="Q346" s="227">
        <f t="shared" si="121"/>
        <v>21604.38480877403</v>
      </c>
      <c r="R346" s="227" t="str">
        <f t="shared" si="125"/>
        <v>0.0945666666666667+0.637998460045371i</v>
      </c>
      <c r="S346" s="227" t="str">
        <f t="shared" si="126"/>
        <v>0.0085-0.783700951197349i</v>
      </c>
      <c r="T346" s="227" t="str">
        <f t="shared" si="127"/>
        <v>0.0340337413692696-0.782312537361872i</v>
      </c>
      <c r="U346" s="227" t="str">
        <f t="shared" si="128"/>
        <v>-6.48620891562301+2.67872524138595i</v>
      </c>
      <c r="V346" s="227">
        <f t="shared" si="139"/>
        <v>16.923751498405075</v>
      </c>
      <c r="W346" s="227">
        <f t="shared" si="140"/>
        <v>-202.4400288010398</v>
      </c>
      <c r="X346" s="227" t="str">
        <f t="shared" si="129"/>
        <v>0.996680892850022-0.0183186669019248i</v>
      </c>
      <c r="Y346" s="227" t="str">
        <f t="shared" si="130"/>
        <v>4.90724784807985-39.0082939241237i</v>
      </c>
      <c r="Z346" s="227" t="str">
        <f t="shared" si="131"/>
        <v>2.34833949419029-21.9117438157505i</v>
      </c>
      <c r="AA346" s="227" t="str">
        <f t="shared" si="132"/>
        <v>-1.38039368919042-2.28576017524102i</v>
      </c>
      <c r="AB346" s="227">
        <f t="shared" si="141"/>
        <v>8.5310087836505328</v>
      </c>
      <c r="AC346" s="227">
        <f t="shared" si="142"/>
        <v>-121.12820259263864</v>
      </c>
      <c r="AD346" s="229">
        <f t="shared" si="143"/>
        <v>-15.678035388248283</v>
      </c>
      <c r="AE346" s="229">
        <f t="shared" si="144"/>
        <v>165.0513073310957</v>
      </c>
      <c r="AF346" s="227">
        <f t="shared" si="133"/>
        <v>-7.14702660459775</v>
      </c>
      <c r="AG346" s="227">
        <f t="shared" si="134"/>
        <v>43.923104738457056</v>
      </c>
      <c r="AH346" s="229" t="str">
        <f t="shared" si="135"/>
        <v>0.15890809754379-0.0424268170034879i</v>
      </c>
    </row>
    <row r="347" spans="9:34" x14ac:dyDescent="0.2">
      <c r="I347" s="227">
        <v>343</v>
      </c>
      <c r="J347" s="227">
        <f t="shared" si="123"/>
        <v>4.3442920266867064</v>
      </c>
      <c r="K347" s="227">
        <f t="shared" si="122"/>
        <v>22094.899306616593</v>
      </c>
      <c r="L347" s="227">
        <f t="shared" si="136"/>
        <v>138826.34668694579</v>
      </c>
      <c r="M347" s="227">
        <f t="shared" si="124"/>
        <v>13778.125158031738</v>
      </c>
      <c r="N347" s="227">
        <f>SQRT((ABS(AC347)-171.5+'Small Signal'!C$59)^2)</f>
        <v>20.336051162160189</v>
      </c>
      <c r="O347" s="227">
        <f t="shared" si="137"/>
        <v>42.978442935017725</v>
      </c>
      <c r="P347" s="227">
        <f t="shared" si="138"/>
        <v>7.2883276561412682</v>
      </c>
      <c r="Q347" s="227">
        <f t="shared" si="121"/>
        <v>22094.899306616593</v>
      </c>
      <c r="R347" s="227" t="str">
        <f t="shared" si="125"/>
        <v>0.0945666666666667+0.652483829428645i</v>
      </c>
      <c r="S347" s="227" t="str">
        <f t="shared" si="126"/>
        <v>0.0085-0.766302515784691i</v>
      </c>
      <c r="T347" s="227" t="str">
        <f t="shared" si="127"/>
        <v>0.0329136188228639-0.764980677257016i</v>
      </c>
      <c r="U347" s="227" t="str">
        <f t="shared" si="128"/>
        <v>-6.19547874786029+2.66679331931443i</v>
      </c>
      <c r="V347" s="227">
        <f t="shared" si="139"/>
        <v>16.579707669672526</v>
      </c>
      <c r="W347" s="227">
        <f t="shared" si="140"/>
        <v>-203.28906690454929</v>
      </c>
      <c r="X347" s="227" t="str">
        <f t="shared" si="129"/>
        <v>0.996528465241817-0.0187345811608161i</v>
      </c>
      <c r="Y347" s="227" t="str">
        <f t="shared" si="130"/>
        <v>4.66817113713204-38.084118309919i</v>
      </c>
      <c r="Z347" s="227" t="str">
        <f t="shared" si="131"/>
        <v>2.21456784687886-21.3891783070357i</v>
      </c>
      <c r="AA347" s="227" t="str">
        <f t="shared" si="132"/>
        <v>-1.38741977682318-2.23453840228582i</v>
      </c>
      <c r="AB347" s="227">
        <f t="shared" si="141"/>
        <v>8.3998655341254054</v>
      </c>
      <c r="AC347" s="227">
        <f t="shared" si="142"/>
        <v>-121.83605116216019</v>
      </c>
      <c r="AD347" s="229">
        <f t="shared" si="143"/>
        <v>-15.688193190266674</v>
      </c>
      <c r="AE347" s="229">
        <f t="shared" si="144"/>
        <v>164.81449409717791</v>
      </c>
      <c r="AF347" s="227">
        <f t="shared" si="133"/>
        <v>-7.2883276561412682</v>
      </c>
      <c r="AG347" s="227">
        <f t="shared" si="134"/>
        <v>42.978442935017725</v>
      </c>
      <c r="AH347" s="229" t="str">
        <f t="shared" si="135"/>
        <v>0.158545861918663-0.0430328923351328i</v>
      </c>
    </row>
    <row r="348" spans="9:34" x14ac:dyDescent="0.2">
      <c r="I348" s="227">
        <v>344</v>
      </c>
      <c r="J348" s="227">
        <f t="shared" si="123"/>
        <v>4.3540421492134893</v>
      </c>
      <c r="K348" s="227">
        <f t="shared" si="122"/>
        <v>22596.55063963055</v>
      </c>
      <c r="L348" s="227">
        <f t="shared" si="136"/>
        <v>141978.31497186614</v>
      </c>
      <c r="M348" s="227">
        <f t="shared" si="124"/>
        <v>14291.166181327751</v>
      </c>
      <c r="N348" s="227">
        <f>SQRT((ABS(AC348)-171.5+'Small Signal'!C$59)^2)</f>
        <v>21.047374600121159</v>
      </c>
      <c r="O348" s="227">
        <f t="shared" si="137"/>
        <v>42.023552373616965</v>
      </c>
      <c r="P348" s="227">
        <f t="shared" si="138"/>
        <v>7.4281216983773835</v>
      </c>
      <c r="Q348" s="227">
        <f t="shared" si="121"/>
        <v>22596.55063963055</v>
      </c>
      <c r="R348" s="227" t="str">
        <f t="shared" si="125"/>
        <v>0.0945666666666667+0.667298080367771i</v>
      </c>
      <c r="S348" s="227" t="str">
        <f t="shared" si="126"/>
        <v>0.0085-0.749290331727664i</v>
      </c>
      <c r="T348" s="227" t="str">
        <f t="shared" si="127"/>
        <v>0.0318425805290454-0.748031264916018i</v>
      </c>
      <c r="U348" s="227" t="str">
        <f t="shared" si="128"/>
        <v>-5.91815038267688+2.65167910473171i</v>
      </c>
      <c r="V348" s="227">
        <f t="shared" si="139"/>
        <v>16.238269935842673</v>
      </c>
      <c r="W348" s="227">
        <f t="shared" si="140"/>
        <v>-204.13518333259302</v>
      </c>
      <c r="X348" s="227" t="str">
        <f t="shared" si="129"/>
        <v>0.996369037505355-0.0191599385015471i</v>
      </c>
      <c r="Y348" s="227" t="str">
        <f t="shared" si="130"/>
        <v>4.44171467796736-37.1841468977941i</v>
      </c>
      <c r="Z348" s="227" t="str">
        <f t="shared" si="131"/>
        <v>2.08786442222818-20.8802329898982i</v>
      </c>
      <c r="AA348" s="227" t="str">
        <f t="shared" si="132"/>
        <v>-1.39415849140434-2.18440262606692i</v>
      </c>
      <c r="AB348" s="227">
        <f t="shared" si="141"/>
        <v>8.2706494911013824</v>
      </c>
      <c r="AC348" s="227">
        <f t="shared" si="142"/>
        <v>-122.54737460012116</v>
      </c>
      <c r="AD348" s="229">
        <f t="shared" si="143"/>
        <v>-15.698771189478766</v>
      </c>
      <c r="AE348" s="229">
        <f t="shared" si="144"/>
        <v>164.57092697373812</v>
      </c>
      <c r="AF348" s="227">
        <f t="shared" si="133"/>
        <v>-7.4281216983773835</v>
      </c>
      <c r="AG348" s="227">
        <f t="shared" si="134"/>
        <v>42.023552373616965</v>
      </c>
      <c r="AH348" s="229" t="str">
        <f t="shared" si="135"/>
        <v>0.158168753869623-0.0436532925956853i</v>
      </c>
    </row>
    <row r="349" spans="9:34" x14ac:dyDescent="0.2">
      <c r="I349" s="227">
        <v>345</v>
      </c>
      <c r="J349" s="227">
        <f t="shared" si="123"/>
        <v>4.3637922717402731</v>
      </c>
      <c r="K349" s="227">
        <f t="shared" si="122"/>
        <v>23109.591662926563</v>
      </c>
      <c r="L349" s="227">
        <f t="shared" si="136"/>
        <v>145201.84679142004</v>
      </c>
      <c r="M349" s="227">
        <f t="shared" si="124"/>
        <v>14815.855490938849</v>
      </c>
      <c r="N349" s="227">
        <f>SQRT((ABS(AC349)-171.5+'Small Signal'!C$59)^2)</f>
        <v>21.761996381172835</v>
      </c>
      <c r="O349" s="227">
        <f t="shared" si="137"/>
        <v>41.058544990859374</v>
      </c>
      <c r="P349" s="227">
        <f t="shared" si="138"/>
        <v>7.5663927525954247</v>
      </c>
      <c r="Q349" s="227">
        <f t="shared" si="121"/>
        <v>23109.591662926563</v>
      </c>
      <c r="R349" s="227" t="str">
        <f t="shared" si="125"/>
        <v>0.0945666666666667+0.682448679919674i</v>
      </c>
      <c r="S349" s="227" t="str">
        <f t="shared" si="126"/>
        <v>0.0085-0.73265582411098i</v>
      </c>
      <c r="T349" s="227" t="str">
        <f t="shared" si="127"/>
        <v>0.0308184797016917-0.731455961014633i</v>
      </c>
      <c r="U349" s="227" t="str">
        <f t="shared" si="128"/>
        <v>-5.6535846119367+2.63371676177307i</v>
      </c>
      <c r="V349" s="227">
        <f t="shared" si="139"/>
        <v>15.89943828693899</v>
      </c>
      <c r="W349" s="227">
        <f t="shared" si="140"/>
        <v>-204.97841085440899</v>
      </c>
      <c r="X349" s="227" t="str">
        <f t="shared" si="129"/>
        <v>0.996202288164784-0.0195949533235829i</v>
      </c>
      <c r="Y349" s="227" t="str">
        <f t="shared" si="130"/>
        <v>4.22712989757827-36.3076159022276i</v>
      </c>
      <c r="Z349" s="227" t="str">
        <f t="shared" si="131"/>
        <v>1.96780942606235-20.3844752904078i</v>
      </c>
      <c r="AA349" s="227" t="str">
        <f t="shared" si="132"/>
        <v>-1.40062309181151-2.1353300642757i</v>
      </c>
      <c r="AB349" s="227">
        <f t="shared" si="141"/>
        <v>8.1433947584469468</v>
      </c>
      <c r="AC349" s="227">
        <f t="shared" si="142"/>
        <v>-123.26199638117284</v>
      </c>
      <c r="AD349" s="229">
        <f t="shared" si="143"/>
        <v>-15.709787511042371</v>
      </c>
      <c r="AE349" s="229">
        <f t="shared" si="144"/>
        <v>164.32054137203221</v>
      </c>
      <c r="AF349" s="227">
        <f t="shared" si="133"/>
        <v>-7.5663927525954247</v>
      </c>
      <c r="AG349" s="227">
        <f t="shared" si="134"/>
        <v>41.058544990859374</v>
      </c>
      <c r="AH349" s="229" t="str">
        <f t="shared" si="135"/>
        <v>0.15777624226659-0.0442878734410285i</v>
      </c>
    </row>
    <row r="350" spans="9:34" x14ac:dyDescent="0.2">
      <c r="I350" s="227">
        <v>346</v>
      </c>
      <c r="J350" s="227">
        <f t="shared" si="123"/>
        <v>4.3735423942670568</v>
      </c>
      <c r="K350" s="227">
        <f t="shared" si="122"/>
        <v>23634.280972537661</v>
      </c>
      <c r="L350" s="227">
        <f t="shared" si="136"/>
        <v>148498.5669524027</v>
      </c>
      <c r="M350" s="227">
        <f t="shared" si="124"/>
        <v>15352.457554164792</v>
      </c>
      <c r="N350" s="227">
        <f>SQRT((ABS(AC350)-171.5+'Small Signal'!C$59)^2)</f>
        <v>22.479729580589876</v>
      </c>
      <c r="O350" s="227">
        <f t="shared" si="137"/>
        <v>40.083543314162981</v>
      </c>
      <c r="P350" s="227">
        <f t="shared" si="138"/>
        <v>7.7031266929383495</v>
      </c>
      <c r="Q350" s="227">
        <f t="shared" si="121"/>
        <v>23634.280972537661</v>
      </c>
      <c r="R350" s="227" t="str">
        <f t="shared" si="125"/>
        <v>0.0945666666666667+0.697943264676293i</v>
      </c>
      <c r="S350" s="227" t="str">
        <f t="shared" si="126"/>
        <v>0.0085-0.716390608385481i</v>
      </c>
      <c r="T350" s="227" t="str">
        <f t="shared" si="127"/>
        <v>0.0298392630956911-0.715246601553975i</v>
      </c>
      <c r="U350" s="227" t="str">
        <f t="shared" si="128"/>
        <v>-5.40117407735548+2.61321148163099i</v>
      </c>
      <c r="V350" s="227">
        <f t="shared" si="139"/>
        <v>15.563212674523481</v>
      </c>
      <c r="W350" s="227">
        <f t="shared" si="140"/>
        <v>-205.81875841437517</v>
      </c>
      <c r="X350" s="227" t="str">
        <f t="shared" si="129"/>
        <v>0.996027880980701-0.0200398448941989i</v>
      </c>
      <c r="Y350" s="227" t="str">
        <f t="shared" si="130"/>
        <v>4.02371933558715-35.4537913418465i</v>
      </c>
      <c r="Z350" s="227" t="str">
        <f t="shared" si="131"/>
        <v>1.85401176876635-19.9014895189868i</v>
      </c>
      <c r="AA350" s="227" t="str">
        <f t="shared" si="132"/>
        <v>-1.40682631326773-2.08729830246734i</v>
      </c>
      <c r="AB350" s="227">
        <f t="shared" si="141"/>
        <v>8.0181341928042276</v>
      </c>
      <c r="AC350" s="227">
        <f t="shared" si="142"/>
        <v>-123.97972958058988</v>
      </c>
      <c r="AD350" s="229">
        <f t="shared" si="143"/>
        <v>-15.721260885742577</v>
      </c>
      <c r="AE350" s="229">
        <f t="shared" si="144"/>
        <v>164.06327289475286</v>
      </c>
      <c r="AF350" s="227">
        <f t="shared" si="133"/>
        <v>-7.7031266929383495</v>
      </c>
      <c r="AG350" s="227">
        <f t="shared" si="134"/>
        <v>40.083543314162981</v>
      </c>
      <c r="AH350" s="229" t="str">
        <f t="shared" si="135"/>
        <v>0.157367784030912-0.044936471889085i</v>
      </c>
    </row>
    <row r="351" spans="9:34" x14ac:dyDescent="0.2">
      <c r="I351" s="227">
        <v>347</v>
      </c>
      <c r="J351" s="227">
        <f t="shared" si="123"/>
        <v>4.3832925167938397</v>
      </c>
      <c r="K351" s="227">
        <f t="shared" si="122"/>
        <v>24170.883035763603</v>
      </c>
      <c r="L351" s="227">
        <f t="shared" si="136"/>
        <v>151870.13715186619</v>
      </c>
      <c r="M351" s="227">
        <f t="shared" si="124"/>
        <v>15901.242842875525</v>
      </c>
      <c r="N351" s="227">
        <f>SQRT((ABS(AC351)-171.5+'Small Signal'!C$59)^2)</f>
        <v>23.200377256386204</v>
      </c>
      <c r="O351" s="227">
        <f t="shared" si="137"/>
        <v>39.098680249100553</v>
      </c>
      <c r="P351" s="227">
        <f t="shared" si="138"/>
        <v>7.8383113495590653</v>
      </c>
      <c r="Q351" s="227">
        <f t="shared" si="121"/>
        <v>24170.883035763603</v>
      </c>
      <c r="R351" s="227" t="str">
        <f t="shared" si="125"/>
        <v>0.0945666666666667+0.713789644613771i</v>
      </c>
      <c r="S351" s="227" t="str">
        <f t="shared" si="126"/>
        <v>0.0085-0.700486486141935i</v>
      </c>
      <c r="T351" s="227" t="str">
        <f t="shared" si="127"/>
        <v>0.0289029669613858-0.6993951946036i</v>
      </c>
      <c r="U351" s="227" t="str">
        <f t="shared" si="128"/>
        <v>-5.16034163450076+2.59044203220981i</v>
      </c>
      <c r="V351" s="227">
        <f t="shared" si="139"/>
        <v>15.229592869345609</v>
      </c>
      <c r="W351" s="227">
        <f t="shared" si="140"/>
        <v>-206.65621236672297</v>
      </c>
      <c r="X351" s="227" t="str">
        <f t="shared" si="129"/>
        <v>0.995845464272152-0.0204948374590012i</v>
      </c>
      <c r="Y351" s="227" t="str">
        <f t="shared" si="130"/>
        <v>3.83083263640258-34.6219678127213i</v>
      </c>
      <c r="Z351" s="227" t="str">
        <f t="shared" si="131"/>
        <v>1.74610681151132-19.4308761695621i</v>
      </c>
      <c r="AA351" s="227" t="str">
        <f t="shared" si="132"/>
        <v>-1.41278039064897-2.04028529288796i</v>
      </c>
      <c r="AB351" s="227">
        <f t="shared" si="141"/>
        <v>7.8948993150498872</v>
      </c>
      <c r="AC351" s="227">
        <f t="shared" si="142"/>
        <v>-124.7003772563862</v>
      </c>
      <c r="AD351" s="229">
        <f t="shared" si="143"/>
        <v>-15.733210664608952</v>
      </c>
      <c r="AE351" s="229">
        <f t="shared" si="144"/>
        <v>163.79905750548676</v>
      </c>
      <c r="AF351" s="227">
        <f t="shared" si="133"/>
        <v>-7.8383113495590653</v>
      </c>
      <c r="AG351" s="227">
        <f t="shared" si="134"/>
        <v>39.098680249100553</v>
      </c>
      <c r="AH351" s="229" t="str">
        <f t="shared" si="135"/>
        <v>0.156942824519801-0.0455989050660475i</v>
      </c>
    </row>
    <row r="352" spans="9:34" x14ac:dyDescent="0.2">
      <c r="I352" s="227">
        <v>348</v>
      </c>
      <c r="J352" s="227">
        <f t="shared" si="123"/>
        <v>4.3930426393206234</v>
      </c>
      <c r="K352" s="227">
        <f t="shared" si="122"/>
        <v>24719.668324474336</v>
      </c>
      <c r="L352" s="227">
        <f t="shared" si="136"/>
        <v>155318.25681468978</v>
      </c>
      <c r="M352" s="227">
        <f t="shared" si="124"/>
        <v>16462.487969841139</v>
      </c>
      <c r="N352" s="227">
        <f>SQRT((ABS(AC352)-171.5+'Small Signal'!C$59)^2)</f>
        <v>23.923732880685648</v>
      </c>
      <c r="O352" s="227">
        <f t="shared" si="137"/>
        <v>38.104098826823915</v>
      </c>
      <c r="P352" s="227">
        <f t="shared" si="138"/>
        <v>7.9719366085188703</v>
      </c>
      <c r="Q352" s="227">
        <f t="shared" si="121"/>
        <v>24719.668324474336</v>
      </c>
      <c r="R352" s="227" t="str">
        <f t="shared" si="125"/>
        <v>0.0945666666666667+0.729995807029042i</v>
      </c>
      <c r="S352" s="227" t="str">
        <f t="shared" si="126"/>
        <v>0.0085-0.684935440978649i</v>
      </c>
      <c r="T352" s="227" t="str">
        <f t="shared" si="127"/>
        <v>0.0280077131713755-0.683893917075859i</v>
      </c>
      <c r="U352" s="227" t="str">
        <f t="shared" si="128"/>
        <v>-4.9305387954056+2.56566306842006i</v>
      </c>
      <c r="V352" s="227">
        <f t="shared" si="139"/>
        <v>14.898578322259192</v>
      </c>
      <c r="W352" s="227">
        <f t="shared" si="140"/>
        <v>-207.49073769243969</v>
      </c>
      <c r="X352" s="227" t="str">
        <f t="shared" si="129"/>
        <v>0.995654670207488-0.0209601603549573i</v>
      </c>
      <c r="Y352" s="227" t="str">
        <f t="shared" si="130"/>
        <v>3.64786289376179-33.8114672856939i</v>
      </c>
      <c r="Z352" s="227" t="str">
        <f t="shared" si="131"/>
        <v>1.64375431086754-18.9722512330885i</v>
      </c>
      <c r="AA352" s="227" t="str">
        <f t="shared" si="132"/>
        <v>-1.41849708099163-1.99426935280925i</v>
      </c>
      <c r="AB352" s="227">
        <f t="shared" si="141"/>
        <v>7.7737202244834549</v>
      </c>
      <c r="AC352" s="227">
        <f t="shared" si="142"/>
        <v>-125.42373288068565</v>
      </c>
      <c r="AD352" s="229">
        <f t="shared" si="143"/>
        <v>-15.745656833002325</v>
      </c>
      <c r="AE352" s="229">
        <f t="shared" si="144"/>
        <v>163.52783170750956</v>
      </c>
      <c r="AF352" s="227">
        <f t="shared" si="133"/>
        <v>-7.9719366085188703</v>
      </c>
      <c r="AG352" s="227">
        <f t="shared" si="134"/>
        <v>38.104098826823915</v>
      </c>
      <c r="AH352" s="229" t="str">
        <f t="shared" si="135"/>
        <v>0.156500797987003-0.046274968920874i</v>
      </c>
    </row>
    <row r="353" spans="9:34" x14ac:dyDescent="0.2">
      <c r="I353" s="227">
        <v>349</v>
      </c>
      <c r="J353" s="227">
        <f t="shared" si="123"/>
        <v>4.4027927618474063</v>
      </c>
      <c r="K353" s="227">
        <f t="shared" si="122"/>
        <v>25280.913451439948</v>
      </c>
      <c r="L353" s="227">
        <f t="shared" si="136"/>
        <v>158844.66395016626</v>
      </c>
      <c r="M353" s="227">
        <f t="shared" si="124"/>
        <v>17036.47582815776</v>
      </c>
      <c r="N353" s="227">
        <f>SQRT((ABS(AC353)-171.5+'Small Signal'!C$59)^2)</f>
        <v>24.649580819604012</v>
      </c>
      <c r="O353" s="227">
        <f t="shared" si="137"/>
        <v>37.099951912557259</v>
      </c>
      <c r="P353" s="227">
        <f t="shared" si="138"/>
        <v>8.1039945076656643</v>
      </c>
      <c r="Q353" s="227">
        <f t="shared" si="121"/>
        <v>25280.913451439948</v>
      </c>
      <c r="R353" s="227" t="str">
        <f t="shared" si="125"/>
        <v>0.0945666666666667+0.746569920565781i</v>
      </c>
      <c r="S353" s="227" t="str">
        <f t="shared" si="126"/>
        <v>0.0085-0.669729634460869i</v>
      </c>
      <c r="T353" s="227" t="str">
        <f t="shared" si="127"/>
        <v>0.0271517055125687-0.668735111533539i</v>
      </c>
      <c r="U353" s="227" t="str">
        <f t="shared" si="128"/>
        <v>-4.71124424794272+2.539107227292i</v>
      </c>
      <c r="V353" s="227">
        <f t="shared" si="139"/>
        <v>14.57016802921736</v>
      </c>
      <c r="W353" s="227">
        <f t="shared" si="140"/>
        <v>-208.32227920304581</v>
      </c>
      <c r="X353" s="227" t="str">
        <f t="shared" si="129"/>
        <v>0.995455114062655-0.0214360481259915i</v>
      </c>
      <c r="Y353" s="227" t="str">
        <f t="shared" si="130"/>
        <v>3.47424331390538-33.0216379334618i</v>
      </c>
      <c r="Z353" s="227" t="str">
        <f t="shared" si="131"/>
        <v>1.54663654278271-18.5252455285852i</v>
      </c>
      <c r="AA353" s="227" t="str">
        <f t="shared" si="132"/>
        <v>-1.42398768522942-1.94922916240868i</v>
      </c>
      <c r="AB353" s="227">
        <f t="shared" si="141"/>
        <v>7.6546255164137031</v>
      </c>
      <c r="AC353" s="227">
        <f t="shared" si="142"/>
        <v>-126.14958081960401</v>
      </c>
      <c r="AD353" s="229">
        <f t="shared" si="143"/>
        <v>-15.758620024079368</v>
      </c>
      <c r="AE353" s="229">
        <f t="shared" si="144"/>
        <v>163.24953273216127</v>
      </c>
      <c r="AF353" s="227">
        <f t="shared" si="133"/>
        <v>-8.1039945076656643</v>
      </c>
      <c r="AG353" s="227">
        <f t="shared" si="134"/>
        <v>37.099951912557259</v>
      </c>
      <c r="AH353" s="229" t="str">
        <f t="shared" si="135"/>
        <v>0.156041128125387-0.0469644369109313i</v>
      </c>
    </row>
    <row r="354" spans="9:34" x14ac:dyDescent="0.2">
      <c r="I354" s="227">
        <v>350</v>
      </c>
      <c r="J354" s="227">
        <f t="shared" si="123"/>
        <v>4.4125428843741901</v>
      </c>
      <c r="K354" s="227">
        <f t="shared" si="122"/>
        <v>25854.901309756573</v>
      </c>
      <c r="L354" s="227">
        <f t="shared" si="136"/>
        <v>162451.13602804075</v>
      </c>
      <c r="M354" s="227">
        <f t="shared" si="124"/>
        <v>17623.495733838012</v>
      </c>
      <c r="N354" s="227">
        <f>SQRT((ABS(AC354)-171.5+'Small Signal'!C$59)^2)</f>
        <v>25.377696860467665</v>
      </c>
      <c r="O354" s="227">
        <f t="shared" si="137"/>
        <v>36.086401876548024</v>
      </c>
      <c r="P354" s="227">
        <f t="shared" si="138"/>
        <v>8.2344793277333075</v>
      </c>
      <c r="Q354" s="227">
        <f t="shared" si="121"/>
        <v>25854.901309756573</v>
      </c>
      <c r="R354" s="227" t="str">
        <f t="shared" si="125"/>
        <v>0.0945666666666667+0.763520339331792i</v>
      </c>
      <c r="S354" s="227" t="str">
        <f t="shared" si="126"/>
        <v>0.0085-0.654861402169829i</v>
      </c>
      <c r="T354" s="227" t="str">
        <f t="shared" si="127"/>
        <v>0.0263332261366307-0.653911283032443i</v>
      </c>
      <c r="U354" s="227" t="str">
        <f t="shared" si="128"/>
        <v>-4.50196244969025+2.51098702947947i</v>
      </c>
      <c r="V354" s="227">
        <f t="shared" si="139"/>
        <v>14.24436040111679</v>
      </c>
      <c r="W354" s="227">
        <f t="shared" si="140"/>
        <v>-209.15076273501234</v>
      </c>
      <c r="X354" s="227" t="str">
        <f t="shared" si="129"/>
        <v>0.995246393445424-0.0219227406412063i</v>
      </c>
      <c r="Y354" s="227" t="str">
        <f t="shared" si="130"/>
        <v>3.30944416706657-32.2518529916798i</v>
      </c>
      <c r="Z354" s="227" t="str">
        <f t="shared" si="131"/>
        <v>1.45445658884128-18.0895040540118i</v>
      </c>
      <c r="AA354" s="227" t="str">
        <f t="shared" si="132"/>
        <v>-1.42926306918767-1.90514376222932i</v>
      </c>
      <c r="AB354" s="227">
        <f t="shared" si="141"/>
        <v>7.5376422038054445</v>
      </c>
      <c r="AC354" s="227">
        <f t="shared" si="142"/>
        <v>-126.87769686046767</v>
      </c>
      <c r="AD354" s="229">
        <f t="shared" si="143"/>
        <v>-15.772121531538751</v>
      </c>
      <c r="AE354" s="229">
        <f t="shared" si="144"/>
        <v>162.96409873701569</v>
      </c>
      <c r="AF354" s="227">
        <f t="shared" si="133"/>
        <v>-8.2344793277333075</v>
      </c>
      <c r="AG354" s="227">
        <f t="shared" si="134"/>
        <v>36.086401876548024</v>
      </c>
      <c r="AH354" s="229" t="str">
        <f t="shared" si="135"/>
        <v>0.155563228697215-0.0476670586622193i</v>
      </c>
    </row>
    <row r="355" spans="9:34" x14ac:dyDescent="0.2">
      <c r="I355" s="227">
        <v>351</v>
      </c>
      <c r="J355" s="227">
        <f t="shared" si="123"/>
        <v>4.4222930069009738</v>
      </c>
      <c r="K355" s="227">
        <f t="shared" si="122"/>
        <v>26441.921215436825</v>
      </c>
      <c r="L355" s="227">
        <f t="shared" si="136"/>
        <v>166139.49087443284</v>
      </c>
      <c r="M355" s="227">
        <f t="shared" si="124"/>
        <v>18223.843571639729</v>
      </c>
      <c r="N355" s="227">
        <f>SQRT((ABS(AC355)-171.5+'Small Signal'!C$59)^2)</f>
        <v>26.107848784758914</v>
      </c>
      <c r="O355" s="227">
        <f t="shared" si="137"/>
        <v>35.063620229273795</v>
      </c>
      <c r="P355" s="227">
        <f t="shared" si="138"/>
        <v>8.363387677898416</v>
      </c>
      <c r="Q355" s="227">
        <f t="shared" si="121"/>
        <v>26441.921215436825</v>
      </c>
      <c r="R355" s="227" t="str">
        <f t="shared" si="125"/>
        <v>0.0945666666666667+0.780855607109834i</v>
      </c>
      <c r="S355" s="227" t="str">
        <f t="shared" si="126"/>
        <v>0.0085-0.640323249839544i</v>
      </c>
      <c r="T355" s="227" t="str">
        <f t="shared" si="127"/>
        <v>0.0255506321622547-0.639415096000479i</v>
      </c>
      <c r="U355" s="227" t="str">
        <f t="shared" si="128"/>
        <v>-4.3022222937291+2.48149660641467i</v>
      </c>
      <c r="V355" s="227">
        <f t="shared" si="139"/>
        <v>13.921153139227567</v>
      </c>
      <c r="W355" s="227">
        <f t="shared" si="140"/>
        <v>-209.97609633770784</v>
      </c>
      <c r="X355" s="227" t="str">
        <f t="shared" si="129"/>
        <v>0.995028087483994-0.0224204832157872i</v>
      </c>
      <c r="Y355" s="227" t="str">
        <f t="shared" si="130"/>
        <v>3.15297000002988-31.5015096571252i</v>
      </c>
      <c r="Z355" s="227" t="str">
        <f t="shared" si="131"/>
        <v>1.36693676945418-17.6646853586355i</v>
      </c>
      <c r="AA355" s="227" t="str">
        <f t="shared" si="132"/>
        <v>-1.43433368386381-1.86199255025219i</v>
      </c>
      <c r="AB355" s="227">
        <f t="shared" si="141"/>
        <v>7.4227956436457179</v>
      </c>
      <c r="AC355" s="227">
        <f t="shared" si="142"/>
        <v>-127.60784878475891</v>
      </c>
      <c r="AD355" s="229">
        <f t="shared" si="143"/>
        <v>-15.786183321544133</v>
      </c>
      <c r="AE355" s="229">
        <f t="shared" si="144"/>
        <v>162.67146901403271</v>
      </c>
      <c r="AF355" s="227">
        <f t="shared" si="133"/>
        <v>-8.363387677898416</v>
      </c>
      <c r="AG355" s="227">
        <f t="shared" si="134"/>
        <v>35.063620229273795</v>
      </c>
      <c r="AH355" s="229" t="str">
        <f t="shared" si="135"/>
        <v>0.155066504257975-0.0483825586082011i</v>
      </c>
    </row>
    <row r="356" spans="9:34" x14ac:dyDescent="0.2">
      <c r="I356" s="227">
        <v>352</v>
      </c>
      <c r="J356" s="227">
        <f t="shared" si="123"/>
        <v>4.4320431294277567</v>
      </c>
      <c r="K356" s="227">
        <f t="shared" si="122"/>
        <v>27042.269053238542</v>
      </c>
      <c r="L356" s="227">
        <f t="shared" si="136"/>
        <v>169911.58758810564</v>
      </c>
      <c r="M356" s="227">
        <f t="shared" si="124"/>
        <v>18837.821944205367</v>
      </c>
      <c r="N356" s="227">
        <f>SQRT((ABS(AC356)-171.5+'Small Signal'!C$59)^2)</f>
        <v>26.839796984759488</v>
      </c>
      <c r="O356" s="227">
        <f t="shared" si="137"/>
        <v>34.031787223085729</v>
      </c>
      <c r="P356" s="227">
        <f t="shared" si="138"/>
        <v>8.4907185750444931</v>
      </c>
      <c r="Q356" s="227">
        <f t="shared" si="121"/>
        <v>27042.269053238542</v>
      </c>
      <c r="R356" s="227" t="str">
        <f t="shared" si="125"/>
        <v>0.0945666666666667+0.798584461664096i</v>
      </c>
      <c r="S356" s="227" t="str">
        <f t="shared" si="126"/>
        <v>0.0085-0.626107849579363i</v>
      </c>
      <c r="T356" s="227" t="str">
        <f t="shared" si="127"/>
        <v>0.0248023524229313-0.625239371154577i</v>
      </c>
      <c r="U356" s="227" t="str">
        <f t="shared" si="128"/>
        <v>-4.1115758436131+2.45081327032303i</v>
      </c>
      <c r="V356" s="227">
        <f t="shared" si="139"/>
        <v>13.600543116899617</v>
      </c>
      <c r="W356" s="227">
        <f t="shared" si="140"/>
        <v>-210.79817145693698</v>
      </c>
      <c r="X356" s="227" t="str">
        <f t="shared" si="129"/>
        <v>0.994799755978327-0.0229295267346526i</v>
      </c>
      <c r="Y356" s="227" t="str">
        <f t="shared" si="130"/>
        <v>3.00435708525984-30.7700280249867i</v>
      </c>
      <c r="Z356" s="227" t="str">
        <f t="shared" si="131"/>
        <v>1.28381721017677-17.2504609379893i</v>
      </c>
      <c r="AA356" s="227" t="str">
        <f t="shared" si="132"/>
        <v>-1.43920958502239-1.81975527861068i</v>
      </c>
      <c r="AB356" s="227">
        <f t="shared" si="141"/>
        <v>7.3101094686685375</v>
      </c>
      <c r="AC356" s="227">
        <f t="shared" si="142"/>
        <v>-128.33979698475949</v>
      </c>
      <c r="AD356" s="229">
        <f t="shared" si="143"/>
        <v>-15.800828043713031</v>
      </c>
      <c r="AE356" s="229">
        <f t="shared" si="144"/>
        <v>162.37158420784522</v>
      </c>
      <c r="AF356" s="227">
        <f t="shared" si="133"/>
        <v>-8.4907185750444931</v>
      </c>
      <c r="AG356" s="227">
        <f t="shared" si="134"/>
        <v>34.031787223085729</v>
      </c>
      <c r="AH356" s="229" t="str">
        <f t="shared" si="135"/>
        <v>0.154550350979685-0.0491106346119057i</v>
      </c>
    </row>
    <row r="357" spans="9:34" x14ac:dyDescent="0.2">
      <c r="I357" s="227">
        <v>353</v>
      </c>
      <c r="J357" s="227">
        <f t="shared" si="123"/>
        <v>4.4417932519545396</v>
      </c>
      <c r="K357" s="227">
        <f t="shared" si="122"/>
        <v>27656.24742580418</v>
      </c>
      <c r="L357" s="227">
        <f t="shared" si="136"/>
        <v>173769.32747753608</v>
      </c>
      <c r="M357" s="227">
        <f t="shared" si="124"/>
        <v>19465.740324587619</v>
      </c>
      <c r="N357" s="227">
        <f>SQRT((ABS(AC357)-171.5+'Small Signal'!C$59)^2)</f>
        <v>27.573295121430618</v>
      </c>
      <c r="O357" s="227">
        <f t="shared" si="137"/>
        <v>32.991091422868436</v>
      </c>
      <c r="P357" s="227">
        <f t="shared" si="138"/>
        <v>8.6164735160006067</v>
      </c>
      <c r="Q357" s="227">
        <f t="shared" si="121"/>
        <v>27656.24742580418</v>
      </c>
      <c r="R357" s="227" t="str">
        <f t="shared" si="125"/>
        <v>0.0945666666666667+0.81671583914442i</v>
      </c>
      <c r="S357" s="227" t="str">
        <f t="shared" si="126"/>
        <v>0.0085-0.61220803618036i</v>
      </c>
      <c r="T357" s="227" t="str">
        <f t="shared" si="127"/>
        <v>0.0240868843541439-0.611377082456648i</v>
      </c>
      <c r="U357" s="227" t="str">
        <f t="shared" si="128"/>
        <v>-3.92959713463597+2.41909894248823i</v>
      </c>
      <c r="V357" s="227">
        <f t="shared" si="139"/>
        <v>13.282526268196545</v>
      </c>
      <c r="W357" s="227">
        <f t="shared" si="140"/>
        <v>-211.61686411533717</v>
      </c>
      <c r="X357" s="227" t="str">
        <f t="shared" si="129"/>
        <v>0.994560938512517-0.0234501277789114i</v>
      </c>
      <c r="Y357" s="227" t="str">
        <f t="shared" si="130"/>
        <v>2.86317108456319-30.0568500665644i</v>
      </c>
      <c r="Z357" s="227" t="str">
        <f t="shared" si="131"/>
        <v>1.20485452874162-16.8465146520947i</v>
      </c>
      <c r="AA357" s="227" t="str">
        <f t="shared" si="132"/>
        <v>-1.44390045213228-1.77841204997438i</v>
      </c>
      <c r="AB357" s="227">
        <f t="shared" si="141"/>
        <v>7.1996055250522328</v>
      </c>
      <c r="AC357" s="227">
        <f t="shared" si="142"/>
        <v>-129.07329512143062</v>
      </c>
      <c r="AD357" s="229">
        <f t="shared" si="143"/>
        <v>-15.81607904105284</v>
      </c>
      <c r="AE357" s="229">
        <f t="shared" si="144"/>
        <v>162.06438654429905</v>
      </c>
      <c r="AF357" s="227">
        <f t="shared" si="133"/>
        <v>-8.6164735160006067</v>
      </c>
      <c r="AG357" s="227">
        <f t="shared" si="134"/>
        <v>32.991091422868436</v>
      </c>
      <c r="AH357" s="229" t="str">
        <f t="shared" si="135"/>
        <v>0.154014157579595-0.0498509565766404i</v>
      </c>
    </row>
    <row r="358" spans="9:34" x14ac:dyDescent="0.2">
      <c r="I358" s="227">
        <v>354</v>
      </c>
      <c r="J358" s="227">
        <f t="shared" si="123"/>
        <v>4.4515433744813233</v>
      </c>
      <c r="K358" s="227">
        <f t="shared" si="122"/>
        <v>28284.165806186429</v>
      </c>
      <c r="L358" s="227">
        <f t="shared" si="136"/>
        <v>177714.65501926182</v>
      </c>
      <c r="M358" s="227">
        <f t="shared" si="124"/>
        <v>20107.915212237516</v>
      </c>
      <c r="N358" s="227">
        <f>SQRT((ABS(AC358)-171.5+'Small Signal'!C$59)^2)</f>
        <v>28.308090820673556</v>
      </c>
      <c r="O358" s="227">
        <f t="shared" si="137"/>
        <v>31.941729248640769</v>
      </c>
      <c r="P358" s="227">
        <f t="shared" si="138"/>
        <v>8.7406565420456435</v>
      </c>
      <c r="Q358" s="227">
        <f t="shared" si="121"/>
        <v>28284.165806186429</v>
      </c>
      <c r="R358" s="227" t="str">
        <f t="shared" si="125"/>
        <v>0.0945666666666667+0.83525887859053i</v>
      </c>
      <c r="S358" s="227" t="str">
        <f t="shared" si="126"/>
        <v>0.0085-0.598616803503762i</v>
      </c>
      <c r="T358" s="227" t="str">
        <f t="shared" si="127"/>
        <v>0.0234027910141566-0.5978213541096i</v>
      </c>
      <c r="U358" s="227" t="str">
        <f t="shared" si="128"/>
        <v>-3.75588103845682+2.38650145354006i</v>
      </c>
      <c r="V358" s="227">
        <f t="shared" si="139"/>
        <v>12.967097484053713</v>
      </c>
      <c r="W358" s="227">
        <f t="shared" si="140"/>
        <v>-212.43203609016712</v>
      </c>
      <c r="X358" s="227" t="str">
        <f t="shared" si="129"/>
        <v>0.994311153526387-0.0239825487551915i</v>
      </c>
      <c r="Y358" s="227" t="str">
        <f t="shared" si="130"/>
        <v>2.72900490744211-29.361438647998i</v>
      </c>
      <c r="Z358" s="227" t="str">
        <f t="shared" si="131"/>
        <v>1.12982063163011-16.4525421672471i</v>
      </c>
      <c r="AA358" s="227" t="str">
        <f t="shared" si="132"/>
        <v>-1.44841560667437-1.73794331362794i</v>
      </c>
      <c r="AB358" s="227">
        <f t="shared" si="141"/>
        <v>7.0913038166750439</v>
      </c>
      <c r="AC358" s="227">
        <f t="shared" si="142"/>
        <v>-129.80809082067356</v>
      </c>
      <c r="AD358" s="229">
        <f t="shared" si="143"/>
        <v>-15.831960358720687</v>
      </c>
      <c r="AE358" s="229">
        <f t="shared" si="144"/>
        <v>161.74982006931432</v>
      </c>
      <c r="AF358" s="227">
        <f t="shared" si="133"/>
        <v>-8.7406565420456435</v>
      </c>
      <c r="AG358" s="227">
        <f t="shared" si="134"/>
        <v>31.941729248640769</v>
      </c>
      <c r="AH358" s="229" t="str">
        <f t="shared" si="135"/>
        <v>0.153457306360107-0.0506031650513759i</v>
      </c>
    </row>
    <row r="359" spans="9:34" x14ac:dyDescent="0.2">
      <c r="I359" s="227">
        <v>355</v>
      </c>
      <c r="J359" s="227">
        <f t="shared" si="123"/>
        <v>4.4612934970081071</v>
      </c>
      <c r="K359" s="227">
        <f t="shared" si="122"/>
        <v>28926.340693836326</v>
      </c>
      <c r="L359" s="227">
        <f t="shared" si="136"/>
        <v>181749.55883798335</v>
      </c>
      <c r="M359" s="227">
        <f t="shared" si="124"/>
        <v>20764.670292534865</v>
      </c>
      <c r="N359" s="227">
        <f>SQRT((ABS(AC359)-171.5+'Small Signal'!C$59)^2)</f>
        <v>29.043926404719912</v>
      </c>
      <c r="O359" s="227">
        <f t="shared" si="137"/>
        <v>30.883904493371517</v>
      </c>
      <c r="P359" s="227">
        <f t="shared" si="138"/>
        <v>8.8632742950027854</v>
      </c>
      <c r="Q359" s="227">
        <f t="shared" si="121"/>
        <v>28926.340693836326</v>
      </c>
      <c r="R359" s="227" t="str">
        <f t="shared" si="125"/>
        <v>0.0945666666666667+0.854222926538522i</v>
      </c>
      <c r="S359" s="227" t="str">
        <f t="shared" si="126"/>
        <v>0.0085-0.585327300949529i</v>
      </c>
      <c r="T359" s="227" t="str">
        <f t="shared" si="127"/>
        <v>0.0227486982327917-0.584565457594268i</v>
      </c>
      <c r="U359" s="227" t="str">
        <f t="shared" si="128"/>
        <v>-3.59004218813538+2.35315572810216i</v>
      </c>
      <c r="V359" s="227">
        <f t="shared" si="139"/>
        <v>12.654250516507307</v>
      </c>
      <c r="W359" s="227">
        <f t="shared" si="140"/>
        <v>-213.24353608832922</v>
      </c>
      <c r="X359" s="227" t="str">
        <f t="shared" si="129"/>
        <v>0.994049897344456-0.0245270580279046i</v>
      </c>
      <c r="Y359" s="227" t="str">
        <f t="shared" si="130"/>
        <v>2.60147674627042-28.6832765901548i</v>
      </c>
      <c r="Z359" s="227" t="str">
        <f t="shared" si="131"/>
        <v>1.05850161011959-16.0682504213968i</v>
      </c>
      <c r="AA359" s="227" t="str">
        <f t="shared" si="132"/>
        <v>-1.45276402984683-1.69832986126779i</v>
      </c>
      <c r="AB359" s="227">
        <f t="shared" si="141"/>
        <v>6.9852224564711927</v>
      </c>
      <c r="AC359" s="227">
        <f t="shared" si="142"/>
        <v>-130.54392640471991</v>
      </c>
      <c r="AD359" s="229">
        <f t="shared" si="143"/>
        <v>-15.848496751473979</v>
      </c>
      <c r="AE359" s="229">
        <f t="shared" si="144"/>
        <v>161.42783089809143</v>
      </c>
      <c r="AF359" s="227">
        <f t="shared" si="133"/>
        <v>-8.8632742950027854</v>
      </c>
      <c r="AG359" s="227">
        <f t="shared" si="134"/>
        <v>30.883904493371517</v>
      </c>
      <c r="AH359" s="229" t="str">
        <f t="shared" si="135"/>
        <v>0.15287917436567-0.0513668698376325i</v>
      </c>
    </row>
    <row r="360" spans="9:34" x14ac:dyDescent="0.2">
      <c r="I360" s="227">
        <v>356</v>
      </c>
      <c r="J360" s="227">
        <f t="shared" si="123"/>
        <v>4.4710436195348908</v>
      </c>
      <c r="K360" s="227">
        <f t="shared" si="122"/>
        <v>29583.095774133679</v>
      </c>
      <c r="L360" s="227">
        <f t="shared" si="136"/>
        <v>185876.07270892322</v>
      </c>
      <c r="M360" s="227">
        <f t="shared" si="124"/>
        <v>21436.336599940521</v>
      </c>
      <c r="N360" s="227">
        <f>SQRT((ABS(AC360)-171.5+'Small Signal'!C$59)^2)</f>
        <v>29.78053965505174</v>
      </c>
      <c r="O360" s="227">
        <f t="shared" si="137"/>
        <v>29.817827819577445</v>
      </c>
      <c r="P360" s="227">
        <f t="shared" si="138"/>
        <v>8.9843360642870973</v>
      </c>
      <c r="Q360" s="227">
        <f t="shared" si="121"/>
        <v>29583.095774133679</v>
      </c>
      <c r="R360" s="227" t="str">
        <f t="shared" si="125"/>
        <v>0.0945666666666667+0.873617541731939i</v>
      </c>
      <c r="S360" s="227" t="str">
        <f t="shared" si="126"/>
        <v>0.0085-0.572332830003337i</v>
      </c>
      <c r="T360" s="227" t="str">
        <f t="shared" si="127"/>
        <v>0.0221232918828179-0.571602808748061i</v>
      </c>
      <c r="U360" s="227" t="str">
        <f t="shared" si="128"/>
        <v>-3.4317139606505+2.31918486485857i</v>
      </c>
      <c r="V360" s="227">
        <f t="shared" si="139"/>
        <v>12.343977891479911</v>
      </c>
      <c r="W360" s="227">
        <f t="shared" si="140"/>
        <v>-214.05120091783596</v>
      </c>
      <c r="X360" s="227" t="str">
        <f t="shared" si="129"/>
        <v>0.993776643160309-0.0250839300545141i</v>
      </c>
      <c r="Y360" s="227" t="str">
        <f t="shared" si="130"/>
        <v>2.48022827218427-28.021865769389i</v>
      </c>
      <c r="Z360" s="227" t="str">
        <f t="shared" si="131"/>
        <v>0.990696726735205-15.6933571129232i</v>
      </c>
      <c r="AA360" s="227" t="str">
        <f t="shared" si="132"/>
        <v>-1.45695437969525-1.65955282253781i</v>
      </c>
      <c r="AB360" s="227">
        <f t="shared" si="141"/>
        <v>6.8813776253855359</v>
      </c>
      <c r="AC360" s="227">
        <f t="shared" si="142"/>
        <v>-131.28053965505174</v>
      </c>
      <c r="AD360" s="229">
        <f t="shared" si="143"/>
        <v>-15.865713689672633</v>
      </c>
      <c r="AE360" s="229">
        <f t="shared" si="144"/>
        <v>161.09836747462919</v>
      </c>
      <c r="AF360" s="227">
        <f t="shared" si="133"/>
        <v>-8.9843360642870973</v>
      </c>
      <c r="AG360" s="227">
        <f t="shared" si="134"/>
        <v>29.817827819577445</v>
      </c>
      <c r="AH360" s="229" t="str">
        <f t="shared" si="135"/>
        <v>0.152279134662201-0.0521416486054913i</v>
      </c>
    </row>
    <row r="361" spans="9:34" x14ac:dyDescent="0.2">
      <c r="I361" s="227">
        <v>357</v>
      </c>
      <c r="J361" s="227">
        <f t="shared" si="123"/>
        <v>4.4807937420616746</v>
      </c>
      <c r="K361" s="227">
        <f t="shared" si="122"/>
        <v>30254.762081539331</v>
      </c>
      <c r="L361" s="227">
        <f t="shared" si="136"/>
        <v>190096.276582942</v>
      </c>
      <c r="M361" s="227">
        <f t="shared" si="124"/>
        <v>22123.25268485245</v>
      </c>
      <c r="N361" s="227">
        <f>SQRT((ABS(AC361)-171.5+'Small Signal'!C$59)^2)</f>
        <v>30.517664602925976</v>
      </c>
      <c r="O361" s="227">
        <f t="shared" si="137"/>
        <v>28.743716238531306</v>
      </c>
      <c r="P361" s="227">
        <f t="shared" si="138"/>
        <v>9.103853824316726</v>
      </c>
      <c r="Q361" s="227">
        <f t="shared" si="121"/>
        <v>30254.762081539331</v>
      </c>
      <c r="R361" s="227" t="str">
        <f t="shared" si="125"/>
        <v>0.0945666666666667+0.893452499939827i</v>
      </c>
      <c r="S361" s="227" t="str">
        <f t="shared" si="126"/>
        <v>0.0085-0.559626840860231i</v>
      </c>
      <c r="T361" s="227" t="str">
        <f t="shared" si="127"/>
        <v>0.0215253152687878-0.558926964885899i</v>
      </c>
      <c r="U361" s="227" t="str">
        <f t="shared" si="128"/>
        <v>-3.28054751402799+2.28470112196139i</v>
      </c>
      <c r="V361" s="227">
        <f t="shared" si="139"/>
        <v>12.036270830547075</v>
      </c>
      <c r="W361" s="227">
        <f t="shared" si="140"/>
        <v>-214.85485665435178</v>
      </c>
      <c r="X361" s="227" t="str">
        <f t="shared" si="129"/>
        <v>0.993490839974325-0.0256534455238744i</v>
      </c>
      <c r="Y361" s="227" t="str">
        <f t="shared" si="130"/>
        <v>2.36492297716093-27.376726258564i</v>
      </c>
      <c r="Z361" s="227" t="str">
        <f t="shared" si="131"/>
        <v>0.926217483926831-15.3275902124239i</v>
      </c>
      <c r="AA361" s="227" t="str">
        <f t="shared" si="132"/>
        <v>-1.4609950076949-1.62159366032346i</v>
      </c>
      <c r="AB361" s="227">
        <f t="shared" si="141"/>
        <v>6.7797835393739083</v>
      </c>
      <c r="AC361" s="227">
        <f t="shared" si="142"/>
        <v>-132.01766460292598</v>
      </c>
      <c r="AD361" s="229">
        <f t="shared" si="143"/>
        <v>-15.883637363690635</v>
      </c>
      <c r="AE361" s="229">
        <f t="shared" si="144"/>
        <v>160.76138084145728</v>
      </c>
      <c r="AF361" s="227">
        <f t="shared" si="133"/>
        <v>-9.103853824316726</v>
      </c>
      <c r="AG361" s="227">
        <f t="shared" si="134"/>
        <v>28.743716238531306</v>
      </c>
      <c r="AH361" s="229" t="str">
        <f t="shared" si="135"/>
        <v>0.151656557744257-0.0529270455271767i</v>
      </c>
    </row>
    <row r="362" spans="9:34" x14ac:dyDescent="0.2">
      <c r="I362" s="227">
        <v>358</v>
      </c>
      <c r="J362" s="227">
        <f t="shared" si="123"/>
        <v>4.4905438645884574</v>
      </c>
      <c r="K362" s="227">
        <f t="shared" si="122"/>
        <v>30941.67816645126</v>
      </c>
      <c r="L362" s="227">
        <f t="shared" si="136"/>
        <v>194412.29763492596</v>
      </c>
      <c r="M362" s="227">
        <f t="shared" si="124"/>
        <v>22825.764784250867</v>
      </c>
      <c r="N362" s="227">
        <f>SQRT((ABS(AC362)-171.5+'Small Signal'!C$59)^2)</f>
        <v>31.255032343293493</v>
      </c>
      <c r="O362" s="227">
        <f t="shared" si="137"/>
        <v>27.661792576127596</v>
      </c>
      <c r="P362" s="227">
        <f t="shared" si="138"/>
        <v>9.2218422617509113</v>
      </c>
      <c r="Q362" s="227">
        <f t="shared" si="121"/>
        <v>30941.67816645126</v>
      </c>
      <c r="R362" s="227" t="str">
        <f t="shared" si="125"/>
        <v>0.0945666666666667+0.913737798884152i</v>
      </c>
      <c r="S362" s="227" t="str">
        <f t="shared" si="126"/>
        <v>0.0085-0.547202929123208i</v>
      </c>
      <c r="T362" s="227" t="str">
        <f t="shared" si="127"/>
        <v>0.0209535666283671-0.546531621963987i</v>
      </c>
      <c r="U362" s="227" t="str">
        <f t="shared" si="128"/>
        <v>-3.13621087627503+2.24980681668959i</v>
      </c>
      <c r="V362" s="227">
        <f t="shared" si="139"/>
        <v>11.731119182040628</v>
      </c>
      <c r="W362" s="227">
        <f t="shared" si="140"/>
        <v>-215.65431980093859</v>
      </c>
      <c r="X362" s="227" t="str">
        <f t="shared" si="129"/>
        <v>0.993191911482622-0.0262358914977105i</v>
      </c>
      <c r="Y362" s="227" t="str">
        <f t="shared" si="130"/>
        <v>2.25524464917406-26.7473955074928i</v>
      </c>
      <c r="Z362" s="227" t="str">
        <f t="shared" si="131"/>
        <v>0.864886767589099-14.9706874970134i</v>
      </c>
      <c r="AA362" s="227" t="str">
        <f t="shared" si="132"/>
        <v>-1.46489397481117-1.58443416582102i</v>
      </c>
      <c r="AB362" s="227">
        <f t="shared" si="141"/>
        <v>6.68045242483264</v>
      </c>
      <c r="AC362" s="227">
        <f t="shared" si="142"/>
        <v>-132.75503234329349</v>
      </c>
      <c r="AD362" s="229">
        <f t="shared" si="143"/>
        <v>-15.902294686583552</v>
      </c>
      <c r="AE362" s="229">
        <f t="shared" si="144"/>
        <v>160.41682491942109</v>
      </c>
      <c r="AF362" s="227">
        <f t="shared" si="133"/>
        <v>-9.2218422617509113</v>
      </c>
      <c r="AG362" s="227">
        <f t="shared" si="134"/>
        <v>27.661792576127596</v>
      </c>
      <c r="AH362" s="229" t="str">
        <f t="shared" si="135"/>
        <v>0.151010813074916-0.0537225699375306i</v>
      </c>
    </row>
    <row r="363" spans="9:34" x14ac:dyDescent="0.2">
      <c r="I363" s="227">
        <v>359</v>
      </c>
      <c r="J363" s="227">
        <f t="shared" si="123"/>
        <v>4.5002939871152403</v>
      </c>
      <c r="K363" s="227">
        <f t="shared" si="122"/>
        <v>31644.190265849677</v>
      </c>
      <c r="L363" s="227">
        <f t="shared" si="136"/>
        <v>198826.31133598197</v>
      </c>
      <c r="M363" s="227">
        <f t="shared" si="124"/>
        <v>23544.226996217512</v>
      </c>
      <c r="N363" s="227">
        <f>SQRT((ABS(AC363)-171.5+'Small Signal'!C$59)^2)</f>
        <v>31.992371867660353</v>
      </c>
      <c r="O363" s="227">
        <f t="shared" si="137"/>
        <v>26.572284929618746</v>
      </c>
      <c r="P363" s="227">
        <f t="shared" si="138"/>
        <v>9.3383187920736113</v>
      </c>
      <c r="Q363" s="227">
        <f t="shared" si="121"/>
        <v>31644.190265849677</v>
      </c>
      <c r="R363" s="227" t="str">
        <f t="shared" si="125"/>
        <v>0.0945666666666667+0.934483663279115i</v>
      </c>
      <c r="S363" s="227" t="str">
        <f t="shared" si="126"/>
        <v>0.0085-0.535054832575129i</v>
      </c>
      <c r="T363" s="227" t="str">
        <f t="shared" si="127"/>
        <v>0.0204068967414027-0.534410611786815i</v>
      </c>
      <c r="U363" s="227" t="str">
        <f t="shared" si="128"/>
        <v>-2.99838808340685+2.21459514736571i</v>
      </c>
      <c r="V363" s="227">
        <f t="shared" si="139"/>
        <v>11.42851136177466</v>
      </c>
      <c r="W363" s="227">
        <f t="shared" si="140"/>
        <v>-216.44939843866376</v>
      </c>
      <c r="X363" s="227" t="str">
        <f t="shared" si="129"/>
        <v>0.992879254914977-0.0268315615553104i</v>
      </c>
      <c r="Y363" s="227" t="str">
        <f t="shared" si="130"/>
        <v>2.15089596858475-26.133427561754i</v>
      </c>
      <c r="Z363" s="227" t="str">
        <f t="shared" si="131"/>
        <v>0.806538058758648-14.6223961065127i</v>
      </c>
      <c r="AA363" s="227" t="str">
        <f t="shared" si="132"/>
        <v>-1.46865906706488-1.54805645339819i</v>
      </c>
      <c r="AB363" s="227">
        <f t="shared" si="141"/>
        <v>6.5833945027835528</v>
      </c>
      <c r="AC363" s="227">
        <f t="shared" si="142"/>
        <v>-133.49237186766035</v>
      </c>
      <c r="AD363" s="229">
        <f t="shared" si="143"/>
        <v>-15.921713294857165</v>
      </c>
      <c r="AE363" s="229">
        <f t="shared" si="144"/>
        <v>160.0646567972791</v>
      </c>
      <c r="AF363" s="227">
        <f t="shared" si="133"/>
        <v>-9.3383187920736113</v>
      </c>
      <c r="AG363" s="227">
        <f t="shared" si="134"/>
        <v>26.572284929618746</v>
      </c>
      <c r="AH363" s="229" t="str">
        <f t="shared" si="135"/>
        <v>0.150341270762798-0.0545276950315639i</v>
      </c>
    </row>
    <row r="364" spans="9:34" x14ac:dyDescent="0.2">
      <c r="I364" s="227">
        <v>360</v>
      </c>
      <c r="J364" s="227">
        <f t="shared" si="123"/>
        <v>4.5100441096420241</v>
      </c>
      <c r="K364" s="227">
        <f t="shared" si="122"/>
        <v>32362.652477816322</v>
      </c>
      <c r="L364" s="227">
        <f t="shared" si="136"/>
        <v>203340.54254997455</v>
      </c>
      <c r="M364" s="227">
        <f t="shared" si="124"/>
        <v>24279.001458416737</v>
      </c>
      <c r="N364" s="227">
        <f>SQRT((ABS(AC364)-171.5+'Small Signal'!C$59)^2)</f>
        <v>32.729410911264551</v>
      </c>
      <c r="O364" s="227">
        <f t="shared" si="137"/>
        <v>25.475426119527839</v>
      </c>
      <c r="P364" s="227">
        <f t="shared" si="138"/>
        <v>9.4533035651080404</v>
      </c>
      <c r="Q364" s="227">
        <f t="shared" si="121"/>
        <v>32362.652477816322</v>
      </c>
      <c r="R364" s="227" t="str">
        <f t="shared" si="125"/>
        <v>0.0945666666666667+0.95570054998488i</v>
      </c>
      <c r="S364" s="227" t="str">
        <f t="shared" si="126"/>
        <v>0.0085-0.523176428022261i</v>
      </c>
      <c r="T364" s="227" t="str">
        <f t="shared" si="127"/>
        <v>0.0198842066421674-0.522557899257729i</v>
      </c>
      <c r="U364" s="227" t="str">
        <f t="shared" si="128"/>
        <v>-2.86677836394808+2.17915094473391i</v>
      </c>
      <c r="V364" s="227">
        <f t="shared" si="139"/>
        <v>11.128434303605989</v>
      </c>
      <c r="W364" s="227">
        <f t="shared" si="140"/>
        <v>-217.23989336537619</v>
      </c>
      <c r="X364" s="227" t="str">
        <f t="shared" si="129"/>
        <v>0.992552239819378-0.0274407559415024i</v>
      </c>
      <c r="Y364" s="227" t="str">
        <f t="shared" si="130"/>
        <v>2.05159721506613-25.5343923187069i</v>
      </c>
      <c r="Z364" s="227" t="str">
        <f t="shared" si="131"/>
        <v>0.751014707464235-14.2824721208437i</v>
      </c>
      <c r="AA364" s="227" t="str">
        <f t="shared" si="132"/>
        <v>-1.47229781062846-1.51244295525915i</v>
      </c>
      <c r="AB364" s="227">
        <f t="shared" si="141"/>
        <v>6.4886179820678569</v>
      </c>
      <c r="AC364" s="227">
        <f t="shared" si="142"/>
        <v>-134.22941091126455</v>
      </c>
      <c r="AD364" s="229">
        <f t="shared" si="143"/>
        <v>-15.941921547175896</v>
      </c>
      <c r="AE364" s="229">
        <f t="shared" si="144"/>
        <v>159.70483703079239</v>
      </c>
      <c r="AF364" s="227">
        <f t="shared" si="133"/>
        <v>-9.4533035651080404</v>
      </c>
      <c r="AG364" s="227">
        <f t="shared" si="134"/>
        <v>25.475426119527839</v>
      </c>
      <c r="AH364" s="229" t="str">
        <f t="shared" si="135"/>
        <v>0.149647303380126-0.0553418566101646i</v>
      </c>
    </row>
    <row r="365" spans="9:34" x14ac:dyDescent="0.2">
      <c r="I365" s="227">
        <v>361</v>
      </c>
      <c r="J365" s="227">
        <f t="shared" si="123"/>
        <v>4.5197942321688078</v>
      </c>
      <c r="K365" s="227">
        <f t="shared" si="122"/>
        <v>33097.426940015546</v>
      </c>
      <c r="L365" s="227">
        <f t="shared" si="136"/>
        <v>207957.26665495549</v>
      </c>
      <c r="M365" s="227">
        <f t="shared" si="124"/>
        <v>25030.458530629723</v>
      </c>
      <c r="N365" s="227">
        <f>SQRT((ABS(AC365)-171.5+'Small Signal'!C$59)^2)</f>
        <v>33.465876809781406</v>
      </c>
      <c r="O365" s="227">
        <f t="shared" si="137"/>
        <v>24.371453141115296</v>
      </c>
      <c r="P365" s="227">
        <f t="shared" si="138"/>
        <v>9.56681945911048</v>
      </c>
      <c r="Q365" s="227">
        <f t="shared" si="121"/>
        <v>33097.426940015546</v>
      </c>
      <c r="R365" s="227" t="str">
        <f t="shared" si="125"/>
        <v>0.0945666666666667+0.977399153278291i</v>
      </c>
      <c r="S365" s="227" t="str">
        <f t="shared" si="126"/>
        <v>0.0085-0.51156172820792i</v>
      </c>
      <c r="T365" s="227" t="str">
        <f t="shared" si="127"/>
        <v>0.0193844454304046-0.510967579673256i</v>
      </c>
      <c r="U365" s="227" t="str">
        <f t="shared" si="128"/>
        <v>-2.74109536739709+2.14355135928241i</v>
      </c>
      <c r="V365" s="227">
        <f t="shared" si="139"/>
        <v>10.830873419964099</v>
      </c>
      <c r="W365" s="227">
        <f t="shared" si="140"/>
        <v>-218.02559921961114</v>
      </c>
      <c r="X365" s="227" t="str">
        <f t="shared" si="129"/>
        <v>0.992210206790758-0.0280637817179921i</v>
      </c>
      <c r="Y365" s="227" t="str">
        <f t="shared" si="130"/>
        <v>1.9570850753839-24.9498748194322i</v>
      </c>
      <c r="Z365" s="227" t="str">
        <f t="shared" si="131"/>
        <v>0.698169263282537-13.9506801578863i</v>
      </c>
      <c r="AA365" s="227" t="str">
        <f t="shared" si="132"/>
        <v>-1.4758174864785-1.4775764159266i</v>
      </c>
      <c r="AB365" s="227">
        <f t="shared" si="141"/>
        <v>6.3961290617338893</v>
      </c>
      <c r="AC365" s="227">
        <f t="shared" si="142"/>
        <v>-134.96587680978141</v>
      </c>
      <c r="AD365" s="229">
        <f t="shared" si="143"/>
        <v>-15.962948520844369</v>
      </c>
      <c r="AE365" s="229">
        <f t="shared" si="144"/>
        <v>159.3373299508967</v>
      </c>
      <c r="AF365" s="227">
        <f t="shared" si="133"/>
        <v>-9.56681945911048</v>
      </c>
      <c r="AG365" s="227">
        <f t="shared" si="134"/>
        <v>24.371453141115296</v>
      </c>
      <c r="AH365" s="229" t="str">
        <f t="shared" si="135"/>
        <v>0.148928287925077-0.056164451885948i</v>
      </c>
    </row>
    <row r="366" spans="9:34" x14ac:dyDescent="0.2">
      <c r="I366" s="227">
        <v>362</v>
      </c>
      <c r="J366" s="227">
        <f t="shared" si="123"/>
        <v>4.5295443546955907</v>
      </c>
      <c r="K366" s="227">
        <f t="shared" si="122"/>
        <v>33848.884012228533</v>
      </c>
      <c r="L366" s="227">
        <f t="shared" si="136"/>
        <v>212678.81069006032</v>
      </c>
      <c r="M366" s="227">
        <f t="shared" si="124"/>
        <v>25798.976981432665</v>
      </c>
      <c r="N366" s="227">
        <f>SQRT((ABS(AC366)-171.5+'Small Signal'!C$59)^2)</f>
        <v>34.201497360712722</v>
      </c>
      <c r="O366" s="227">
        <f t="shared" si="137"/>
        <v>23.260606619739406</v>
      </c>
      <c r="P366" s="227">
        <f t="shared" si="138"/>
        <v>9.6788920631660496</v>
      </c>
      <c r="Q366" s="227">
        <f t="shared" si="121"/>
        <v>33848.884012228533</v>
      </c>
      <c r="R366" s="227" t="str">
        <f t="shared" si="125"/>
        <v>0.0945666666666667+0.999590410243283i</v>
      </c>
      <c r="S366" s="227" t="str">
        <f t="shared" si="126"/>
        <v>0.0085-0.500204878794613i</v>
      </c>
      <c r="T366" s="227" t="str">
        <f t="shared" si="127"/>
        <v>0.0189066081769771-0.499633876061358i</v>
      </c>
      <c r="U366" s="227" t="str">
        <f t="shared" si="128"/>
        <v>-2.62106643424988+2.10786649035307i</v>
      </c>
      <c r="V366" s="227">
        <f t="shared" si="139"/>
        <v>10.535812572408304</v>
      </c>
      <c r="W366" s="227">
        <f t="shared" si="140"/>
        <v>-218.80630558636707</v>
      </c>
      <c r="X366" s="227" t="str">
        <f t="shared" si="129"/>
        <v>0.991852466141345-0.0287009529181354i</v>
      </c>
      <c r="Y366" s="227" t="str">
        <f t="shared" si="130"/>
        <v>1.86711154327235-24.3794745752533i</v>
      </c>
      <c r="Z366" s="227" t="str">
        <f t="shared" si="131"/>
        <v>0.647862857669256-13.6267929910193i</v>
      </c>
      <c r="AA366" s="227" t="str">
        <f t="shared" si="132"/>
        <v>-1.47922514463035-1.44343988655095i</v>
      </c>
      <c r="AB366" s="227">
        <f t="shared" si="141"/>
        <v>6.305931942729516</v>
      </c>
      <c r="AC366" s="227">
        <f t="shared" si="142"/>
        <v>-135.70149736071272</v>
      </c>
      <c r="AD366" s="229">
        <f t="shared" si="143"/>
        <v>-15.984824005895566</v>
      </c>
      <c r="AE366" s="229">
        <f t="shared" si="144"/>
        <v>158.96210398045213</v>
      </c>
      <c r="AF366" s="227">
        <f t="shared" si="133"/>
        <v>-9.6788920631660496</v>
      </c>
      <c r="AG366" s="227">
        <f t="shared" si="134"/>
        <v>23.260606619739406</v>
      </c>
      <c r="AH366" s="229" t="str">
        <f t="shared" si="135"/>
        <v>0.14818360793082-0.0569948383620949i</v>
      </c>
    </row>
    <row r="367" spans="9:34" x14ac:dyDescent="0.2">
      <c r="I367" s="227">
        <v>363</v>
      </c>
      <c r="J367" s="227">
        <f t="shared" si="123"/>
        <v>4.5392944772223736</v>
      </c>
      <c r="K367" s="227">
        <f t="shared" si="122"/>
        <v>34617.402463031474</v>
      </c>
      <c r="L367" s="227">
        <f t="shared" si="136"/>
        <v>217507.55452844177</v>
      </c>
      <c r="M367" s="227">
        <f t="shared" si="124"/>
        <v>26584.944179113503</v>
      </c>
      <c r="N367" s="227">
        <f>SQRT((ABS(AC367)-171.5+'Small Signal'!C$59)^2)</f>
        <v>34.936001684573057</v>
      </c>
      <c r="O367" s="227">
        <f t="shared" si="137"/>
        <v>22.143130274390558</v>
      </c>
      <c r="P367" s="227">
        <f t="shared" si="138"/>
        <v>9.7895496476764023</v>
      </c>
      <c r="Q367" s="227">
        <f t="shared" si="121"/>
        <v>34617.402463031474</v>
      </c>
      <c r="R367" s="227" t="str">
        <f t="shared" si="125"/>
        <v>0.0945666666666667+1.02228550628368i</v>
      </c>
      <c r="S367" s="227" t="str">
        <f t="shared" si="126"/>
        <v>0.0085-0.489100155413193i</v>
      </c>
      <c r="T367" s="227" t="str">
        <f t="shared" si="127"/>
        <v>0.0184497339200943-0.488551136563673i</v>
      </c>
      <c r="U367" s="227" t="str">
        <f t="shared" si="128"/>
        <v>-2.50643190529176+2.07215996230623i</v>
      </c>
      <c r="V367" s="227">
        <f t="shared" si="139"/>
        <v>10.243234052192046</v>
      </c>
      <c r="W367" s="227">
        <f t="shared" si="140"/>
        <v>-219.58179808130888</v>
      </c>
      <c r="X367" s="227" t="str">
        <f t="shared" si="129"/>
        <v>0.991478296509956-0.029352590705226i</v>
      </c>
      <c r="Y367" s="227" t="str">
        <f t="shared" si="130"/>
        <v>1.78144290347346-23.8228049274582i</v>
      </c>
      <c r="Z367" s="227" t="str">
        <f t="shared" si="131"/>
        <v>0.599964633601486-13.3105911855502i</v>
      </c>
      <c r="AA367" s="227" t="str">
        <f t="shared" si="132"/>
        <v>-1.48252761797984-1.41001671905565i</v>
      </c>
      <c r="AB367" s="227">
        <f t="shared" si="141"/>
        <v>6.2180288489357602</v>
      </c>
      <c r="AC367" s="227">
        <f t="shared" si="142"/>
        <v>-136.43600168457306</v>
      </c>
      <c r="AD367" s="229">
        <f t="shared" si="143"/>
        <v>-16.007578496612162</v>
      </c>
      <c r="AE367" s="229">
        <f t="shared" si="144"/>
        <v>158.57913195896361</v>
      </c>
      <c r="AF367" s="227">
        <f t="shared" si="133"/>
        <v>-9.7895496476764023</v>
      </c>
      <c r="AG367" s="227">
        <f t="shared" si="134"/>
        <v>22.143130274390558</v>
      </c>
      <c r="AH367" s="229" t="str">
        <f t="shared" si="135"/>
        <v>0.147412655722801-0.0578323327979196i</v>
      </c>
    </row>
    <row r="368" spans="9:34" x14ac:dyDescent="0.2">
      <c r="I368" s="227">
        <v>364</v>
      </c>
      <c r="J368" s="227">
        <f t="shared" si="123"/>
        <v>4.5490445997491573</v>
      </c>
      <c r="K368" s="227">
        <f t="shared" si="122"/>
        <v>35403.369660712313</v>
      </c>
      <c r="L368" s="227">
        <f t="shared" si="136"/>
        <v>222445.93207683513</v>
      </c>
      <c r="M368" s="227">
        <f t="shared" si="124"/>
        <v>27388.756286922704</v>
      </c>
      <c r="N368" s="227">
        <f>SQRT((ABS(AC368)-171.5+'Small Signal'!C$59)^2)</f>
        <v>35.669121081031761</v>
      </c>
      <c r="O368" s="227">
        <f t="shared" si="137"/>
        <v>21.019270393520827</v>
      </c>
      <c r="P368" s="227">
        <f t="shared" si="138"/>
        <v>9.8988231228047248</v>
      </c>
      <c r="Q368" s="227">
        <f t="shared" si="121"/>
        <v>35403.369660712313</v>
      </c>
      <c r="R368" s="227" t="str">
        <f t="shared" si="125"/>
        <v>0.0945666666666667+1.04549588076112i</v>
      </c>
      <c r="S368" s="227" t="str">
        <f t="shared" si="126"/>
        <v>0.0085-0.4782419607775i</v>
      </c>
      <c r="T368" s="227" t="str">
        <f t="shared" si="127"/>
        <v>0.0180129037482593-0.477713831861721i</v>
      </c>
      <c r="U368" s="227" t="str">
        <f t="shared" si="128"/>
        <v>-2.39694446797589+2.03648945249531i</v>
      </c>
      <c r="V368" s="227">
        <f t="shared" si="139"/>
        <v>9.9531185707355796</v>
      </c>
      <c r="W368" s="227">
        <f t="shared" si="140"/>
        <v>-220.35185940985033</v>
      </c>
      <c r="X368" s="227" t="str">
        <f t="shared" si="129"/>
        <v>0.991086943407409-0.0300190235343759i</v>
      </c>
      <c r="Y368" s="227" t="str">
        <f t="shared" si="130"/>
        <v>1.69985879274874-23.2794924388181i</v>
      </c>
      <c r="Z368" s="227" t="str">
        <f t="shared" si="131"/>
        <v>0.554351218485362-13.0018627532222i</v>
      </c>
      <c r="AA368" s="227" t="str">
        <f t="shared" si="132"/>
        <v>-1.48573153577747-1.37729056012615i</v>
      </c>
      <c r="AB368" s="227">
        <f t="shared" si="141"/>
        <v>6.1324200575055201</v>
      </c>
      <c r="AC368" s="227">
        <f t="shared" si="142"/>
        <v>-137.16912108103176</v>
      </c>
      <c r="AD368" s="229">
        <f t="shared" si="143"/>
        <v>-16.031243180310245</v>
      </c>
      <c r="AE368" s="229">
        <f t="shared" si="144"/>
        <v>158.18839147455259</v>
      </c>
      <c r="AF368" s="227">
        <f t="shared" si="133"/>
        <v>-9.8988231228047248</v>
      </c>
      <c r="AG368" s="227">
        <f t="shared" si="134"/>
        <v>21.019270393520827</v>
      </c>
      <c r="AH368" s="229" t="str">
        <f t="shared" si="135"/>
        <v>0.146614834824711-0.0586762102757247i</v>
      </c>
    </row>
    <row r="369" spans="9:34" x14ac:dyDescent="0.2">
      <c r="I369" s="227">
        <v>365</v>
      </c>
      <c r="J369" s="227">
        <f t="shared" si="123"/>
        <v>4.5587947222759411</v>
      </c>
      <c r="K369" s="227">
        <f t="shared" si="122"/>
        <v>36207.181768521514</v>
      </c>
      <c r="L369" s="227">
        <f t="shared" si="136"/>
        <v>227496.43250235496</v>
      </c>
      <c r="M369" s="227">
        <f t="shared" si="124"/>
        <v>28210.818462757932</v>
      </c>
      <c r="N369" s="227">
        <f>SQRT((ABS(AC369)-171.5+'Small Signal'!C$59)^2)</f>
        <v>36.400589875251711</v>
      </c>
      <c r="O369" s="227">
        <f t="shared" si="137"/>
        <v>19.889275327103945</v>
      </c>
      <c r="P369" s="227">
        <f t="shared" si="138"/>
        <v>10.006745984818549</v>
      </c>
      <c r="Q369" s="227">
        <f t="shared" ref="Q369:Q404" si="145">K369</f>
        <v>36207.181768521514</v>
      </c>
      <c r="R369" s="227" t="str">
        <f t="shared" si="125"/>
        <v>0.0945666666666667+1.06923323276107i</v>
      </c>
      <c r="S369" s="227" t="str">
        <f t="shared" si="126"/>
        <v>0.0085-0.467624821863098i</v>
      </c>
      <c r="T369" s="227" t="str">
        <f t="shared" si="127"/>
        <v>0.0175952389662366-0.46711655264707i</v>
      </c>
      <c r="U369" s="227" t="str">
        <f t="shared" si="128"/>
        <v>-2.292368537818+2.00090717534659i</v>
      </c>
      <c r="V369" s="227">
        <f t="shared" si="139"/>
        <v>9.6654452598338398</v>
      </c>
      <c r="W369" s="227">
        <f t="shared" si="140"/>
        <v>-221.11627039754026</v>
      </c>
      <c r="X369" s="227" t="str">
        <f t="shared" si="129"/>
        <v>0.990677617695155-0.0307005873180718i</v>
      </c>
      <c r="Y369" s="227" t="str">
        <f t="shared" si="130"/>
        <v>1.62215133134247-22.7491763155043i</v>
      </c>
      <c r="Z369" s="227" t="str">
        <f t="shared" si="131"/>
        <v>0.510906236659641-12.7004028239991i</v>
      </c>
      <c r="AA369" s="227" t="str">
        <f t="shared" si="132"/>
        <v>-1.48884333675928-1.3452453450478i</v>
      </c>
      <c r="AB369" s="227">
        <f t="shared" si="141"/>
        <v>6.0491039383931398</v>
      </c>
      <c r="AC369" s="227">
        <f t="shared" si="142"/>
        <v>-137.90058987525171</v>
      </c>
      <c r="AD369" s="229">
        <f t="shared" si="143"/>
        <v>-16.055849923211689</v>
      </c>
      <c r="AE369" s="229">
        <f t="shared" si="144"/>
        <v>157.78986520235566</v>
      </c>
      <c r="AF369" s="227">
        <f t="shared" si="133"/>
        <v>-10.006745984818549</v>
      </c>
      <c r="AG369" s="227">
        <f t="shared" si="134"/>
        <v>19.889275327103945</v>
      </c>
      <c r="AH369" s="229" t="str">
        <f t="shared" si="135"/>
        <v>0.145789562512449-0.059525703384273i</v>
      </c>
    </row>
    <row r="370" spans="9:34" x14ac:dyDescent="0.2">
      <c r="I370" s="227">
        <v>366</v>
      </c>
      <c r="J370" s="227">
        <f t="shared" si="123"/>
        <v>4.5685448448027248</v>
      </c>
      <c r="K370" s="227">
        <f t="shared" si="122"/>
        <v>37029.243944356742</v>
      </c>
      <c r="L370" s="227">
        <f t="shared" si="136"/>
        <v>232661.60148715094</v>
      </c>
      <c r="M370" s="227">
        <f t="shared" si="124"/>
        <v>29051.545063382189</v>
      </c>
      <c r="N370" s="227">
        <f>SQRT((ABS(AC370)-171.5+'Small Signal'!C$59)^2)</f>
        <v>37.13014624981983</v>
      </c>
      <c r="O370" s="227">
        <f t="shared" si="137"/>
        <v>18.753394998568837</v>
      </c>
      <c r="P370" s="227">
        <f t="shared" si="138"/>
        <v>10.113354250340784</v>
      </c>
      <c r="Q370" s="227">
        <f t="shared" si="145"/>
        <v>37029.243944356742</v>
      </c>
      <c r="R370" s="227" t="str">
        <f t="shared" si="125"/>
        <v>0.0945666666666667+1.09350952698961i</v>
      </c>
      <c r="S370" s="227" t="str">
        <f t="shared" si="126"/>
        <v>0.0085-0.457243387148607i</v>
      </c>
      <c r="T370" s="227" t="str">
        <f t="shared" si="127"/>
        <v>0.0171958993404931-0.456754007135268i</v>
      </c>
      <c r="U370" s="227" t="str">
        <f t="shared" si="128"/>
        <v>-2.19247967284466+1.96546032642626i</v>
      </c>
      <c r="V370" s="227">
        <f t="shared" si="139"/>
        <v>9.3801916813509756</v>
      </c>
      <c r="W370" s="227">
        <f t="shared" si="140"/>
        <v>-221.87481098818884</v>
      </c>
      <c r="X370" s="227" t="str">
        <f t="shared" si="129"/>
        <v>0.990249493994022-0.0313976255954905i</v>
      </c>
      <c r="Y370" s="227" t="str">
        <f t="shared" si="130"/>
        <v>1.54812431897822-22.2315078580097i</v>
      </c>
      <c r="Z370" s="227" t="str">
        <f t="shared" si="131"/>
        <v>0.469519858165669-12.4060133343251i</v>
      </c>
      <c r="AA370" s="227" t="str">
        <f t="shared" si="132"/>
        <v>-1.49186928195965-1.31386529139745i</v>
      </c>
      <c r="AB370" s="227">
        <f t="shared" si="141"/>
        <v>5.9680770028959031</v>
      </c>
      <c r="AC370" s="227">
        <f t="shared" si="142"/>
        <v>-138.63014624981983</v>
      </c>
      <c r="AD370" s="229">
        <f t="shared" si="143"/>
        <v>-16.081431253236687</v>
      </c>
      <c r="AE370" s="229">
        <f t="shared" si="144"/>
        <v>157.38354124838867</v>
      </c>
      <c r="AF370" s="227">
        <f t="shared" si="133"/>
        <v>-10.113354250340784</v>
      </c>
      <c r="AG370" s="227">
        <f t="shared" si="134"/>
        <v>18.753394998568837</v>
      </c>
      <c r="AH370" s="229" t="str">
        <f t="shared" si="135"/>
        <v>0.144936272513981-0.060380001534935i</v>
      </c>
    </row>
    <row r="371" spans="9:34" x14ac:dyDescent="0.2">
      <c r="I371" s="227">
        <v>367</v>
      </c>
      <c r="J371" s="227">
        <f t="shared" si="123"/>
        <v>4.5782949673295086</v>
      </c>
      <c r="K371" s="227">
        <f t="shared" si="122"/>
        <v>37869.970544980999</v>
      </c>
      <c r="L371" s="227">
        <f t="shared" si="136"/>
        <v>237944.04251154832</v>
      </c>
      <c r="M371" s="227">
        <f t="shared" si="124"/>
        <v>29911.35985327806</v>
      </c>
      <c r="N371" s="227">
        <f>SQRT((ABS(AC371)-171.5+'Small Signal'!C$59)^2)</f>
        <v>37.857533057861247</v>
      </c>
      <c r="O371" s="227">
        <f t="shared" si="137"/>
        <v>17.61188043994477</v>
      </c>
      <c r="P371" s="227">
        <f t="shared" si="138"/>
        <v>10.218686378590766</v>
      </c>
      <c r="Q371" s="227">
        <f t="shared" si="145"/>
        <v>37869.970544980999</v>
      </c>
      <c r="R371" s="227" t="str">
        <f t="shared" si="125"/>
        <v>0.0945666666666667+1.11833699980428i</v>
      </c>
      <c r="S371" s="227" t="str">
        <f t="shared" si="126"/>
        <v>0.0085-0.447092423918289i</v>
      </c>
      <c r="T371" s="227" t="str">
        <f t="shared" si="127"/>
        <v>0.0168140814207136-0.446621018623427i</v>
      </c>
      <c r="U371" s="227" t="str">
        <f t="shared" si="128"/>
        <v>-2.09706401923676+1.93019149000823i</v>
      </c>
      <c r="V371" s="227">
        <f t="shared" si="139"/>
        <v>9.0973338460835187</v>
      </c>
      <c r="W371" s="227">
        <f t="shared" si="140"/>
        <v>-222.62726120628435</v>
      </c>
      <c r="X371" s="227" t="str">
        <f t="shared" si="129"/>
        <v>0.989801709019892-0.032110489705658i</v>
      </c>
      <c r="Y371" s="227" t="str">
        <f t="shared" si="130"/>
        <v>1.47759249001182-21.7261499397061i</v>
      </c>
      <c r="Z371" s="227" t="str">
        <f t="shared" si="131"/>
        <v>0.430088380758997-12.1185027310769i</v>
      </c>
      <c r="AA371" s="227" t="str">
        <f t="shared" si="132"/>
        <v>-1.49481546723028-1.28313489259124i</v>
      </c>
      <c r="AB371" s="227">
        <f t="shared" si="141"/>
        <v>5.8893339609558115</v>
      </c>
      <c r="AC371" s="227">
        <f t="shared" si="142"/>
        <v>-139.35753305786125</v>
      </c>
      <c r="AD371" s="229">
        <f t="shared" si="143"/>
        <v>-16.108020339546577</v>
      </c>
      <c r="AE371" s="229">
        <f t="shared" si="144"/>
        <v>156.96941349780602</v>
      </c>
      <c r="AF371" s="227">
        <f t="shared" si="133"/>
        <v>-10.218686378590766</v>
      </c>
      <c r="AG371" s="227">
        <f t="shared" si="134"/>
        <v>17.61188043994477</v>
      </c>
      <c r="AH371" s="229" t="str">
        <f t="shared" si="135"/>
        <v>0.144054417851618-0.0612382504271797i</v>
      </c>
    </row>
    <row r="372" spans="9:34" x14ac:dyDescent="0.2">
      <c r="I372" s="227">
        <v>368</v>
      </c>
      <c r="J372" s="227">
        <f t="shared" si="123"/>
        <v>4.5880450898562914</v>
      </c>
      <c r="K372" s="227">
        <f t="shared" si="122"/>
        <v>38729.785334876869</v>
      </c>
      <c r="L372" s="227">
        <f t="shared" si="136"/>
        <v>243346.41816631774</v>
      </c>
      <c r="M372" s="227">
        <f t="shared" si="124"/>
        <v>30790.696218244688</v>
      </c>
      <c r="N372" s="227">
        <f>SQRT((ABS(AC372)-171.5+'Small Signal'!C$59)^2)</f>
        <v>38.582498613182452</v>
      </c>
      <c r="O372" s="227">
        <f t="shared" si="137"/>
        <v>16.464983353159283</v>
      </c>
      <c r="P372" s="227">
        <f t="shared" si="138"/>
        <v>10.32278318176701</v>
      </c>
      <c r="Q372" s="227">
        <f t="shared" si="145"/>
        <v>38729.785334876869</v>
      </c>
      <c r="R372" s="227" t="str">
        <f t="shared" si="125"/>
        <v>0.0945666666666667+1.14372816538169i</v>
      </c>
      <c r="S372" s="227" t="str">
        <f t="shared" si="126"/>
        <v>0.0085-0.437166815624529i</v>
      </c>
      <c r="T372" s="227" t="str">
        <f t="shared" si="127"/>
        <v>0.0164490169341333-0.436712523091216i</v>
      </c>
      <c r="U372" s="227" t="str">
        <f t="shared" si="128"/>
        <v>-2.00591778641267+1.89513901332358i</v>
      </c>
      <c r="V372" s="227">
        <f t="shared" si="139"/>
        <v>8.8168462414098396</v>
      </c>
      <c r="W372" s="227">
        <f t="shared" si="140"/>
        <v>-223.373402080375</v>
      </c>
      <c r="X372" s="227" t="str">
        <f t="shared" si="129"/>
        <v>0.989333359842946-0.0328395389645406i</v>
      </c>
      <c r="Y372" s="227" t="str">
        <f t="shared" si="130"/>
        <v>1.41038082285561-21.2327765117016i</v>
      </c>
      <c r="Z372" s="227" t="str">
        <f t="shared" si="131"/>
        <v>0.392513842414609-11.8376856904432i</v>
      </c>
      <c r="AA372" s="227" t="str">
        <f t="shared" si="132"/>
        <v>-1.49768783548994-1.25303891128993i</v>
      </c>
      <c r="AB372" s="227">
        <f t="shared" si="141"/>
        <v>5.8128677869086811</v>
      </c>
      <c r="AC372" s="227">
        <f t="shared" si="142"/>
        <v>-140.08249861318245</v>
      </c>
      <c r="AD372" s="229">
        <f t="shared" si="143"/>
        <v>-16.135650968675691</v>
      </c>
      <c r="AE372" s="229">
        <f t="shared" si="144"/>
        <v>156.54748196634173</v>
      </c>
      <c r="AF372" s="227">
        <f t="shared" si="133"/>
        <v>-10.32278318176701</v>
      </c>
      <c r="AG372" s="227">
        <f t="shared" si="134"/>
        <v>16.464983353159283</v>
      </c>
      <c r="AH372" s="229" t="str">
        <f t="shared" si="135"/>
        <v>0.143143473821548-0.0620995516806003i</v>
      </c>
    </row>
    <row r="373" spans="9:34" x14ac:dyDescent="0.2">
      <c r="I373" s="227">
        <v>369</v>
      </c>
      <c r="J373" s="227">
        <f t="shared" si="123"/>
        <v>4.5977952123830743</v>
      </c>
      <c r="K373" s="227">
        <f t="shared" si="122"/>
        <v>39609.121699843497</v>
      </c>
      <c r="L373" s="227">
        <f t="shared" si="136"/>
        <v>248871.45149474478</v>
      </c>
      <c r="M373" s="227">
        <f t="shared" si="124"/>
        <v>31689.997383844013</v>
      </c>
      <c r="N373" s="227">
        <f>SQRT((ABS(AC373)-171.5+'Small Signal'!C$59)^2)</f>
        <v>39.30479745358241</v>
      </c>
      <c r="O373" s="227">
        <f t="shared" si="137"/>
        <v>15.312955700009638</v>
      </c>
      <c r="P373" s="227">
        <f t="shared" si="138"/>
        <v>10.425687723790187</v>
      </c>
      <c r="Q373" s="227">
        <f t="shared" si="145"/>
        <v>39609.121699843497</v>
      </c>
      <c r="R373" s="227" t="str">
        <f t="shared" si="125"/>
        <v>0.0945666666666667+1.1696958220253i</v>
      </c>
      <c r="S373" s="227" t="str">
        <f t="shared" si="126"/>
        <v>0.0085-0.427461559308866i</v>
      </c>
      <c r="T373" s="227" t="str">
        <f t="shared" si="127"/>
        <v>0.0160999712495653-0.427023566844977i</v>
      </c>
      <c r="U373" s="227" t="str">
        <f t="shared" si="128"/>
        <v>-1.91884674989165+1.86033735037439i</v>
      </c>
      <c r="V373" s="227">
        <f t="shared" si="139"/>
        <v>8.5387018672800288</v>
      </c>
      <c r="W373" s="227">
        <f t="shared" si="140"/>
        <v>-224.11301652431058</v>
      </c>
      <c r="X373" s="227" t="str">
        <f t="shared" si="129"/>
        <v>0.988843502066965-0.0335851408461563i</v>
      </c>
      <c r="Y373" s="227" t="str">
        <f t="shared" si="130"/>
        <v>1.34632389922849-20.7510721326934i</v>
      </c>
      <c r="Z373" s="227" t="str">
        <f t="shared" si="131"/>
        <v>0.356703661825433-11.5633828509869i</v>
      </c>
      <c r="AA373" s="227" t="str">
        <f t="shared" si="132"/>
        <v>-1.50049218872911-1.22356237266139i</v>
      </c>
      <c r="AB373" s="227">
        <f t="shared" si="141"/>
        <v>5.7386697933069852</v>
      </c>
      <c r="AC373" s="227">
        <f t="shared" si="142"/>
        <v>-140.80479745358241</v>
      </c>
      <c r="AD373" s="229">
        <f t="shared" si="143"/>
        <v>-16.164357517097173</v>
      </c>
      <c r="AE373" s="229">
        <f t="shared" si="144"/>
        <v>156.11775315359205</v>
      </c>
      <c r="AF373" s="227">
        <f t="shared" si="133"/>
        <v>-10.425687723790187</v>
      </c>
      <c r="AG373" s="227">
        <f t="shared" si="134"/>
        <v>15.312955700009638</v>
      </c>
      <c r="AH373" s="229" t="str">
        <f t="shared" si="135"/>
        <v>0.142202941103723-0.0629629626510338i</v>
      </c>
    </row>
    <row r="374" spans="9:34" x14ac:dyDescent="0.2">
      <c r="I374" s="227">
        <v>370</v>
      </c>
      <c r="J374" s="227">
        <f t="shared" si="123"/>
        <v>4.6075453349098581</v>
      </c>
      <c r="K374" s="227">
        <f t="shared" si="122"/>
        <v>40508.422865442823</v>
      </c>
      <c r="L374" s="227">
        <f t="shared" si="136"/>
        <v>254521.92736516794</v>
      </c>
      <c r="M374" s="227">
        <f t="shared" si="124"/>
        <v>32609.716638806116</v>
      </c>
      <c r="N374" s="227">
        <f>SQRT((ABS(AC374)-171.5+'Small Signal'!C$59)^2)</f>
        <v>40.024191073819111</v>
      </c>
      <c r="O374" s="227">
        <f t="shared" si="137"/>
        <v>14.156049322840403</v>
      </c>
      <c r="P374" s="227">
        <f t="shared" si="138"/>
        <v>10.527445207680641</v>
      </c>
      <c r="Q374" s="227">
        <f t="shared" si="145"/>
        <v>40508.422865442823</v>
      </c>
      <c r="R374" s="227" t="str">
        <f t="shared" si="125"/>
        <v>0.0945666666666667+1.19625305861629i</v>
      </c>
      <c r="S374" s="227" t="str">
        <f t="shared" si="126"/>
        <v>0.0085-0.417971763080256i</v>
      </c>
      <c r="T374" s="227" t="str">
        <f t="shared" si="127"/>
        <v>0.0157662419081314-0.417549304204703i</v>
      </c>
      <c r="U374" s="227" t="str">
        <f t="shared" si="128"/>
        <v>-1.83566578037295+1.82581737792671i</v>
      </c>
      <c r="V374" s="227">
        <f t="shared" si="139"/>
        <v>8.2628722800489509</v>
      </c>
      <c r="W374" s="227">
        <f t="shared" si="140"/>
        <v>-224.8458901734744</v>
      </c>
      <c r="X374" s="227" t="str">
        <f t="shared" si="129"/>
        <v>0.98833114792501-0.034347671167799i</v>
      </c>
      <c r="Y374" s="227" t="str">
        <f t="shared" si="130"/>
        <v>1.28526530918732-20.2807315225605i</v>
      </c>
      <c r="Z374" s="227" t="str">
        <f t="shared" si="131"/>
        <v>0.322570304619374-11.2954205601702i</v>
      </c>
      <c r="AA374" s="227" t="str">
        <f t="shared" si="132"/>
        <v>-1.50323419979451-1.19469055749865i</v>
      </c>
      <c r="AB374" s="227">
        <f t="shared" si="141"/>
        <v>5.6667297123940923</v>
      </c>
      <c r="AC374" s="227">
        <f t="shared" si="142"/>
        <v>-141.52419107381911</v>
      </c>
      <c r="AD374" s="229">
        <f t="shared" si="143"/>
        <v>-16.194174920074733</v>
      </c>
      <c r="AE374" s="229">
        <f t="shared" si="144"/>
        <v>155.68024039665951</v>
      </c>
      <c r="AF374" s="227">
        <f t="shared" si="133"/>
        <v>-10.527445207680641</v>
      </c>
      <c r="AG374" s="227">
        <f t="shared" si="134"/>
        <v>14.156049322840403</v>
      </c>
      <c r="AH374" s="229" t="str">
        <f t="shared" si="135"/>
        <v>0.141232348993347-0.0638274964485862i</v>
      </c>
    </row>
    <row r="375" spans="9:34" x14ac:dyDescent="0.2">
      <c r="I375" s="227">
        <v>371</v>
      </c>
      <c r="J375" s="227">
        <f t="shared" si="123"/>
        <v>4.6172954574366418</v>
      </c>
      <c r="K375" s="227">
        <f t="shared" si="122"/>
        <v>41428.142120404926</v>
      </c>
      <c r="L375" s="227">
        <f t="shared" si="136"/>
        <v>260300.69387467598</v>
      </c>
      <c r="M375" s="227">
        <f t="shared" si="124"/>
        <v>33550.317563507735</v>
      </c>
      <c r="N375" s="227">
        <f>SQRT((ABS(AC375)-171.5+'Small Signal'!C$59)^2)</f>
        <v>40.740448625082081</v>
      </c>
      <c r="O375" s="227">
        <f t="shared" si="137"/>
        <v>12.994515597462538</v>
      </c>
      <c r="P375" s="227">
        <f t="shared" si="138"/>
        <v>10.628102851910711</v>
      </c>
      <c r="Q375" s="227">
        <f t="shared" si="145"/>
        <v>41428.142120404926</v>
      </c>
      <c r="R375" s="227" t="str">
        <f t="shared" si="125"/>
        <v>0.0945666666666667+1.22341326121098i</v>
      </c>
      <c r="S375" s="227" t="str">
        <f t="shared" si="126"/>
        <v>0.0085-0.408692643649361i</v>
      </c>
      <c r="T375" s="227" t="str">
        <f t="shared" si="127"/>
        <v>0.0154471572178338-0.40828499523354i</v>
      </c>
      <c r="U375" s="227" t="str">
        <f t="shared" si="128"/>
        <v>-1.75619839755463+1.79160668605622i</v>
      </c>
      <c r="V375" s="227">
        <f t="shared" si="139"/>
        <v>7.989327643606253</v>
      </c>
      <c r="W375" s="227">
        <f t="shared" si="140"/>
        <v>-225.5718121734356</v>
      </c>
      <c r="X375" s="227" t="str">
        <f t="shared" si="129"/>
        <v>0.987795264287655-0.0351275142794666i</v>
      </c>
      <c r="Y375" s="227" t="str">
        <f t="shared" si="130"/>
        <v>1.22705709825402-19.8214591384781i</v>
      </c>
      <c r="Z375" s="227" t="str">
        <f t="shared" si="131"/>
        <v>0.290030973222268-11.03363063365i</v>
      </c>
      <c r="AA375" s="227" t="str">
        <f t="shared" si="132"/>
        <v>-1.50591942397748-1.16640899518996i</v>
      </c>
      <c r="AB375" s="227">
        <f t="shared" si="141"/>
        <v>5.5970357847565753</v>
      </c>
      <c r="AC375" s="227">
        <f t="shared" si="142"/>
        <v>-142.24044862508208</v>
      </c>
      <c r="AD375" s="229">
        <f t="shared" si="143"/>
        <v>-16.225138636667285</v>
      </c>
      <c r="AE375" s="229">
        <f t="shared" si="144"/>
        <v>155.23496422254462</v>
      </c>
      <c r="AF375" s="227">
        <f t="shared" si="133"/>
        <v>-10.628102851910711</v>
      </c>
      <c r="AG375" s="227">
        <f t="shared" si="134"/>
        <v>12.994515597462538</v>
      </c>
      <c r="AH375" s="229" t="str">
        <f t="shared" si="135"/>
        <v>0.140231258743145-0.064692122175393i</v>
      </c>
    </row>
    <row r="376" spans="9:34" x14ac:dyDescent="0.2">
      <c r="I376" s="227">
        <v>372</v>
      </c>
      <c r="J376" s="227">
        <f t="shared" si="123"/>
        <v>4.6270455799634247</v>
      </c>
      <c r="K376" s="227">
        <f t="shared" si="122"/>
        <v>42368.743045106545</v>
      </c>
      <c r="L376" s="227">
        <f t="shared" si="136"/>
        <v>266210.66378468071</v>
      </c>
      <c r="M376" s="227">
        <f t="shared" si="124"/>
        <v>34512.274263638006</v>
      </c>
      <c r="N376" s="227">
        <f>SQRT((ABS(AC376)-171.5+'Small Signal'!C$59)^2)</f>
        <v>41.453347578237185</v>
      </c>
      <c r="O376" s="227">
        <f t="shared" si="137"/>
        <v>11.828605119292689</v>
      </c>
      <c r="P376" s="227">
        <f t="shared" si="138"/>
        <v>10.727709756117049</v>
      </c>
      <c r="Q376" s="227">
        <f t="shared" si="145"/>
        <v>42368.743045106545</v>
      </c>
      <c r="R376" s="227" t="str">
        <f t="shared" si="125"/>
        <v>0.0945666666666667+1.251190119788i</v>
      </c>
      <c r="S376" s="227" t="str">
        <f t="shared" si="126"/>
        <v>0.0085-0.399619523917532i</v>
      </c>
      <c r="T376" s="227" t="str">
        <f t="shared" si="127"/>
        <v>0.0151420749092158-0.399226003509358i</v>
      </c>
      <c r="U376" s="227" t="str">
        <f t="shared" si="128"/>
        <v>-1.68027634730112+1.75772984540187i</v>
      </c>
      <c r="V376" s="227">
        <f t="shared" si="139"/>
        <v>7.718036787214217</v>
      </c>
      <c r="W376" s="227">
        <f t="shared" si="140"/>
        <v>-226.29057591876392</v>
      </c>
      <c r="X376" s="227" t="str">
        <f t="shared" si="129"/>
        <v>0.987234770579753-0.0359250632575913i</v>
      </c>
      <c r="Y376" s="227" t="str">
        <f t="shared" si="130"/>
        <v>1.17155925327972-19.3729687723848i</v>
      </c>
      <c r="Z376" s="227" t="str">
        <f t="shared" si="131"/>
        <v>0.259007318478093-10.7778501266752i</v>
      </c>
      <c r="AA376" s="227" t="str">
        <f t="shared" si="132"/>
        <v>-1.50855331043119-1.138703456536i</v>
      </c>
      <c r="AB376" s="227">
        <f t="shared" si="141"/>
        <v>5.5295748546462473</v>
      </c>
      <c r="AC376" s="227">
        <f t="shared" si="142"/>
        <v>-142.95334757823719</v>
      </c>
      <c r="AD376" s="229">
        <f t="shared" si="143"/>
        <v>-16.257284610763296</v>
      </c>
      <c r="AE376" s="229">
        <f t="shared" si="144"/>
        <v>154.78195269752987</v>
      </c>
      <c r="AF376" s="227">
        <f t="shared" si="133"/>
        <v>-10.727709756117049</v>
      </c>
      <c r="AG376" s="227">
        <f t="shared" si="134"/>
        <v>11.828605119292689</v>
      </c>
      <c r="AH376" s="229" t="str">
        <f t="shared" si="135"/>
        <v>0.139199267003537-0.0655557654008271i</v>
      </c>
    </row>
    <row r="377" spans="9:34" x14ac:dyDescent="0.2">
      <c r="I377" s="227">
        <v>373</v>
      </c>
      <c r="J377" s="227">
        <f t="shared" si="123"/>
        <v>4.6367957024902084</v>
      </c>
      <c r="K377" s="227">
        <f t="shared" si="122"/>
        <v>43330.699745236816</v>
      </c>
      <c r="L377" s="227">
        <f t="shared" si="136"/>
        <v>272254.81598908221</v>
      </c>
      <c r="M377" s="227">
        <f t="shared" si="124"/>
        <v>35496.07160916907</v>
      </c>
      <c r="N377" s="227">
        <f>SQRT((ABS(AC377)-171.5+'Small Signal'!C$59)^2)</f>
        <v>42.162674348537394</v>
      </c>
      <c r="O377" s="227">
        <f t="shared" si="137"/>
        <v>10.658567423132297</v>
      </c>
      <c r="P377" s="227">
        <f t="shared" si="138"/>
        <v>10.826316756612682</v>
      </c>
      <c r="Q377" s="227">
        <f t="shared" si="145"/>
        <v>43330.699745236816</v>
      </c>
      <c r="R377" s="227" t="str">
        <f t="shared" si="125"/>
        <v>0.0945666666666667+1.27959763514869i</v>
      </c>
      <c r="S377" s="227" t="str">
        <f t="shared" si="126"/>
        <v>0.0085-0.390747830619351i</v>
      </c>
      <c r="T377" s="227" t="str">
        <f t="shared" si="127"/>
        <v>0.0148503808494902-0.390367793938131i</v>
      </c>
      <c r="U377" s="227" t="str">
        <f t="shared" si="128"/>
        <v>-1.60773920084958+1.72420865308799i</v>
      </c>
      <c r="V377" s="227">
        <f t="shared" si="139"/>
        <v>7.4489672694342968</v>
      </c>
      <c r="W377" s="227">
        <f t="shared" si="140"/>
        <v>-227.00197974011164</v>
      </c>
      <c r="X377" s="227" t="str">
        <f t="shared" si="129"/>
        <v>0.986648536601516-0.0367407201031685i</v>
      </c>
      <c r="Y377" s="227" t="str">
        <f t="shared" si="130"/>
        <v>1.11863922398201-18.9349831686846i</v>
      </c>
      <c r="Z377" s="227" t="str">
        <f t="shared" si="131"/>
        <v>0.229425171303622-10.5279211169486i</v>
      </c>
      <c r="AA377" s="227" t="str">
        <f t="shared" si="132"/>
        <v>-1.51114121344125-1.11155994640734i</v>
      </c>
      <c r="AB377" s="227">
        <f t="shared" si="141"/>
        <v>5.4643324714289125</v>
      </c>
      <c r="AC377" s="227">
        <f t="shared" si="142"/>
        <v>-143.66267434853739</v>
      </c>
      <c r="AD377" s="229">
        <f t="shared" si="143"/>
        <v>-16.290649228041595</v>
      </c>
      <c r="AE377" s="229">
        <f t="shared" si="144"/>
        <v>154.32124177166969</v>
      </c>
      <c r="AF377" s="227">
        <f t="shared" si="133"/>
        <v>-10.826316756612682</v>
      </c>
      <c r="AG377" s="227">
        <f t="shared" si="134"/>
        <v>10.658567423132297</v>
      </c>
      <c r="AH377" s="229" t="str">
        <f t="shared" si="135"/>
        <v>0.138136009345571-0.0664173088914553i</v>
      </c>
    </row>
    <row r="378" spans="9:34" x14ac:dyDescent="0.2">
      <c r="I378" s="227">
        <v>374</v>
      </c>
      <c r="J378" s="227">
        <f t="shared" si="123"/>
        <v>4.6465458250169913</v>
      </c>
      <c r="K378" s="227">
        <f t="shared" si="122"/>
        <v>44314.49709076788</v>
      </c>
      <c r="L378" s="227">
        <f t="shared" si="136"/>
        <v>278436.19701576524</v>
      </c>
      <c r="M378" s="227">
        <f t="shared" si="124"/>
        <v>36502.205478752781</v>
      </c>
      <c r="N378" s="227">
        <f>SQRT((ABS(AC378)-171.5+'Small Signal'!C$59)^2)</f>
        <v>42.868224879927936</v>
      </c>
      <c r="O378" s="227">
        <f t="shared" si="137"/>
        <v>9.4846507364385388</v>
      </c>
      <c r="P378" s="227">
        <f t="shared" si="138"/>
        <v>10.923976272174627</v>
      </c>
      <c r="Q378" s="227">
        <f t="shared" si="145"/>
        <v>44314.49709076788</v>
      </c>
      <c r="R378" s="227" t="str">
        <f t="shared" si="125"/>
        <v>0.0945666666666667+1.3086501259741i</v>
      </c>
      <c r="S378" s="227" t="str">
        <f t="shared" si="126"/>
        <v>0.0085-0.38207309201749i</v>
      </c>
      <c r="T378" s="227" t="str">
        <f t="shared" si="127"/>
        <v>0.0145714878126093-0.381705930608572i</v>
      </c>
      <c r="U378" s="227" t="str">
        <f t="shared" si="128"/>
        <v>-1.53843397482151+1.69106235909769i</v>
      </c>
      <c r="V378" s="227">
        <f t="shared" si="139"/>
        <v>7.1820854474954139</v>
      </c>
      <c r="W378" s="227">
        <f t="shared" si="140"/>
        <v>-227.70582753802739</v>
      </c>
      <c r="X378" s="227" t="str">
        <f t="shared" si="129"/>
        <v>0.986035380249545-0.037574895944383i</v>
      </c>
      <c r="Y378" s="227" t="str">
        <f t="shared" si="130"/>
        <v>1.06817147735846-18.5072336611114i</v>
      </c>
      <c r="Z378" s="227" t="str">
        <f t="shared" si="131"/>
        <v>0.201214292805095-10.2836904983427i</v>
      </c>
      <c r="AA378" s="227" t="str">
        <f t="shared" si="132"/>
        <v>-1.51368840357493-1.08496469623434i</v>
      </c>
      <c r="AB378" s="227">
        <f t="shared" si="141"/>
        <v>5.4012929965966494</v>
      </c>
      <c r="AC378" s="227">
        <f t="shared" si="142"/>
        <v>-144.36822487992794</v>
      </c>
      <c r="AD378" s="229">
        <f t="shared" si="143"/>
        <v>-16.325269268771276</v>
      </c>
      <c r="AE378" s="229">
        <f t="shared" si="144"/>
        <v>153.85287561636648</v>
      </c>
      <c r="AF378" s="227">
        <f t="shared" si="133"/>
        <v>-10.923976272174627</v>
      </c>
      <c r="AG378" s="227">
        <f t="shared" si="134"/>
        <v>9.4846507364385388</v>
      </c>
      <c r="AH378" s="229" t="str">
        <f t="shared" si="135"/>
        <v>0.137041163849236-0.0672755936124419i</v>
      </c>
    </row>
    <row r="379" spans="9:34" x14ac:dyDescent="0.2">
      <c r="I379" s="227">
        <v>375</v>
      </c>
      <c r="J379" s="227">
        <f t="shared" si="123"/>
        <v>4.6562959475437751</v>
      </c>
      <c r="K379" s="227">
        <f t="shared" si="122"/>
        <v>45320.630960351591</v>
      </c>
      <c r="L379" s="227">
        <f t="shared" si="136"/>
        <v>284757.9225621894</v>
      </c>
      <c r="M379" s="227">
        <f t="shared" si="124"/>
        <v>37531.183009665794</v>
      </c>
      <c r="N379" s="227">
        <f>SQRT((ABS(AC379)-171.5+'Small Signal'!C$59)^2)</f>
        <v>43.569805187563475</v>
      </c>
      <c r="O379" s="227">
        <f t="shared" si="137"/>
        <v>8.30710176532844</v>
      </c>
      <c r="P379" s="227">
        <f t="shared" si="138"/>
        <v>11.020742140627352</v>
      </c>
      <c r="Q379" s="227">
        <f t="shared" si="145"/>
        <v>45320.630960351591</v>
      </c>
      <c r="R379" s="227" t="str">
        <f t="shared" si="125"/>
        <v>0.0945666666666667+1.33836223604229i</v>
      </c>
      <c r="S379" s="227" t="str">
        <f t="shared" si="126"/>
        <v>0.0085-0.373590935648756i</v>
      </c>
      <c r="T379" s="227" t="str">
        <f t="shared" si="127"/>
        <v>0.014304834302869-0.373236074687658i</v>
      </c>
      <c r="U379" s="227" t="str">
        <f t="shared" si="128"/>
        <v>-1.47221477087781+1.65830787472099i</v>
      </c>
      <c r="V379" s="227">
        <f t="shared" si="139"/>
        <v>6.9173565514381554</v>
      </c>
      <c r="W379" s="227">
        <f t="shared" si="140"/>
        <v>-228.40192936236383</v>
      </c>
      <c r="X379" s="227" t="str">
        <f t="shared" si="129"/>
        <v>0.985394065133195-0.0384280112438367i</v>
      </c>
      <c r="Y379" s="227" t="str">
        <f t="shared" si="130"/>
        <v>1.02003708242136-18.0894598277305i</v>
      </c>
      <c r="Z379" s="227" t="str">
        <f t="shared" si="131"/>
        <v>0.174308141420541-10.0450097848854i</v>
      </c>
      <c r="AA379" s="227" t="str">
        <f t="shared" si="132"/>
        <v>-1.51620007873421-1.05890415631839i</v>
      </c>
      <c r="AB379" s="227">
        <f t="shared" si="141"/>
        <v>5.3404397157594543</v>
      </c>
      <c r="AC379" s="227">
        <f t="shared" si="142"/>
        <v>-145.06980518756347</v>
      </c>
      <c r="AD379" s="229">
        <f t="shared" si="143"/>
        <v>-16.361181856386807</v>
      </c>
      <c r="AE379" s="229">
        <f t="shared" si="144"/>
        <v>153.37690695289191</v>
      </c>
      <c r="AF379" s="227">
        <f t="shared" si="133"/>
        <v>-11.020742140627352</v>
      </c>
      <c r="AG379" s="227">
        <f t="shared" si="134"/>
        <v>8.30710176532844</v>
      </c>
      <c r="AH379" s="229" t="str">
        <f t="shared" si="135"/>
        <v>0.135914454737421-0.0681294200161737i</v>
      </c>
    </row>
    <row r="380" spans="9:34" x14ac:dyDescent="0.2">
      <c r="I380" s="227">
        <v>376</v>
      </c>
      <c r="J380" s="227">
        <f t="shared" si="123"/>
        <v>4.6660460700705588</v>
      </c>
      <c r="K380" s="227">
        <f t="shared" si="122"/>
        <v>46349.608491264604</v>
      </c>
      <c r="L380" s="227">
        <f t="shared" si="136"/>
        <v>291223.17906583997</v>
      </c>
      <c r="M380" s="227">
        <f t="shared" si="124"/>
        <v>38583.522853430324</v>
      </c>
      <c r="N380" s="227">
        <f>SQRT((ABS(AC380)-171.5+'Small Signal'!C$59)^2)</f>
        <v>44.267231857581351</v>
      </c>
      <c r="O380" s="227">
        <f t="shared" si="137"/>
        <v>7.1261655120057696</v>
      </c>
      <c r="P380" s="227">
        <f t="shared" si="138"/>
        <v>11.11666944676746</v>
      </c>
      <c r="Q380" s="227">
        <f t="shared" si="145"/>
        <v>46349.608491264604</v>
      </c>
      <c r="R380" s="227" t="str">
        <f t="shared" si="125"/>
        <v>0.0945666666666667+1.36874894160945i</v>
      </c>
      <c r="S380" s="227" t="str">
        <f t="shared" si="126"/>
        <v>0.0085-0.365297086120171i</v>
      </c>
      <c r="T380" s="227" t="str">
        <f t="shared" si="127"/>
        <v>0.0140498834297351-0.364953982356536i</v>
      </c>
      <c r="U380" s="227" t="str">
        <f t="shared" si="128"/>
        <v>-1.40894243392467+1.62595996455709i</v>
      </c>
      <c r="V380" s="227">
        <f t="shared" si="139"/>
        <v>6.654744762361501</v>
      </c>
      <c r="W380" s="227">
        <f t="shared" si="140"/>
        <v>-229.09010193652298</v>
      </c>
      <c r="X380" s="227" t="str">
        <f t="shared" si="129"/>
        <v>0.984723298081468-0.0393004960104802i</v>
      </c>
      <c r="Y380" s="227" t="str">
        <f t="shared" si="130"/>
        <v>0.97412332291835-17.681409163105i</v>
      </c>
      <c r="Z380" s="227" t="str">
        <f t="shared" si="131"/>
        <v>0.148643655774934-9.81173492446054i</v>
      </c>
      <c r="AA380" s="227" t="str">
        <f t="shared" si="132"/>
        <v>-1.51868137513883-1.03336498795339i</v>
      </c>
      <c r="AB380" s="227">
        <f t="shared" si="141"/>
        <v>5.2817549550311584</v>
      </c>
      <c r="AC380" s="227">
        <f t="shared" si="142"/>
        <v>-145.76723185758135</v>
      </c>
      <c r="AD380" s="229">
        <f t="shared" si="143"/>
        <v>-16.398424401798618</v>
      </c>
      <c r="AE380" s="229">
        <f t="shared" si="144"/>
        <v>152.89339736958712</v>
      </c>
      <c r="AF380" s="227">
        <f t="shared" si="133"/>
        <v>-11.11666944676746</v>
      </c>
      <c r="AG380" s="227">
        <f t="shared" si="134"/>
        <v>7.1261655120057696</v>
      </c>
      <c r="AH380" s="229" t="str">
        <f t="shared" si="135"/>
        <v>0.134755656033433-0.0689775496327083i</v>
      </c>
    </row>
    <row r="381" spans="9:34" x14ac:dyDescent="0.2">
      <c r="I381" s="227">
        <v>377</v>
      </c>
      <c r="J381" s="227">
        <f t="shared" si="123"/>
        <v>4.6757961925973417</v>
      </c>
      <c r="K381" s="227">
        <f t="shared" si="122"/>
        <v>47401.948335029134</v>
      </c>
      <c r="L381" s="227">
        <f t="shared" si="136"/>
        <v>297835.22531034093</v>
      </c>
      <c r="M381" s="227">
        <f t="shared" si="124"/>
        <v>39659.755437237807</v>
      </c>
      <c r="N381" s="227">
        <f>SQRT((ABS(AC381)-171.5+'Small Signal'!C$59)^2)</f>
        <v>44.96033250366122</v>
      </c>
      <c r="O381" s="227">
        <f t="shared" si="137"/>
        <v>5.9420851217181792</v>
      </c>
      <c r="P381" s="227">
        <f t="shared" si="138"/>
        <v>11.211814342211412</v>
      </c>
      <c r="Q381" s="227">
        <f t="shared" si="145"/>
        <v>47401.948335029134</v>
      </c>
      <c r="R381" s="227" t="str">
        <f t="shared" si="125"/>
        <v>0.0945666666666667+1.3998255589586i</v>
      </c>
      <c r="S381" s="227" t="str">
        <f t="shared" si="126"/>
        <v>0.0085-0.357187362953978i</v>
      </c>
      <c r="T381" s="227" t="str">
        <f t="shared" si="127"/>
        <v>0.0138061218316791-0.356855502786338i</v>
      </c>
      <c r="U381" s="227" t="str">
        <f t="shared" si="128"/>
        <v>-1.34848422784131+1.59403142341912i</v>
      </c>
      <c r="V381" s="227">
        <f t="shared" si="139"/>
        <v>6.39421329409224</v>
      </c>
      <c r="W381" s="227">
        <f t="shared" si="140"/>
        <v>-229.7701691261764</v>
      </c>
      <c r="X381" s="227" t="str">
        <f t="shared" si="129"/>
        <v>0.984021726535418-0.040192790016358i</v>
      </c>
      <c r="Y381" s="227" t="str">
        <f t="shared" si="130"/>
        <v>0.930323335902456-17.2828367666994i</v>
      </c>
      <c r="Z381" s="227" t="str">
        <f t="shared" si="131"/>
        <v>0.124161052047287-9.58372612169775i</v>
      </c>
      <c r="AA381" s="227" t="str">
        <f t="shared" si="132"/>
        <v>-1.52113737826463-1.00833405534247i</v>
      </c>
      <c r="AB381" s="227">
        <f t="shared" si="141"/>
        <v>5.2252202012138751</v>
      </c>
      <c r="AC381" s="227">
        <f t="shared" si="142"/>
        <v>-146.46033250366122</v>
      </c>
      <c r="AD381" s="229">
        <f t="shared" si="143"/>
        <v>-16.437034543425288</v>
      </c>
      <c r="AE381" s="229">
        <f t="shared" si="144"/>
        <v>152.4024176253794</v>
      </c>
      <c r="AF381" s="227">
        <f t="shared" si="133"/>
        <v>-11.211814342211412</v>
      </c>
      <c r="AG381" s="227">
        <f t="shared" si="134"/>
        <v>5.9420851217181792</v>
      </c>
      <c r="AH381" s="229" t="str">
        <f t="shared" si="135"/>
        <v>0.133564595217694-0.0698187069751295i</v>
      </c>
    </row>
    <row r="382" spans="9:34" x14ac:dyDescent="0.2">
      <c r="I382" s="227">
        <v>378</v>
      </c>
      <c r="J382" s="227">
        <f t="shared" si="123"/>
        <v>4.6855463151241246</v>
      </c>
      <c r="K382" s="227">
        <f t="shared" si="122"/>
        <v>48478.180918836617</v>
      </c>
      <c r="L382" s="227">
        <f t="shared" si="136"/>
        <v>304597.39406802802</v>
      </c>
      <c r="M382" s="227">
        <f t="shared" si="124"/>
        <v>40760.423231308421</v>
      </c>
      <c r="N382" s="227">
        <f>SQRT((ABS(AC382)-171.5+'Small Signal'!C$59)^2)</f>
        <v>45.648946180361776</v>
      </c>
      <c r="O382" s="227">
        <f t="shared" si="137"/>
        <v>4.7551017567875249</v>
      </c>
      <c r="P382" s="227">
        <f t="shared" si="138"/>
        <v>11.306233857761502</v>
      </c>
      <c r="Q382" s="227">
        <f t="shared" si="145"/>
        <v>48478.180918836617</v>
      </c>
      <c r="R382" s="227" t="str">
        <f t="shared" si="125"/>
        <v>0.0945666666666667+1.43160775211973i</v>
      </c>
      <c r="S382" s="227" t="str">
        <f t="shared" si="126"/>
        <v>0.0085-0.349257678480483i</v>
      </c>
      <c r="T382" s="227" t="str">
        <f t="shared" si="127"/>
        <v>0.0135730586469068-0.348936576153391i</v>
      </c>
      <c r="U382" s="227" t="str">
        <f t="shared" si="128"/>
        <v>-1.2907135277614+1.56253323937223i</v>
      </c>
      <c r="V382" s="227">
        <f t="shared" si="139"/>
        <v>6.1357244776034445</v>
      </c>
      <c r="W382" s="227">
        <f t="shared" si="140"/>
        <v>-230.44196235249277</v>
      </c>
      <c r="X382" s="227" t="str">
        <f t="shared" si="129"/>
        <v>0.983287935820804-0.0411053430182727i</v>
      </c>
      <c r="Y382" s="227" t="str">
        <f t="shared" si="130"/>
        <v>0.888535774195702-16.8935050466355i</v>
      </c>
      <c r="Z382" s="227" t="str">
        <f t="shared" si="131"/>
        <v>0.100803634750531-9.3608476695455i</v>
      </c>
      <c r="AA382" s="227" t="str">
        <f t="shared" si="132"/>
        <v>-1.52357313376514-0.983798417294105i</v>
      </c>
      <c r="AB382" s="227">
        <f t="shared" si="141"/>
        <v>5.1708162252037653</v>
      </c>
      <c r="AC382" s="227">
        <f t="shared" si="142"/>
        <v>-147.14894618036178</v>
      </c>
      <c r="AD382" s="229">
        <f t="shared" si="143"/>
        <v>-16.477050082965267</v>
      </c>
      <c r="AE382" s="229">
        <f t="shared" si="144"/>
        <v>151.9040479371493</v>
      </c>
      <c r="AF382" s="227">
        <f t="shared" si="133"/>
        <v>-11.306233857761502</v>
      </c>
      <c r="AG382" s="227">
        <f t="shared" si="134"/>
        <v>4.7551017567875249</v>
      </c>
      <c r="AH382" s="229" t="str">
        <f t="shared" si="135"/>
        <v>0.132341156856919-0.0706515817710734i</v>
      </c>
    </row>
    <row r="383" spans="9:34" x14ac:dyDescent="0.2">
      <c r="I383" s="227">
        <v>379</v>
      </c>
      <c r="J383" s="227">
        <f t="shared" si="123"/>
        <v>4.6952964376509083</v>
      </c>
      <c r="K383" s="227">
        <f t="shared" ref="K383:K404" si="146">10^(J383)</f>
        <v>49578.848712907231</v>
      </c>
      <c r="L383" s="227">
        <f t="shared" si="136"/>
        <v>311513.09377981827</v>
      </c>
      <c r="M383" s="227">
        <f t="shared" si="124"/>
        <v>41886.081022320905</v>
      </c>
      <c r="N383" s="227">
        <f>SQRT((ABS(AC383)-171.5+'Small Signal'!C$59)^2)</f>
        <v>46.332923753643854</v>
      </c>
      <c r="O383" s="227">
        <f t="shared" si="137"/>
        <v>3.5654544947680336</v>
      </c>
      <c r="P383" s="227">
        <f t="shared" si="138"/>
        <v>11.399985708911522</v>
      </c>
      <c r="Q383" s="227">
        <f t="shared" si="145"/>
        <v>49578.848712907231</v>
      </c>
      <c r="R383" s="227" t="str">
        <f t="shared" si="125"/>
        <v>0.0945666666666667+1.46411154076515i</v>
      </c>
      <c r="S383" s="227" t="str">
        <f t="shared" si="126"/>
        <v>0.0085-0.341504035777698i</v>
      </c>
      <c r="T383" s="227" t="str">
        <f t="shared" si="127"/>
        <v>0.0133502245289506-0.341193231693341i</v>
      </c>
      <c r="U383" s="227" t="str">
        <f t="shared" si="128"/>
        <v>-1.23550952799775+1.53147474402867i</v>
      </c>
      <c r="V383" s="227">
        <f t="shared" si="139"/>
        <v>5.8792398475205356</v>
      </c>
      <c r="W383" s="227">
        <f t="shared" si="140"/>
        <v>-231.10532095026247</v>
      </c>
      <c r="X383" s="227" t="str">
        <f t="shared" si="129"/>
        <v>0.982520446295486-0.0420386149844834i</v>
      </c>
      <c r="Y383" s="227" t="str">
        <f t="shared" si="130"/>
        <v>0.848664490954996-16.5131834379707i</v>
      </c>
      <c r="Z383" s="227" t="str">
        <f t="shared" si="131"/>
        <v>0.0785176199173084-9.14296778905681i</v>
      </c>
      <c r="AA383" s="227" t="str">
        <f t="shared" si="132"/>
        <v>-1.52599365840273-0.959745318678948i</v>
      </c>
      <c r="AB383" s="227">
        <f t="shared" si="141"/>
        <v>5.1185232080446603</v>
      </c>
      <c r="AC383" s="227">
        <f t="shared" si="142"/>
        <v>-147.83292375364385</v>
      </c>
      <c r="AD383" s="229">
        <f t="shared" si="143"/>
        <v>-16.518508916956183</v>
      </c>
      <c r="AE383" s="229">
        <f t="shared" si="144"/>
        <v>151.39837824841189</v>
      </c>
      <c r="AF383" s="227">
        <f t="shared" si="133"/>
        <v>-11.399985708911522</v>
      </c>
      <c r="AG383" s="227">
        <f t="shared" si="134"/>
        <v>3.5654544947680336</v>
      </c>
      <c r="AH383" s="229" t="str">
        <f t="shared" si="135"/>
        <v>0.131085286176952-0.0714748315295294i</v>
      </c>
    </row>
    <row r="384" spans="9:34" x14ac:dyDescent="0.2">
      <c r="I384" s="227">
        <v>380</v>
      </c>
      <c r="J384" s="227">
        <f t="shared" si="123"/>
        <v>4.7050465601776921</v>
      </c>
      <c r="K384" s="227">
        <f t="shared" si="146"/>
        <v>50704.506503919714</v>
      </c>
      <c r="L384" s="227">
        <f t="shared" si="136"/>
        <v>318585.81027322012</v>
      </c>
      <c r="M384" s="227">
        <f t="shared" si="124"/>
        <v>43037.296193049973</v>
      </c>
      <c r="N384" s="227">
        <f>SQRT((ABS(AC384)-171.5+'Small Signal'!C$59)^2)</f>
        <v>47.01212822945493</v>
      </c>
      <c r="O384" s="227">
        <f t="shared" si="137"/>
        <v>2.3733802472506227</v>
      </c>
      <c r="P384" s="227">
        <f t="shared" si="138"/>
        <v>11.493128095122831</v>
      </c>
      <c r="Q384" s="227">
        <f t="shared" si="145"/>
        <v>50704.506503919714</v>
      </c>
      <c r="R384" s="227" t="str">
        <f t="shared" si="125"/>
        <v>0.0945666666666667+1.49735330828413i</v>
      </c>
      <c r="S384" s="227" t="str">
        <f t="shared" si="126"/>
        <v>0.0085-0.333922526656695i</v>
      </c>
      <c r="T384" s="227" t="str">
        <f t="shared" si="127"/>
        <v>0.0131371707051841-0.333621585793602i</v>
      </c>
      <c r="U384" s="227" t="str">
        <f t="shared" si="128"/>
        <v>-1.18275696475223+1.50086375112641i</v>
      </c>
      <c r="V384" s="227">
        <f t="shared" si="139"/>
        <v>5.624720230066699</v>
      </c>
      <c r="W384" s="227">
        <f t="shared" si="140"/>
        <v>-231.76009247168989</v>
      </c>
      <c r="X384" s="227" t="str">
        <f t="shared" si="129"/>
        <v>0.981717710365824-0.0429930763265504i</v>
      </c>
      <c r="Y384" s="227" t="str">
        <f t="shared" si="130"/>
        <v>0.810618244697558-16.141648134699i</v>
      </c>
      <c r="Z384" s="227" t="str">
        <f t="shared" si="131"/>
        <v>0.0572519697687353-8.92995847693203i</v>
      </c>
      <c r="AA384" s="227" t="str">
        <f t="shared" si="132"/>
        <v>-1.52840395101829-0.936162181626116i</v>
      </c>
      <c r="AB384" s="227">
        <f t="shared" si="141"/>
        <v>5.068320869083629</v>
      </c>
      <c r="AC384" s="227">
        <f t="shared" si="142"/>
        <v>-148.51212822945493</v>
      </c>
      <c r="AD384" s="229">
        <f t="shared" si="143"/>
        <v>-16.561448964206459</v>
      </c>
      <c r="AE384" s="229">
        <f t="shared" si="144"/>
        <v>150.88550847670555</v>
      </c>
      <c r="AF384" s="227">
        <f t="shared" si="133"/>
        <v>-11.493128095122831</v>
      </c>
      <c r="AG384" s="227">
        <f t="shared" si="134"/>
        <v>2.3733802472506227</v>
      </c>
      <c r="AH384" s="229" t="str">
        <f t="shared" si="135"/>
        <v>0.129796992548366-0.0722870844495302i</v>
      </c>
    </row>
    <row r="385" spans="2:34" x14ac:dyDescent="0.2">
      <c r="I385" s="227">
        <v>381</v>
      </c>
      <c r="J385" s="227">
        <f t="shared" si="123"/>
        <v>4.7147966827044758</v>
      </c>
      <c r="K385" s="227">
        <f t="shared" si="146"/>
        <v>51855.721674648783</v>
      </c>
      <c r="L385" s="227">
        <f t="shared" si="136"/>
        <v>325819.10851934727</v>
      </c>
      <c r="M385" s="227">
        <f t="shared" si="124"/>
        <v>44214.649008353379</v>
      </c>
      <c r="N385" s="227">
        <f>SQRT((ABS(AC385)-171.5+'Small Signal'!C$59)^2)</f>
        <v>47.686435041632308</v>
      </c>
      <c r="O385" s="227">
        <f t="shared" si="137"/>
        <v>1.1791136954213641</v>
      </c>
      <c r="P385" s="227">
        <f t="shared" si="138"/>
        <v>11.585719493514121</v>
      </c>
      <c r="Q385" s="227">
        <f t="shared" si="145"/>
        <v>51855.721674648783</v>
      </c>
      <c r="R385" s="227" t="str">
        <f t="shared" si="125"/>
        <v>0.0945666666666667+1.53134981004093i</v>
      </c>
      <c r="S385" s="227" t="str">
        <f t="shared" si="126"/>
        <v>0.0085-0.326509329691716i</v>
      </c>
      <c r="T385" s="227" t="str">
        <f t="shared" si="127"/>
        <v>0.0129334680764003-0.326217840123663i</v>
      </c>
      <c r="U385" s="227" t="str">
        <f t="shared" si="128"/>
        <v>-1.13234585280475+1.47070668433011i</v>
      </c>
      <c r="V385" s="227">
        <f t="shared" si="139"/>
        <v>5.3721258318268204</v>
      </c>
      <c r="W385" s="227">
        <f t="shared" si="140"/>
        <v>-232.40613293693929</v>
      </c>
      <c r="X385" s="227" t="str">
        <f t="shared" si="129"/>
        <v>0.980878109366054-0.043969208136444i</v>
      </c>
      <c r="Y385" s="227" t="str">
        <f t="shared" si="130"/>
        <v>0.774310423279611-15.7786818347274i</v>
      </c>
      <c r="Z385" s="227" t="str">
        <f t="shared" si="131"/>
        <v>0.0369582380196594-8.72169536039402i</v>
      </c>
      <c r="AA385" s="227" t="str">
        <f t="shared" si="132"/>
        <v>-1.53080900356815-0.913036596435231i</v>
      </c>
      <c r="AB385" s="227">
        <f t="shared" si="141"/>
        <v>5.0201885957055392</v>
      </c>
      <c r="AC385" s="227">
        <f t="shared" si="142"/>
        <v>-149.18643504163231</v>
      </c>
      <c r="AD385" s="229">
        <f t="shared" si="143"/>
        <v>-16.60590808921966</v>
      </c>
      <c r="AE385" s="229">
        <f t="shared" si="144"/>
        <v>150.36554873705367</v>
      </c>
      <c r="AF385" s="227">
        <f t="shared" si="133"/>
        <v>-11.585719493514121</v>
      </c>
      <c r="AG385" s="227">
        <f t="shared" si="134"/>
        <v>1.1791136954213641</v>
      </c>
      <c r="AH385" s="229" t="str">
        <f t="shared" si="135"/>
        <v>0.128476352852135-0.0730869426745002i</v>
      </c>
    </row>
    <row r="386" spans="2:34" x14ac:dyDescent="0.2">
      <c r="I386" s="227">
        <v>382</v>
      </c>
      <c r="J386" s="227">
        <f t="shared" si="123"/>
        <v>4.7245468052312596</v>
      </c>
      <c r="K386" s="227">
        <f t="shared" si="146"/>
        <v>53033.074489952189</v>
      </c>
      <c r="L386" s="227">
        <f t="shared" si="136"/>
        <v>333216.63442982815</v>
      </c>
      <c r="M386" s="227">
        <f t="shared" si="124"/>
        <v>45418.732907651531</v>
      </c>
      <c r="N386" s="227">
        <f>SQRT((ABS(AC386)-171.5+'Small Signal'!C$59)^2)</f>
        <v>48.355732300770285</v>
      </c>
      <c r="O386" s="227">
        <f t="shared" si="137"/>
        <v>1.7112761935123899E-2</v>
      </c>
      <c r="P386" s="227">
        <f t="shared" si="138"/>
        <v>11.677818447618998</v>
      </c>
      <c r="Q386" s="227">
        <f t="shared" si="145"/>
        <v>53033.074489952189</v>
      </c>
      <c r="R386" s="227" t="str">
        <f t="shared" si="125"/>
        <v>0.0945666666666667+1.56611818182019i</v>
      </c>
      <c r="S386" s="227" t="str">
        <f t="shared" si="126"/>
        <v>0.0085-0.319260708293984i</v>
      </c>
      <c r="T386" s="227" t="str">
        <f t="shared" si="127"/>
        <v>0.0127387063556736-0.318978279802643i</v>
      </c>
      <c r="U386" s="227" t="str">
        <f t="shared" si="128"/>
        <v>-1.0841712354217+1.44100869511302i</v>
      </c>
      <c r="V386" s="227">
        <f t="shared" si="139"/>
        <v>5.1214163287335577</v>
      </c>
      <c r="W386" s="227">
        <f t="shared" si="140"/>
        <v>-233.04330703284015</v>
      </c>
      <c r="X386" s="227" t="str">
        <f t="shared" si="129"/>
        <v>0.979999950294351-0.0449675024290373i</v>
      </c>
      <c r="Y386" s="227" t="str">
        <f t="shared" si="130"/>
        <v>0.739658785445374-15.4240734971192i</v>
      </c>
      <c r="Z386" s="227" t="str">
        <f t="shared" si="131"/>
        <v>0.0175904250433417-8.51805755899251i</v>
      </c>
      <c r="AA386" s="227" t="str">
        <f t="shared" si="132"/>
        <v>-1.53321381225756-0.890356312177421i</v>
      </c>
      <c r="AB386" s="227">
        <f t="shared" si="141"/>
        <v>4.9741055741534144</v>
      </c>
      <c r="AC386" s="227">
        <f t="shared" si="142"/>
        <v>-149.85573230077028</v>
      </c>
      <c r="AD386" s="229">
        <f t="shared" si="143"/>
        <v>-16.651924021772412</v>
      </c>
      <c r="AE386" s="229">
        <f t="shared" si="144"/>
        <v>149.83861953883516</v>
      </c>
      <c r="AF386" s="227">
        <f t="shared" si="133"/>
        <v>-11.677818447618998</v>
      </c>
      <c r="AG386" s="227">
        <f t="shared" si="134"/>
        <v>-1.7112761935123899E-2</v>
      </c>
      <c r="AH386" s="229" t="str">
        <f t="shared" si="135"/>
        <v>0.127123514691061-0.0738729858928904i</v>
      </c>
    </row>
    <row r="387" spans="2:34" x14ac:dyDescent="0.2">
      <c r="I387" s="227">
        <v>383</v>
      </c>
      <c r="J387" s="227">
        <f t="shared" si="123"/>
        <v>4.7342969277580425</v>
      </c>
      <c r="K387" s="227">
        <f t="shared" si="146"/>
        <v>54237.15838925034</v>
      </c>
      <c r="L387" s="227">
        <f t="shared" si="136"/>
        <v>340782.11669450975</v>
      </c>
      <c r="M387" s="227">
        <f t="shared" si="124"/>
        <v>46650.154804048616</v>
      </c>
      <c r="N387" s="227">
        <f>SQRT((ABS(AC387)-171.5+'Small Signal'!C$59)^2)</f>
        <v>49.019921006085553</v>
      </c>
      <c r="O387" s="227">
        <f t="shared" si="137"/>
        <v>1.2150690526699464</v>
      </c>
      <c r="P387" s="227">
        <f t="shared" si="138"/>
        <v>11.769483351859957</v>
      </c>
      <c r="Q387" s="227">
        <f t="shared" si="145"/>
        <v>54237.15838925034</v>
      </c>
      <c r="R387" s="227" t="str">
        <f t="shared" si="125"/>
        <v>0.0945666666666667+1.6016759484642i</v>
      </c>
      <c r="S387" s="227" t="str">
        <f t="shared" si="126"/>
        <v>0.0085-0.312173008828307i</v>
      </c>
      <c r="T387" s="227" t="str">
        <f t="shared" si="127"/>
        <v>0.0125524932448029-0.311899271603592i</v>
      </c>
      <c r="U387" s="227" t="str">
        <f t="shared" si="128"/>
        <v>-1.0381329467689+1.41177377150645i</v>
      </c>
      <c r="V387" s="227">
        <f t="shared" si="139"/>
        <v>4.8725509547140682</v>
      </c>
      <c r="W387" s="227">
        <f t="shared" si="140"/>
        <v>-233.67148826145421</v>
      </c>
      <c r="X387" s="227" t="str">
        <f t="shared" si="129"/>
        <v>0.979081462399-0.0459884623901029i</v>
      </c>
      <c r="Y387" s="227" t="str">
        <f t="shared" si="130"/>
        <v>0.706585218675374-15.0776181109254i</v>
      </c>
      <c r="Z387" s="227" t="str">
        <f t="shared" si="131"/>
        <v>-0.000895157818295911-8.31892755295225i</v>
      </c>
      <c r="AA387" s="227" t="str">
        <f t="shared" si="132"/>
        <v>-1.535623388803-0.868109226955391i</v>
      </c>
      <c r="AB387" s="227">
        <f t="shared" si="141"/>
        <v>4.9300509209860399</v>
      </c>
      <c r="AC387" s="227">
        <f t="shared" si="142"/>
        <v>-150.51992100608555</v>
      </c>
      <c r="AD387" s="229">
        <f t="shared" si="143"/>
        <v>-16.699534272845998</v>
      </c>
      <c r="AE387" s="229">
        <f t="shared" si="144"/>
        <v>149.30485195341561</v>
      </c>
      <c r="AF387" s="227">
        <f t="shared" si="133"/>
        <v>-11.769483351859957</v>
      </c>
      <c r="AG387" s="227">
        <f t="shared" si="134"/>
        <v>-1.2150690526699464</v>
      </c>
      <c r="AH387" s="229" t="str">
        <f t="shared" si="135"/>
        <v>0.125738699411374-0.0746437752822586i</v>
      </c>
    </row>
    <row r="388" spans="2:34" x14ac:dyDescent="0.2">
      <c r="I388" s="227">
        <v>384</v>
      </c>
      <c r="J388" s="227">
        <f t="shared" ref="J388:J451" si="147">1+I388*(LOG(fsw)-1)/500</f>
        <v>4.7440470502848253</v>
      </c>
      <c r="K388" s="227">
        <f t="shared" si="146"/>
        <v>55468.580285647426</v>
      </c>
      <c r="L388" s="227">
        <f t="shared" si="136"/>
        <v>348519.36866089114</v>
      </c>
      <c r="M388" s="227">
        <f t="shared" ref="M388:M451" si="148">SQRT((Fco_target-K389)^2)</f>
        <v>47909.535390243735</v>
      </c>
      <c r="N388" s="227">
        <f>SQRT((ABS(AC388)-171.5+'Small Signal'!C$59)^2)</f>
        <v>49.678915222609447</v>
      </c>
      <c r="O388" s="227">
        <f t="shared" si="137"/>
        <v>2.4145274726854211</v>
      </c>
      <c r="P388" s="227">
        <f t="shared" si="138"/>
        <v>11.860772232401271</v>
      </c>
      <c r="Q388" s="227">
        <f t="shared" si="145"/>
        <v>55468.580285647426</v>
      </c>
      <c r="R388" s="227" t="str">
        <f t="shared" ref="R388:R451" si="149">IMSUM(COMPLEX(DCRss,Lss*L388),COMPLEX(Rdsonss,0),COMPLEX(40/3*Risense,0))</f>
        <v>0.0945666666666667+1.63804103270619i</v>
      </c>
      <c r="S388" s="227" t="str">
        <f t="shared" ref="S388:S451" si="150">IMSUM(COMPLEX(ESRss,0),IMDIV(COMPLEX(1,0),COMPLEX(0,L388*Cbulkss)))</f>
        <v>0.0085-0.305242658771469i</v>
      </c>
      <c r="T388" s="227" t="str">
        <f t="shared" ref="T388:T451" si="151">IMDIV(IMPRODUCT(S388,COMPLEX(Ross,0)),IMSUM(S388,COMPLEX(Ross,0)))</f>
        <v>0.0123744536467052-0.304977262193944i</v>
      </c>
      <c r="U388" s="227" t="str">
        <f t="shared" ref="U388:U451" si="152">IMPRODUCT(COMPLEX(Vinss,0),COMPLEX(M^2,0),IMDIV(IMSUB(COMPLEX(1,0),IMDIV(IMPRODUCT(R388,COMPLEX(M^2,0)),COMPLEX(Ross,0))),IMSUM(COMPLEX(1,0),IMDIV(IMPRODUCT(R388,COMPLEX(M^2,0)),T388))))</f>
        <v>-0.994135386156294+1.38300483843673i</v>
      </c>
      <c r="V388" s="227">
        <f t="shared" si="139"/>
        <v>4.6254885894704501</v>
      </c>
      <c r="W388" s="227">
        <f t="shared" si="140"/>
        <v>-234.29055904043736</v>
      </c>
      <c r="X388" s="227" t="str">
        <f t="shared" ref="X388:X451" si="153">IMSUM(COMPLEX(1,L388/(wn*q0)),IMPOWER(COMPLEX(0,L388/wn),2))</f>
        <v>0.978120793607784-0.0470326026299432i</v>
      </c>
      <c r="Y388" s="227" t="str">
        <f t="shared" ref="Y388:Y451" si="154">IMPRODUCT(COMPLEX(2*Ioutss*M^2,0),IMDIV(IMSUM(COMPLEX(1,0),IMDIV(COMPLEX(Ross,0),IMPRODUCT(COMPLEX(2,0),S388))),IMSUM(COMPLEX(1,0),IMDIV(IMPRODUCT(R388,COMPLEX(M^2,0)),T388))))</f>
        <v>0.675015512166987-14.7391164749773i</v>
      </c>
      <c r="Z388" s="227" t="str">
        <f t="shared" ref="Z388:Z451" si="155">IMPRODUCT(COMPLEX(Fm*40/3*Risense,0),Y388,X388)</f>
        <v>-0.0185400154547229-8.124191057708i</v>
      </c>
      <c r="AA388" s="227" t="str">
        <f t="shared" ref="AA388:AA451" si="156">IMDIV(IMPRODUCT(COMPLEX(Fm,0),U388),IMSUM(COMPLEX(1,0),Z388))</f>
        <v>-1.5380427718542-0.846283377789108i</v>
      </c>
      <c r="AB388" s="227">
        <f t="shared" si="141"/>
        <v>4.8880038147539686</v>
      </c>
      <c r="AC388" s="227">
        <f t="shared" si="142"/>
        <v>-151.17891522260945</v>
      </c>
      <c r="AD388" s="229">
        <f t="shared" si="143"/>
        <v>-16.748776047155239</v>
      </c>
      <c r="AE388" s="229">
        <f t="shared" si="144"/>
        <v>148.76438774992403</v>
      </c>
      <c r="AF388" s="227">
        <f t="shared" ref="AF388:AF451" si="157">AD388+AB388</f>
        <v>-11.860772232401271</v>
      </c>
      <c r="AG388" s="227">
        <f t="shared" ref="AG388:AG451" si="158">AE388+AC388</f>
        <v>-2.4145274726854211</v>
      </c>
      <c r="AH388" s="229" t="str">
        <f t="shared" ref="AH388:AH451" si="159">IMDIV(IMPRODUCT(COMPLEX(gea*Rea*Rslss/(Rslss+Rshss),0),COMPLEX(1,L388*Ccompss*Rcompss),COMPLEX(1,k_3*L388*Cffss*Rshss)),IMPRODUCT(COMPLEX(1,L388*Rea*Ccompss),COMPLEX(1,L388*Rcompss*Chfss),COMPLEX(1,k_3*L388*Rffss*Cffss)))</f>
        <v>0.124322204897957-0.0753978577901973i</v>
      </c>
    </row>
    <row r="389" spans="2:34" x14ac:dyDescent="0.2">
      <c r="I389" s="227">
        <v>385</v>
      </c>
      <c r="J389" s="227">
        <f t="shared" si="147"/>
        <v>4.7537971728116091</v>
      </c>
      <c r="K389" s="227">
        <f t="shared" si="146"/>
        <v>56727.960871842544</v>
      </c>
      <c r="L389" s="227">
        <f t="shared" ref="L389:L452" si="160">2*PI()*K389</f>
        <v>356432.29025621957</v>
      </c>
      <c r="M389" s="227">
        <f t="shared" si="148"/>
        <v>49197.509451388411</v>
      </c>
      <c r="N389" s="227">
        <f>SQRT((ABS(AC389)-171.5+'Small Signal'!C$59)^2)</f>
        <v>50.332642226382205</v>
      </c>
      <c r="O389" s="227">
        <f t="shared" ref="O389:O452" si="161">ABS(AG389)</f>
        <v>3.6152627297523736</v>
      </c>
      <c r="P389" s="227">
        <f t="shared" ref="P389:P452" si="162">ABS(AF389)</f>
        <v>11.951742525031126</v>
      </c>
      <c r="Q389" s="227">
        <f t="shared" si="145"/>
        <v>56727.960871842544</v>
      </c>
      <c r="R389" s="227" t="str">
        <f t="shared" si="149"/>
        <v>0.0945666666666667+1.67523176420423i</v>
      </c>
      <c r="S389" s="227" t="str">
        <f t="shared" si="150"/>
        <v>0.0085-0.298466164911522i</v>
      </c>
      <c r="T389" s="227" t="str">
        <f t="shared" si="151"/>
        <v>0.0122042289121987-0.298208776411579i</v>
      </c>
      <c r="U389" s="227" t="str">
        <f t="shared" si="152"/>
        <v>-0.952087303480256+1.35470385031013i</v>
      </c>
      <c r="V389" s="227">
        <f t="shared" ref="V389:V452" si="163">20*LOG(IMABS(U389))</f>
        <v>4.380187844906466</v>
      </c>
      <c r="W389" s="227">
        <f t="shared" ref="W389:W452" si="164">IF(DEGREES(IMARGUMENT(U389))&gt;0,DEGREES(IMARGUMENT(U389))-360, DEGREES(IMARGUMENT(U389)))</f>
        <v>-234.90041075737668</v>
      </c>
      <c r="X389" s="227" t="str">
        <f t="shared" si="153"/>
        <v>0.977116006793406-0.0481004494427758i</v>
      </c>
      <c r="Y389" s="227" t="str">
        <f t="shared" si="154"/>
        <v>0.644879143871935-14.4083749880336i</v>
      </c>
      <c r="Z389" s="227" t="str">
        <f t="shared" si="155"/>
        <v>-0.0353835883009083-7.93373690428207i</v>
      </c>
      <c r="AA389" s="227" t="str">
        <f t="shared" si="156"/>
        <v>-1.5404770386104-0.824866930089795i</v>
      </c>
      <c r="AB389" s="227">
        <f t="shared" ref="AB389:AB452" si="165">20*LOG(IMABS(AA389))</f>
        <v>4.8479436275287888</v>
      </c>
      <c r="AC389" s="227">
        <f t="shared" ref="AC389:AC452" si="166">IF(DEGREES(IMARGUMENT(AA389))&gt;0,DEGREES(IMARGUMENT(AA389))-360, DEGREES(IMARGUMENT(AA389)))</f>
        <v>-151.83264222638221</v>
      </c>
      <c r="AD389" s="229">
        <f t="shared" ref="AD389:AD452" si="167">20*LOG(IMABS(AH389))</f>
        <v>-16.799686152559914</v>
      </c>
      <c r="AE389" s="229">
        <f t="shared" ref="AE389:AE452" si="168">180+DEGREES(IMARGUMENT(AH389))</f>
        <v>148.21737949662983</v>
      </c>
      <c r="AF389" s="227">
        <f t="shared" si="157"/>
        <v>-11.951742525031126</v>
      </c>
      <c r="AG389" s="227">
        <f t="shared" si="158"/>
        <v>-3.6152627297523736</v>
      </c>
      <c r="AH389" s="229" t="str">
        <f t="shared" si="159"/>
        <v>0.122874408106126-0.0761337707415138i</v>
      </c>
    </row>
    <row r="390" spans="2:34" x14ac:dyDescent="0.2">
      <c r="I390" s="227">
        <v>386</v>
      </c>
      <c r="J390" s="227">
        <f t="shared" si="147"/>
        <v>4.7635472953383928</v>
      </c>
      <c r="K390" s="227">
        <f t="shared" si="146"/>
        <v>58015.93493298722</v>
      </c>
      <c r="L390" s="227">
        <f t="shared" si="160"/>
        <v>364524.86995323218</v>
      </c>
      <c r="M390" s="227">
        <f t="shared" si="148"/>
        <v>50514.72618504722</v>
      </c>
      <c r="N390" s="227">
        <f>SQRT((ABS(AC390)-171.5+'Small Signal'!C$59)^2)</f>
        <v>50.98104262056745</v>
      </c>
      <c r="O390" s="227">
        <f t="shared" si="161"/>
        <v>4.8170519951038102</v>
      </c>
      <c r="P390" s="227">
        <f t="shared" si="162"/>
        <v>12.042450850728853</v>
      </c>
      <c r="Q390" s="227">
        <f t="shared" si="145"/>
        <v>58015.93493298722</v>
      </c>
      <c r="R390" s="227" t="str">
        <f t="shared" si="149"/>
        <v>0.0945666666666667+1.71326688878019i</v>
      </c>
      <c r="S390" s="227" t="str">
        <f t="shared" si="150"/>
        <v>0.0085-0.291840111587045i</v>
      </c>
      <c r="T390" s="227" t="str">
        <f t="shared" si="151"/>
        <v>0.0120414761196822-0.291590415575927i</v>
      </c>
      <c r="U390" s="227" t="str">
        <f t="shared" si="152"/>
        <v>-0.911901595266844+1.32687187645098i</v>
      </c>
      <c r="V390" s="227">
        <f t="shared" si="163"/>
        <v>4.1366071497540364</v>
      </c>
      <c r="W390" s="227">
        <f t="shared" si="164"/>
        <v>-235.50094378044787</v>
      </c>
      <c r="X390" s="227" t="str">
        <f t="shared" si="153"/>
        <v>0.976065075867388-0.0491925410720106i</v>
      </c>
      <c r="Y390" s="227" t="str">
        <f t="shared" si="154"/>
        <v>0.61610908060265-14.08520544872i</v>
      </c>
      <c r="Z390" s="227" t="str">
        <f t="shared" si="155"/>
        <v>-0.0514633643206348-7.74745692518451i</v>
      </c>
      <c r="AA390" s="227" t="str">
        <f t="shared" si="156"/>
        <v>-1.54293131666502-0.803848166680907i</v>
      </c>
      <c r="AB390" s="227">
        <f t="shared" si="165"/>
        <v>4.8098500559600001</v>
      </c>
      <c r="AC390" s="227">
        <f t="shared" si="166"/>
        <v>-152.48104262056745</v>
      </c>
      <c r="AD390" s="229">
        <f t="shared" si="167"/>
        <v>-16.852300906688853</v>
      </c>
      <c r="AE390" s="229">
        <f t="shared" si="168"/>
        <v>147.66399062546364</v>
      </c>
      <c r="AF390" s="227">
        <f t="shared" si="157"/>
        <v>-12.042450850728853</v>
      </c>
      <c r="AG390" s="227">
        <f t="shared" si="158"/>
        <v>-4.8170519951038102</v>
      </c>
      <c r="AH390" s="229" t="str">
        <f t="shared" si="159"/>
        <v>0.121395767292769-0.0768500467568581i</v>
      </c>
    </row>
    <row r="391" spans="2:34" x14ac:dyDescent="0.2">
      <c r="I391" s="227">
        <v>387</v>
      </c>
      <c r="J391" s="227">
        <f t="shared" si="147"/>
        <v>4.7732974178651757</v>
      </c>
      <c r="K391" s="227">
        <f t="shared" si="146"/>
        <v>59333.15166664603</v>
      </c>
      <c r="L391" s="227">
        <f t="shared" si="160"/>
        <v>372801.18678052834</v>
      </c>
      <c r="M391" s="227">
        <f t="shared" si="148"/>
        <v>51861.849528423525</v>
      </c>
      <c r="N391" s="227">
        <f>SQRT((ABS(AC391)-171.5+'Small Signal'!C$59)^2)</f>
        <v>51.6240704256887</v>
      </c>
      <c r="O391" s="227">
        <f t="shared" si="161"/>
        <v>6.0196749683225335</v>
      </c>
      <c r="P391" s="227">
        <f t="shared" si="162"/>
        <v>12.132952789560106</v>
      </c>
      <c r="Q391" s="227">
        <f t="shared" si="145"/>
        <v>59333.15166664603</v>
      </c>
      <c r="R391" s="227" t="str">
        <f t="shared" si="149"/>
        <v>0.0945666666666667+1.75216557786848i</v>
      </c>
      <c r="S391" s="227" t="str">
        <f t="shared" si="150"/>
        <v>0.0085-0.285361158965497i</v>
      </c>
      <c r="T391" s="227" t="str">
        <f t="shared" si="151"/>
        <v>0.0118858673862829-0.285118855833529i</v>
      </c>
      <c r="U391" s="227" t="str">
        <f t="shared" si="152"/>
        <v>-0.873495110753308+1.29950917994913i</v>
      </c>
      <c r="V391" s="227">
        <f t="shared" si="163"/>
        <v>3.8947048319973252</v>
      </c>
      <c r="W391" s="227">
        <f t="shared" si="164"/>
        <v>-236.09206742792196</v>
      </c>
      <c r="X391" s="227" t="str">
        <f t="shared" si="153"/>
        <v>0.974965881694598-0.0503094279815484i</v>
      </c>
      <c r="Y391" s="227" t="str">
        <f t="shared" si="154"/>
        <v>0.588641590295839-13.7694248647253i</v>
      </c>
      <c r="Z391" s="227" t="str">
        <f t="shared" si="155"/>
        <v>-0.0668149841709317-7.5652458455317i</v>
      </c>
      <c r="AA391" s="227" t="str">
        <f t="shared" si="156"/>
        <v>-1.54541079611587-0.783215476319768i</v>
      </c>
      <c r="AB391" s="227">
        <f t="shared" si="165"/>
        <v>4.7737032515875324</v>
      </c>
      <c r="AC391" s="227">
        <f t="shared" si="166"/>
        <v>-153.1240704256887</v>
      </c>
      <c r="AD391" s="229">
        <f t="shared" si="167"/>
        <v>-16.906656041147638</v>
      </c>
      <c r="AE391" s="229">
        <f t="shared" si="168"/>
        <v>147.10439545736617</v>
      </c>
      <c r="AF391" s="227">
        <f t="shared" si="157"/>
        <v>-12.132952789560106</v>
      </c>
      <c r="AG391" s="227">
        <f t="shared" si="158"/>
        <v>-6.0196749683225335</v>
      </c>
      <c r="AH391" s="229" t="str">
        <f t="shared" si="159"/>
        <v>0.119886823910094-0.0775452189636271i</v>
      </c>
    </row>
    <row r="392" spans="2:34" x14ac:dyDescent="0.2">
      <c r="I392" s="227">
        <v>388</v>
      </c>
      <c r="J392" s="227">
        <f t="shared" si="147"/>
        <v>4.7830475403919586</v>
      </c>
      <c r="K392" s="227">
        <f t="shared" si="146"/>
        <v>60680.275010022335</v>
      </c>
      <c r="L392" s="227">
        <f t="shared" si="160"/>
        <v>381265.41237858898</v>
      </c>
      <c r="M392" s="227">
        <f t="shared" si="148"/>
        <v>53239.558493013174</v>
      </c>
      <c r="N392" s="227">
        <f>SQRT((ABS(AC392)-171.5+'Small Signal'!C$59)^2)</f>
        <v>52.261693147393345</v>
      </c>
      <c r="O392" s="227">
        <f t="shared" si="161"/>
        <v>7.2229139610867321</v>
      </c>
      <c r="P392" s="227">
        <f t="shared" si="162"/>
        <v>12.223302653540941</v>
      </c>
      <c r="Q392" s="227">
        <f t="shared" si="145"/>
        <v>60680.275010022335</v>
      </c>
      <c r="R392" s="227" t="str">
        <f t="shared" si="149"/>
        <v>0.0945666666666667+1.79194743817937i</v>
      </c>
      <c r="S392" s="227" t="str">
        <f t="shared" si="150"/>
        <v>0.0085-0.279026041359786i</v>
      </c>
      <c r="T392" s="227" t="str">
        <f t="shared" si="151"/>
        <v>0.0117370892091011-0.278790846537508i</v>
      </c>
      <c r="U392" s="227" t="str">
        <f t="shared" si="152"/>
        <v>-0.836788467477941+1.27261529042655i</v>
      </c>
      <c r="V392" s="227">
        <f t="shared" si="163"/>
        <v>3.6544391987331388</v>
      </c>
      <c r="W392" s="227">
        <f t="shared" si="164"/>
        <v>-236.67369989914812</v>
      </c>
      <c r="X392" s="227" t="str">
        <f t="shared" si="153"/>
        <v>0.973816207820146-0.0514516731332407i</v>
      </c>
      <c r="Y392" s="227" t="str">
        <f t="shared" si="154"/>
        <v>0.562416065593731-13.4608552707488i</v>
      </c>
      <c r="Z392" s="227" t="str">
        <f t="shared" si="155"/>
        <v>-0.081472340019081-7.38700117909595i</v>
      </c>
      <c r="AA392" s="227" t="str">
        <f t="shared" si="156"/>
        <v>-1.54792074197908-0.762957341668755i</v>
      </c>
      <c r="AB392" s="227">
        <f t="shared" si="165"/>
        <v>4.7394839501860142</v>
      </c>
      <c r="AC392" s="227">
        <f t="shared" si="166"/>
        <v>-153.76169314739334</v>
      </c>
      <c r="AD392" s="229">
        <f t="shared" si="167"/>
        <v>-16.962786603726954</v>
      </c>
      <c r="AE392" s="229">
        <f t="shared" si="168"/>
        <v>146.53877918630661</v>
      </c>
      <c r="AF392" s="227">
        <f t="shared" si="157"/>
        <v>-12.223302653540941</v>
      </c>
      <c r="AG392" s="227">
        <f t="shared" si="158"/>
        <v>-7.2229139610867321</v>
      </c>
      <c r="AH392" s="229" t="str">
        <f t="shared" si="159"/>
        <v>0.118348204126111-0.0782178264754832i</v>
      </c>
    </row>
    <row r="393" spans="2:34" x14ac:dyDescent="0.2">
      <c r="I393" s="227">
        <v>389</v>
      </c>
      <c r="J393" s="227">
        <f t="shared" si="147"/>
        <v>4.7927976629187423</v>
      </c>
      <c r="K393" s="227">
        <f t="shared" si="146"/>
        <v>62057.983974611983</v>
      </c>
      <c r="L393" s="227">
        <f t="shared" si="160"/>
        <v>389921.81310246821</v>
      </c>
      <c r="M393" s="227">
        <f t="shared" si="148"/>
        <v>54648.547506857765</v>
      </c>
      <c r="N393" s="227">
        <f>SQRT((ABS(AC393)-171.5+'Small Signal'!C$59)^2)</f>
        <v>52.893891825355325</v>
      </c>
      <c r="O393" s="227">
        <f t="shared" si="161"/>
        <v>8.4265540053387156</v>
      </c>
      <c r="P393" s="227">
        <f t="shared" si="162"/>
        <v>12.313553259096683</v>
      </c>
      <c r="Q393" s="227">
        <f t="shared" si="145"/>
        <v>62057.983974611983</v>
      </c>
      <c r="R393" s="227" t="str">
        <f t="shared" si="149"/>
        <v>0.0945666666666667+1.8326325215816i</v>
      </c>
      <c r="S393" s="227" t="str">
        <f t="shared" si="150"/>
        <v>0.0085-0.27283156558222i</v>
      </c>
      <c r="T393" s="227" t="str">
        <f t="shared" si="151"/>
        <v>0.0115948418352478-0.272603208660378i</v>
      </c>
      <c r="U393" s="227" t="str">
        <f t="shared" si="152"/>
        <v>-0.801705875878789+1.24618907119241i</v>
      </c>
      <c r="V393" s="227">
        <f t="shared" si="163"/>
        <v>3.4157686131551439</v>
      </c>
      <c r="W393" s="227">
        <f t="shared" si="164"/>
        <v>-237.24576816974911</v>
      </c>
      <c r="X393" s="227" t="str">
        <f t="shared" si="153"/>
        <v>0.972613736000048-0.0526198522706473i</v>
      </c>
      <c r="Y393" s="227" t="str">
        <f t="shared" si="154"/>
        <v>0.537374857968581-13.1593235547262i</v>
      </c>
      <c r="Z393" s="227" t="str">
        <f t="shared" si="155"/>
        <v>-0.0954676684470951-7.21262312901766i</v>
      </c>
      <c r="AA393" s="227" t="str">
        <f t="shared" si="156"/>
        <v>-1.55046650694688-0.743062326659033i</v>
      </c>
      <c r="AB393" s="227">
        <f t="shared" si="165"/>
        <v>4.707173599967617</v>
      </c>
      <c r="AC393" s="227">
        <f t="shared" si="166"/>
        <v>-154.39389182535533</v>
      </c>
      <c r="AD393" s="229">
        <f t="shared" si="167"/>
        <v>-17.0207268590643</v>
      </c>
      <c r="AE393" s="229">
        <f t="shared" si="168"/>
        <v>145.96733782001661</v>
      </c>
      <c r="AF393" s="227">
        <f t="shared" si="157"/>
        <v>-12.313553259096683</v>
      </c>
      <c r="AG393" s="227">
        <f t="shared" si="158"/>
        <v>-8.4265540053387156</v>
      </c>
      <c r="AH393" s="229" t="str">
        <f t="shared" si="159"/>
        <v>0.116780619937554-0.0788664201123643i</v>
      </c>
    </row>
    <row r="394" spans="2:34" x14ac:dyDescent="0.2">
      <c r="I394" s="227">
        <v>390</v>
      </c>
      <c r="J394" s="227">
        <f t="shared" si="147"/>
        <v>4.8025477854455261</v>
      </c>
      <c r="K394" s="227">
        <f t="shared" si="146"/>
        <v>63466.972988456575</v>
      </c>
      <c r="L394" s="227">
        <f t="shared" si="160"/>
        <v>398774.752172234</v>
      </c>
      <c r="M394" s="227">
        <f t="shared" si="148"/>
        <v>56089.526764567629</v>
      </c>
      <c r="N394" s="227">
        <f>SQRT((ABS(AC394)-171.5+'Small Signal'!C$59)^2)</f>
        <v>53.520661067116663</v>
      </c>
      <c r="O394" s="227">
        <f t="shared" si="161"/>
        <v>9.630382991403593</v>
      </c>
      <c r="P394" s="227">
        <f t="shared" si="162"/>
        <v>12.403755699733445</v>
      </c>
      <c r="Q394" s="227">
        <f t="shared" si="145"/>
        <v>63466.972988456575</v>
      </c>
      <c r="R394" s="227" t="str">
        <f t="shared" si="149"/>
        <v>0.0945666666666667+1.8742413352095i</v>
      </c>
      <c r="S394" s="227" t="str">
        <f t="shared" si="150"/>
        <v>0.0085-0.266774609334988i</v>
      </c>
      <c r="T394" s="227" t="str">
        <f t="shared" si="151"/>
        <v>0.0114588386594176-0.266552833239599i</v>
      </c>
      <c r="U394" s="227" t="str">
        <f t="shared" si="152"/>
        <v>-0.768174972429859+1.22022878121711i</v>
      </c>
      <c r="V394" s="227">
        <f t="shared" si="163"/>
        <v>3.1786515683873606</v>
      </c>
      <c r="W394" s="227">
        <f t="shared" si="164"/>
        <v>-237.80820785381945</v>
      </c>
      <c r="X394" s="227" t="str">
        <f t="shared" si="153"/>
        <v>0.971356041526631-0.0538145542092375i</v>
      </c>
      <c r="Y394" s="227" t="str">
        <f t="shared" si="154"/>
        <v>0.513463121674906-12.8646612918829i</v>
      </c>
      <c r="Z394" s="227" t="str">
        <f t="shared" si="155"/>
        <v>-0.108831637845354-7.04201449292339i</v>
      </c>
      <c r="AA394" s="227" t="str">
        <f t="shared" si="156"/>
        <v>-1.5530535445319-0.723519063183386i</v>
      </c>
      <c r="AB394" s="227">
        <f t="shared" si="165"/>
        <v>4.6767544885232928</v>
      </c>
      <c r="AC394" s="227">
        <f t="shared" si="166"/>
        <v>-155.02066106711666</v>
      </c>
      <c r="AD394" s="229">
        <f t="shared" si="167"/>
        <v>-17.080510188256739</v>
      </c>
      <c r="AE394" s="229">
        <f t="shared" si="168"/>
        <v>145.39027807571307</v>
      </c>
      <c r="AF394" s="227">
        <f t="shared" si="157"/>
        <v>-12.403755699733445</v>
      </c>
      <c r="AG394" s="227">
        <f t="shared" si="158"/>
        <v>-9.630382991403593</v>
      </c>
      <c r="AH394" s="229" t="str">
        <f t="shared" si="159"/>
        <v>0.115184869842949-0.0794895683283642i</v>
      </c>
    </row>
    <row r="395" spans="2:34" x14ac:dyDescent="0.2">
      <c r="I395" s="227">
        <v>391</v>
      </c>
      <c r="J395" s="227">
        <f t="shared" si="147"/>
        <v>4.8122979079723098</v>
      </c>
      <c r="K395" s="227">
        <f t="shared" si="146"/>
        <v>64907.952246166438</v>
      </c>
      <c r="L395" s="227">
        <f t="shared" si="160"/>
        <v>407828.69187222718</v>
      </c>
      <c r="M395" s="227">
        <f t="shared" si="148"/>
        <v>57563.222585292402</v>
      </c>
      <c r="N395" s="227">
        <f>SQRT((ABS(AC395)-171.5+'Small Signal'!C$59)^2)</f>
        <v>54.142009070811383</v>
      </c>
      <c r="O395" s="227">
        <f t="shared" si="161"/>
        <v>10.834191841454356</v>
      </c>
      <c r="P395" s="227">
        <f t="shared" si="162"/>
        <v>12.493959119520321</v>
      </c>
      <c r="Q395" s="227">
        <f t="shared" si="145"/>
        <v>64907.952246166438</v>
      </c>
      <c r="R395" s="227" t="str">
        <f t="shared" si="149"/>
        <v>0.0945666666666667+1.91679485179947i</v>
      </c>
      <c r="S395" s="227" t="str">
        <f t="shared" si="150"/>
        <v>0.0085-0.260852119636384i</v>
      </c>
      <c r="T395" s="227" t="str">
        <f t="shared" si="151"/>
        <v>0.0113288056478021-0.260636679855345i</v>
      </c>
      <c r="U395" s="227" t="str">
        <f t="shared" si="152"/>
        <v>-0.736126660870838+1.194732132322i</v>
      </c>
      <c r="V395" s="227">
        <f t="shared" si="163"/>
        <v>2.9430467579413779</v>
      </c>
      <c r="W395" s="227">
        <f t="shared" si="164"/>
        <v>-238.36096303594786</v>
      </c>
      <c r="X395" s="227" t="str">
        <f t="shared" si="153"/>
        <v>0.970040588339267-0.0550363811331798i</v>
      </c>
      <c r="Y395" s="227" t="str">
        <f t="shared" si="154"/>
        <v>0.490628666869438-12.5767045861932i</v>
      </c>
      <c r="Z395" s="227" t="str">
        <f t="shared" si="155"/>
        <v>-0.121593430665971-6.87508057221057i</v>
      </c>
      <c r="AA395" s="227" t="str">
        <f t="shared" si="156"/>
        <v>-1.55568742264254-0.704316237047956i</v>
      </c>
      <c r="AB395" s="227">
        <f t="shared" si="165"/>
        <v>4.6482098684326463</v>
      </c>
      <c r="AC395" s="227">
        <f t="shared" si="166"/>
        <v>-155.64200907081138</v>
      </c>
      <c r="AD395" s="229">
        <f t="shared" si="167"/>
        <v>-17.142168987952967</v>
      </c>
      <c r="AE395" s="229">
        <f t="shared" si="168"/>
        <v>144.80781722935703</v>
      </c>
      <c r="AF395" s="227">
        <f t="shared" si="157"/>
        <v>-12.493959119520321</v>
      </c>
      <c r="AG395" s="227">
        <f t="shared" si="158"/>
        <v>-10.834191841454356</v>
      </c>
      <c r="AH395" s="229" t="str">
        <f t="shared" si="159"/>
        <v>0.113561839046311-0.0800858633105654i</v>
      </c>
    </row>
    <row r="396" spans="2:34" x14ac:dyDescent="0.2">
      <c r="B396" s="220"/>
      <c r="I396" s="227">
        <v>392</v>
      </c>
      <c r="J396" s="227">
        <f t="shared" si="147"/>
        <v>4.8220480304990927</v>
      </c>
      <c r="K396" s="227">
        <f t="shared" si="146"/>
        <v>66381.648066891212</v>
      </c>
      <c r="L396" s="227">
        <f t="shared" si="160"/>
        <v>417088.19580025703</v>
      </c>
      <c r="M396" s="227">
        <f t="shared" si="148"/>
        <v>59070.377778819107</v>
      </c>
      <c r="N396" s="227">
        <f>SQRT((ABS(AC396)-171.5+'Small Signal'!C$59)^2)</f>
        <v>54.757957640869904</v>
      </c>
      <c r="O396" s="227">
        <f t="shared" si="161"/>
        <v>12.037774723577854</v>
      </c>
      <c r="P396" s="227">
        <f t="shared" si="162"/>
        <v>12.584210487966203</v>
      </c>
      <c r="Q396" s="227">
        <f t="shared" si="145"/>
        <v>66381.648066891212</v>
      </c>
      <c r="R396" s="227" t="str">
        <f t="shared" si="149"/>
        <v>0.0945666666666667+1.96031452026121i</v>
      </c>
      <c r="S396" s="227" t="str">
        <f t="shared" si="150"/>
        <v>0.0085-0.255061111281967i</v>
      </c>
      <c r="T396" s="227" t="str">
        <f t="shared" si="151"/>
        <v>0.0112044807871947-0.2548517751399i</v>
      </c>
      <c r="U396" s="227" t="str">
        <f t="shared" si="152"/>
        <v>-0.705494961111063+1.16969634194938i</v>
      </c>
      <c r="V396" s="227">
        <f t="shared" si="163"/>
        <v>2.7089131426100694</v>
      </c>
      <c r="W396" s="227">
        <f t="shared" si="164"/>
        <v>-238.90398607588992</v>
      </c>
      <c r="X396" s="227" t="str">
        <f t="shared" si="153"/>
        <v>0.968664723910566-0.0562859488988702i</v>
      </c>
      <c r="Y396" s="227" t="str">
        <f t="shared" si="154"/>
        <v>0.468821821288071-12.2952939188486i</v>
      </c>
      <c r="Z396" s="227" t="str">
        <f t="shared" si="155"/>
        <v>-0.133780820878776-6.71172908527308i</v>
      </c>
      <c r="AA396" s="227" t="str">
        <f t="shared" si="156"/>
        <v>-1.55837383763662-0.685442573104488i</v>
      </c>
      <c r="AB396" s="227">
        <f t="shared" si="165"/>
        <v>4.6215240815232441</v>
      </c>
      <c r="AC396" s="227">
        <f t="shared" si="166"/>
        <v>-156.2579576408699</v>
      </c>
      <c r="AD396" s="229">
        <f t="shared" si="167"/>
        <v>-17.205734569489447</v>
      </c>
      <c r="AE396" s="229">
        <f t="shared" si="168"/>
        <v>144.22018291729205</v>
      </c>
      <c r="AF396" s="227">
        <f t="shared" si="157"/>
        <v>-12.584210487966203</v>
      </c>
      <c r="AG396" s="227">
        <f t="shared" si="158"/>
        <v>-12.037774723577854</v>
      </c>
      <c r="AH396" s="229" t="str">
        <f t="shared" si="159"/>
        <v>0.111912499165197-0.0806539272077628i</v>
      </c>
    </row>
    <row r="397" spans="2:34" x14ac:dyDescent="0.2">
      <c r="B397" s="220"/>
      <c r="I397" s="227">
        <v>393</v>
      </c>
      <c r="J397" s="227">
        <f t="shared" si="147"/>
        <v>4.8317981530258756</v>
      </c>
      <c r="K397" s="227">
        <f t="shared" si="146"/>
        <v>67888.803260417917</v>
      </c>
      <c r="L397" s="227">
        <f t="shared" si="160"/>
        <v>426557.93116786343</v>
      </c>
      <c r="M397" s="227">
        <f t="shared" si="148"/>
        <v>60611.752019982319</v>
      </c>
      <c r="N397" s="227">
        <f>SQRT((ABS(AC397)-171.5+'Small Signal'!C$59)^2)</f>
        <v>55.368542200929568</v>
      </c>
      <c r="O397" s="227">
        <f t="shared" si="161"/>
        <v>13.24092931149363</v>
      </c>
      <c r="P397" s="227">
        <f t="shared" si="162"/>
        <v>12.674554376850718</v>
      </c>
      <c r="Q397" s="227">
        <f t="shared" si="145"/>
        <v>67888.803260417917</v>
      </c>
      <c r="R397" s="227" t="str">
        <f t="shared" si="149"/>
        <v>0.0945666666666667+2.00482227648896i</v>
      </c>
      <c r="S397" s="227" t="str">
        <f t="shared" si="150"/>
        <v>0.0085-0.249398665339877i</v>
      </c>
      <c r="T397" s="227" t="str">
        <f t="shared" si="151"/>
        <v>0.011085613558191-0.249195211318123i</v>
      </c>
      <c r="U397" s="227" t="str">
        <f t="shared" si="152"/>
        <v>-0.676216865412165+1.14511818184851i</v>
      </c>
      <c r="V397" s="227">
        <f t="shared" si="163"/>
        <v>2.4762100136514902</v>
      </c>
      <c r="W397" s="227">
        <f t="shared" si="164"/>
        <v>-239.43723738869733</v>
      </c>
      <c r="X397" s="227" t="str">
        <f t="shared" si="153"/>
        <v>0.96722567389773-0.0575638873453521i</v>
      </c>
      <c r="Y397" s="227" t="str">
        <f t="shared" si="154"/>
        <v>0.447995299915234-12.0202740033575i</v>
      </c>
      <c r="Z397" s="227" t="str">
        <f t="shared" si="155"/>
        <v>-0.14542024694675-6.55187008445319i</v>
      </c>
      <c r="AA397" s="227" t="str">
        <f t="shared" si="156"/>
        <v>-1.5611186289032-0.666886819476033i</v>
      </c>
      <c r="AB397" s="227">
        <f t="shared" si="165"/>
        <v>4.5966826818105568</v>
      </c>
      <c r="AC397" s="227">
        <f t="shared" si="166"/>
        <v>-156.86854220092957</v>
      </c>
      <c r="AD397" s="229">
        <f t="shared" si="167"/>
        <v>-17.271237058661274</v>
      </c>
      <c r="AE397" s="229">
        <f t="shared" si="168"/>
        <v>143.62761288943594</v>
      </c>
      <c r="AF397" s="227">
        <f t="shared" si="157"/>
        <v>-12.674554376850718</v>
      </c>
      <c r="AG397" s="227">
        <f t="shared" si="158"/>
        <v>-13.24092931149363</v>
      </c>
      <c r="AH397" s="229" t="str">
        <f t="shared" si="159"/>
        <v>0.110237907420762-0.081192418444216i</v>
      </c>
    </row>
    <row r="398" spans="2:34" x14ac:dyDescent="0.2">
      <c r="B398" s="220"/>
      <c r="I398" s="227">
        <v>394</v>
      </c>
      <c r="J398" s="227">
        <f t="shared" si="147"/>
        <v>4.8415482755526593</v>
      </c>
      <c r="K398" s="227">
        <f t="shared" si="146"/>
        <v>69430.177501581129</v>
      </c>
      <c r="L398" s="227">
        <f t="shared" si="160"/>
        <v>436242.67115280521</v>
      </c>
      <c r="M398" s="227">
        <f t="shared" si="148"/>
        <v>62188.122231573929</v>
      </c>
      <c r="N398" s="227">
        <f>SQRT((ABS(AC398)-171.5+'Small Signal'!C$59)^2)</f>
        <v>55.97381180829845</v>
      </c>
      <c r="O398" s="227">
        <f t="shared" si="161"/>
        <v>14.443457094735805</v>
      </c>
      <c r="P398" s="227">
        <f t="shared" si="162"/>
        <v>12.765032739545056</v>
      </c>
      <c r="Q398" s="227">
        <f t="shared" si="145"/>
        <v>69430.177501581129</v>
      </c>
      <c r="R398" s="227" t="str">
        <f t="shared" si="149"/>
        <v>0.0945666666666667+2.05034055441818i</v>
      </c>
      <c r="S398" s="227" t="str">
        <f t="shared" si="150"/>
        <v>0.0085-0.243861927679562i</v>
      </c>
      <c r="T398" s="227" t="str">
        <f t="shared" si="151"/>
        <v>0.010971964431433-0.243664144778425i</v>
      </c>
      <c r="U398" s="227" t="str">
        <f t="shared" si="152"/>
        <v>-0.648232201476022+1.12099402298709i</v>
      </c>
      <c r="V398" s="227">
        <f t="shared" si="163"/>
        <v>2.244897052156396</v>
      </c>
      <c r="W398" s="227">
        <f t="shared" si="164"/>
        <v>-239.96068520306622</v>
      </c>
      <c r="X398" s="227" t="str">
        <f t="shared" si="153"/>
        <v>0.965720536548259-0.0588708406117839i</v>
      </c>
      <c r="Y398" s="227" t="str">
        <f t="shared" si="154"/>
        <v>0.428104082122833-11.7514936469235i</v>
      </c>
      <c r="Z398" s="227" t="str">
        <f t="shared" si="155"/>
        <v>-0.156536880614408-6.39541587651914i</v>
      </c>
      <c r="AA398" s="227" t="str">
        <f t="shared" si="156"/>
        <v>-1.56392779402543-0.648637730779227i</v>
      </c>
      <c r="AB398" s="227">
        <f t="shared" si="165"/>
        <v>4.5736725571986554</v>
      </c>
      <c r="AC398" s="227">
        <f t="shared" si="166"/>
        <v>-157.47381180829845</v>
      </c>
      <c r="AD398" s="229">
        <f t="shared" si="167"/>
        <v>-17.338705296743711</v>
      </c>
      <c r="AE398" s="229">
        <f t="shared" si="168"/>
        <v>143.03035471356264</v>
      </c>
      <c r="AF398" s="227">
        <f t="shared" si="157"/>
        <v>-12.765032739545056</v>
      </c>
      <c r="AG398" s="227">
        <f t="shared" si="158"/>
        <v>-14.443457094735805</v>
      </c>
      <c r="AH398" s="229" t="str">
        <f t="shared" si="159"/>
        <v>0.108539205291913-0.0817000380701147i</v>
      </c>
    </row>
    <row r="399" spans="2:34" x14ac:dyDescent="0.2">
      <c r="B399" s="220"/>
      <c r="I399" s="227">
        <v>395</v>
      </c>
      <c r="J399" s="227">
        <f t="shared" si="147"/>
        <v>4.8512983980794431</v>
      </c>
      <c r="K399" s="227">
        <f t="shared" si="146"/>
        <v>71006.547713172738</v>
      </c>
      <c r="L399" s="227">
        <f t="shared" si="160"/>
        <v>446147.29730495322</v>
      </c>
      <c r="M399" s="227">
        <f t="shared" si="148"/>
        <v>63800.282975948445</v>
      </c>
      <c r="N399" s="227">
        <f>SQRT((ABS(AC399)-171.5+'Small Signal'!C$59)^2)</f>
        <v>56.5738291744413</v>
      </c>
      <c r="O399" s="227">
        <f t="shared" si="161"/>
        <v>15.645163743855647</v>
      </c>
      <c r="P399" s="227">
        <f t="shared" si="162"/>
        <v>12.855684693328415</v>
      </c>
      <c r="Q399" s="227">
        <f t="shared" si="145"/>
        <v>71006.547713172738</v>
      </c>
      <c r="R399" s="227" t="str">
        <f t="shared" si="149"/>
        <v>0.0945666666666667+2.09689229733328i</v>
      </c>
      <c r="S399" s="227" t="str">
        <f t="shared" si="150"/>
        <v>0.0085-0.238448107533169i</v>
      </c>
      <c r="T399" s="227" t="str">
        <f t="shared" si="151"/>
        <v>0.0108633043858949-0.238255794673707i</v>
      </c>
      <c r="U399" s="227" t="str">
        <f t="shared" si="152"/>
        <v>-0.621483502085531+1.09731987697314i</v>
      </c>
      <c r="V399" s="227">
        <f t="shared" si="163"/>
        <v>2.0149343845280585</v>
      </c>
      <c r="W399" s="227">
        <f t="shared" si="164"/>
        <v>-240.47430530059614</v>
      </c>
      <c r="X399" s="227" t="str">
        <f t="shared" si="153"/>
        <v>0.96414627684876-0.0602074674621136i</v>
      </c>
      <c r="Y399" s="227" t="str">
        <f t="shared" si="154"/>
        <v>0.40910529579514-11.4888056177704i</v>
      </c>
      <c r="Z399" s="227" t="str">
        <f t="shared" si="155"/>
        <v>-0.167154691780569-6.24228094647976i</v>
      </c>
      <c r="AA399" s="227" t="str">
        <f t="shared" si="156"/>
        <v>-1.56680750458034-0.63068405023509i</v>
      </c>
      <c r="AB399" s="227">
        <f t="shared" si="165"/>
        <v>4.5524820500686953</v>
      </c>
      <c r="AC399" s="227">
        <f t="shared" si="166"/>
        <v>-158.0738291744413</v>
      </c>
      <c r="AD399" s="229">
        <f t="shared" si="167"/>
        <v>-17.408166743397111</v>
      </c>
      <c r="AE399" s="229">
        <f t="shared" si="168"/>
        <v>142.42866543058565</v>
      </c>
      <c r="AF399" s="227">
        <f t="shared" si="157"/>
        <v>-12.855684693328415</v>
      </c>
      <c r="AG399" s="227">
        <f t="shared" si="158"/>
        <v>-15.645163743855647</v>
      </c>
      <c r="AH399" s="229" t="str">
        <f t="shared" si="159"/>
        <v>0.106817616620643-0.0821755360975166i</v>
      </c>
    </row>
    <row r="400" spans="2:34" x14ac:dyDescent="0.2">
      <c r="B400" s="220"/>
      <c r="I400" s="227">
        <v>396</v>
      </c>
      <c r="J400" s="227">
        <f t="shared" si="147"/>
        <v>4.8610485206062268</v>
      </c>
      <c r="K400" s="227">
        <f t="shared" si="146"/>
        <v>72618.708457547255</v>
      </c>
      <c r="L400" s="227">
        <f t="shared" si="160"/>
        <v>456276.80200681888</v>
      </c>
      <c r="M400" s="227">
        <f t="shared" si="148"/>
        <v>65449.046855518216</v>
      </c>
      <c r="N400" s="227">
        <f>SQRT((ABS(AC400)-171.5+'Small Signal'!C$59)^2)</f>
        <v>57.168670696073434</v>
      </c>
      <c r="O400" s="227">
        <f t="shared" si="161"/>
        <v>16.845859534905003</v>
      </c>
      <c r="P400" s="227">
        <f t="shared" si="162"/>
        <v>12.946546305173094</v>
      </c>
      <c r="Q400" s="227">
        <f t="shared" si="145"/>
        <v>72618.708457547255</v>
      </c>
      <c r="R400" s="227" t="str">
        <f t="shared" si="149"/>
        <v>0.0945666666666667+2.14450096943205i</v>
      </c>
      <c r="S400" s="227" t="str">
        <f t="shared" si="150"/>
        <v>0.0085-0.233154476088868i</v>
      </c>
      <c r="T400" s="227" t="str">
        <f t="shared" si="151"/>
        <v>0.0107594144482476-0.232967441551706i</v>
      </c>
      <c r="U400" s="227" t="str">
        <f t="shared" si="152"/>
        <v>-0.595915880964994+1.07409143425008i</v>
      </c>
      <c r="V400" s="227">
        <f t="shared" si="163"/>
        <v>1.786282634036501</v>
      </c>
      <c r="W400" s="227">
        <f t="shared" si="164"/>
        <v>-240.97808073857976</v>
      </c>
      <c r="X400" s="227" t="str">
        <f t="shared" si="153"/>
        <v>0.962499720405033-0.0615744416171269i</v>
      </c>
      <c r="Y400" s="227" t="str">
        <f t="shared" si="154"/>
        <v>0.390958107990435-11.2320665180991i</v>
      </c>
      <c r="Z400" s="227" t="str">
        <f t="shared" si="155"/>
        <v>-0.177296509707601-6.09238188455703i</v>
      </c>
      <c r="AA400" s="227" t="str">
        <f t="shared" si="156"/>
        <v>-1.56976412263469-0.613014490547915i</v>
      </c>
      <c r="AB400" s="227">
        <f t="shared" si="165"/>
        <v>4.5331010769274025</v>
      </c>
      <c r="AC400" s="227">
        <f t="shared" si="166"/>
        <v>-158.66867069607343</v>
      </c>
      <c r="AD400" s="229">
        <f t="shared" si="167"/>
        <v>-17.479647382100495</v>
      </c>
      <c r="AE400" s="229">
        <f t="shared" si="168"/>
        <v>141.82281116116843</v>
      </c>
      <c r="AF400" s="227">
        <f t="shared" si="157"/>
        <v>-12.946546305173094</v>
      </c>
      <c r="AG400" s="227">
        <f t="shared" si="158"/>
        <v>-16.845859534905003</v>
      </c>
      <c r="AH400" s="229" t="str">
        <f t="shared" si="159"/>
        <v>0.105074445161097-0.0826177177681i</v>
      </c>
    </row>
    <row r="401" spans="2:34" x14ac:dyDescent="0.2">
      <c r="B401" s="220"/>
      <c r="I401" s="227">
        <v>397</v>
      </c>
      <c r="J401" s="227">
        <f t="shared" si="147"/>
        <v>4.8707986431330106</v>
      </c>
      <c r="K401" s="227">
        <f t="shared" si="146"/>
        <v>74267.472337117026</v>
      </c>
      <c r="L401" s="227">
        <f t="shared" si="160"/>
        <v>466636.29098994005</v>
      </c>
      <c r="M401" s="227">
        <f t="shared" si="148"/>
        <v>67135.244922342405</v>
      </c>
      <c r="N401" s="227">
        <f>SQRT((ABS(AC401)-171.5+'Small Signal'!C$59)^2)</f>
        <v>57.758426501577617</v>
      </c>
      <c r="O401" s="227">
        <f t="shared" si="161"/>
        <v>18.045359837177813</v>
      </c>
      <c r="P401" s="227">
        <f t="shared" si="162"/>
        <v>13.037650381430179</v>
      </c>
      <c r="Q401" s="227">
        <f t="shared" si="145"/>
        <v>74267.472337117026</v>
      </c>
      <c r="R401" s="227" t="str">
        <f t="shared" si="149"/>
        <v>0.0945666666666667+2.19319056765272i</v>
      </c>
      <c r="S401" s="227" t="str">
        <f t="shared" si="150"/>
        <v>0.0085-0.227978365115408i</v>
      </c>
      <c r="T401" s="227" t="str">
        <f t="shared" si="151"/>
        <v>0.0106600852523836-0.227796426014202i</v>
      </c>
      <c r="U401" s="227" t="str">
        <f t="shared" si="152"/>
        <v>-0.571476914545538+1.0513040993073i</v>
      </c>
      <c r="V401" s="227">
        <f t="shared" si="163"/>
        <v>1.5589029684408351</v>
      </c>
      <c r="W401" s="227">
        <f t="shared" si="164"/>
        <v>-241.47200155883382</v>
      </c>
      <c r="X401" s="227" t="str">
        <f t="shared" si="153"/>
        <v>0.960777547041106-0.0629724520940324i</v>
      </c>
      <c r="Y401" s="227" t="str">
        <f t="shared" si="154"/>
        <v>0.373623621723695-10.9811366623794i</v>
      </c>
      <c r="Z401" s="227" t="str">
        <f t="shared" si="155"/>
        <v>-0.186984080800327-5.94563731614778i</v>
      </c>
      <c r="AA401" s="227" t="str">
        <f t="shared" si="156"/>
        <v>-1.5728042179999-0.595617713417873i</v>
      </c>
      <c r="AB401" s="227">
        <f t="shared" si="165"/>
        <v>4.5155212473336084</v>
      </c>
      <c r="AC401" s="227">
        <f t="shared" si="166"/>
        <v>-159.25842650157762</v>
      </c>
      <c r="AD401" s="229">
        <f t="shared" si="167"/>
        <v>-17.553171628763788</v>
      </c>
      <c r="AE401" s="229">
        <f t="shared" si="168"/>
        <v>141.2130666643998</v>
      </c>
      <c r="AF401" s="227">
        <f t="shared" si="157"/>
        <v>-13.037650381430179</v>
      </c>
      <c r="AG401" s="227">
        <f t="shared" si="158"/>
        <v>-18.045359837177813</v>
      </c>
      <c r="AH401" s="229" t="str">
        <f t="shared" si="159"/>
        <v>0.103311071570784-0.0830254496973436i</v>
      </c>
    </row>
    <row r="402" spans="2:34" x14ac:dyDescent="0.2">
      <c r="B402" s="220"/>
      <c r="I402" s="227">
        <v>398</v>
      </c>
      <c r="J402" s="227">
        <f t="shared" si="147"/>
        <v>4.8805487656597935</v>
      </c>
      <c r="K402" s="227">
        <f t="shared" si="146"/>
        <v>75953.670403941214</v>
      </c>
      <c r="L402" s="227">
        <f t="shared" si="160"/>
        <v>477230.9859084044</v>
      </c>
      <c r="M402" s="227">
        <f t="shared" si="148"/>
        <v>68859.727097014707</v>
      </c>
      <c r="N402" s="227">
        <f>SQRT((ABS(AC402)-171.5+'Small Signal'!C$59)^2)</f>
        <v>58.343200517594113</v>
      </c>
      <c r="O402" s="227">
        <f t="shared" si="161"/>
        <v>19.243485667888848</v>
      </c>
      <c r="P402" s="227">
        <f t="shared" si="162"/>
        <v>13.129026261807368</v>
      </c>
      <c r="Q402" s="227">
        <f t="shared" si="145"/>
        <v>75953.670403941214</v>
      </c>
      <c r="R402" s="227" t="str">
        <f t="shared" si="149"/>
        <v>0.0945666666666667+2.2429856337695i</v>
      </c>
      <c r="S402" s="227" t="str">
        <f t="shared" si="150"/>
        <v>0.0085-0.222917165617202i</v>
      </c>
      <c r="T402" s="227" t="str">
        <f t="shared" si="151"/>
        <v>0.0105651166182218-0.22274014740454i</v>
      </c>
      <c r="U402" s="227" t="str">
        <f t="shared" si="152"/>
        <v>-0.548116529338112+1.02895302313001i</v>
      </c>
      <c r="V402" s="227">
        <f t="shared" si="163"/>
        <v>1.3327571437028527</v>
      </c>
      <c r="W402" s="227">
        <f t="shared" si="164"/>
        <v>-241.95606448498103</v>
      </c>
      <c r="X402" s="227" t="str">
        <f t="shared" si="153"/>
        <v>0.958976284104316-0.0644022035537582i</v>
      </c>
      <c r="Y402" s="227" t="str">
        <f t="shared" si="154"/>
        <v>0.357064778484088-10.7358799607013i</v>
      </c>
      <c r="Z402" s="227" t="str">
        <f t="shared" si="155"/>
        <v>-0.196238123171424-5.80196783461767i</v>
      </c>
      <c r="AA402" s="227" t="str">
        <f t="shared" si="156"/>
        <v>-1.57593458631235-0.57848230753706i</v>
      </c>
      <c r="AB402" s="227">
        <f t="shared" si="165"/>
        <v>4.4997359823606189</v>
      </c>
      <c r="AC402" s="227">
        <f t="shared" si="166"/>
        <v>-159.84320051759411</v>
      </c>
      <c r="AD402" s="229">
        <f t="shared" si="167"/>
        <v>-17.628762244167987</v>
      </c>
      <c r="AE402" s="229">
        <f t="shared" si="168"/>
        <v>140.59971484970526</v>
      </c>
      <c r="AF402" s="227">
        <f t="shared" si="157"/>
        <v>-13.129026261807368</v>
      </c>
      <c r="AG402" s="227">
        <f t="shared" si="158"/>
        <v>-19.243485667888848</v>
      </c>
      <c r="AH402" s="229" t="str">
        <f t="shared" si="159"/>
        <v>0.101528949848531-0.0833976658386908i</v>
      </c>
    </row>
    <row r="403" spans="2:34" x14ac:dyDescent="0.2">
      <c r="B403" s="220"/>
      <c r="I403" s="227">
        <v>399</v>
      </c>
      <c r="J403" s="227">
        <f t="shared" si="147"/>
        <v>4.8902988881865763</v>
      </c>
      <c r="K403" s="227">
        <f t="shared" si="146"/>
        <v>77678.152578613517</v>
      </c>
      <c r="L403" s="227">
        <f t="shared" si="160"/>
        <v>488066.22697079857</v>
      </c>
      <c r="M403" s="227">
        <f t="shared" si="148"/>
        <v>70623.362597062165</v>
      </c>
      <c r="N403" s="227">
        <f>SQRT((ABS(AC403)-171.5+'Small Signal'!C$59)^2)</f>
        <v>58.923110560790604</v>
      </c>
      <c r="O403" s="227">
        <f t="shared" si="161"/>
        <v>20.440064317191656</v>
      </c>
      <c r="P403" s="227">
        <f t="shared" si="162"/>
        <v>13.220699617976367</v>
      </c>
      <c r="Q403" s="227">
        <f t="shared" si="145"/>
        <v>77678.152578613517</v>
      </c>
      <c r="R403" s="227" t="str">
        <f t="shared" si="149"/>
        <v>0.0945666666666667+2.29391126676275i</v>
      </c>
      <c r="S403" s="227" t="str">
        <f t="shared" si="150"/>
        <v>0.0085-0.21796832651928i</v>
      </c>
      <c r="T403" s="227" t="str">
        <f t="shared" si="151"/>
        <v>0.0104743171489521-0.217796062522954i</v>
      </c>
      <c r="U403" s="227" t="str">
        <f t="shared" si="152"/>
        <v>-0.525786894632851+1.00703313309466i</v>
      </c>
      <c r="V403" s="227">
        <f t="shared" si="163"/>
        <v>1.1078075438390298</v>
      </c>
      <c r="W403" s="227">
        <f t="shared" si="164"/>
        <v>-242.43027261046325</v>
      </c>
      <c r="X403" s="227" t="str">
        <f t="shared" si="153"/>
        <v>0.957092299462924-0.0658644166561326i</v>
      </c>
      <c r="Y403" s="227" t="str">
        <f t="shared" si="154"/>
        <v>0.341246266128564-10.4961638069202i</v>
      </c>
      <c r="Z403" s="227" t="str">
        <f t="shared" si="155"/>
        <v>-0.205078378194457-5.66129593677651i</v>
      </c>
      <c r="AA403" s="227" t="str">
        <f t="shared" si="156"/>
        <v>-1.5791622680099-0.561596764901117i</v>
      </c>
      <c r="AB403" s="227">
        <f t="shared" si="165"/>
        <v>4.4857406328959879</v>
      </c>
      <c r="AC403" s="227">
        <f t="shared" si="166"/>
        <v>-160.4231105607906</v>
      </c>
      <c r="AD403" s="229">
        <f t="shared" si="167"/>
        <v>-17.706440250872355</v>
      </c>
      <c r="AE403" s="229">
        <f t="shared" si="168"/>
        <v>139.98304624359895</v>
      </c>
      <c r="AF403" s="227">
        <f t="shared" si="157"/>
        <v>-13.220699617976367</v>
      </c>
      <c r="AG403" s="227">
        <f t="shared" si="158"/>
        <v>-20.440064317191656</v>
      </c>
      <c r="AH403" s="229" t="str">
        <f t="shared" si="159"/>
        <v>0.0997296032302041-0.0837333732109971i</v>
      </c>
    </row>
    <row r="404" spans="2:34" x14ac:dyDescent="0.2">
      <c r="B404" s="220"/>
      <c r="I404" s="227">
        <v>400</v>
      </c>
      <c r="J404" s="227">
        <f t="shared" si="147"/>
        <v>4.9000490107133601</v>
      </c>
      <c r="K404" s="227">
        <f t="shared" si="146"/>
        <v>79441.788078660975</v>
      </c>
      <c r="L404" s="227">
        <f t="shared" si="160"/>
        <v>499147.47563191707</v>
      </c>
      <c r="M404" s="227">
        <f t="shared" si="148"/>
        <v>72427.040375070472</v>
      </c>
      <c r="N404" s="227">
        <f>SQRT((ABS(AC404)-171.5+'Small Signal'!C$59)^2)</f>
        <v>59.498288459992324</v>
      </c>
      <c r="O404" s="227">
        <f t="shared" si="161"/>
        <v>21.634930046671883</v>
      </c>
      <c r="P404" s="227">
        <f t="shared" si="162"/>
        <v>13.312692257096506</v>
      </c>
      <c r="Q404" s="227">
        <f t="shared" si="145"/>
        <v>79441.788078660975</v>
      </c>
      <c r="R404" s="227" t="str">
        <f t="shared" si="149"/>
        <v>0.0945666666666667+2.34599313547001i</v>
      </c>
      <c r="S404" s="227" t="str">
        <f t="shared" si="150"/>
        <v>0.0085-0.213129353381431i</v>
      </c>
      <c r="T404" s="227" t="str">
        <f t="shared" si="151"/>
        <v>0.0103875038459135-0.212961684369136i</v>
      </c>
      <c r="U404" s="227" t="str">
        <f t="shared" si="152"/>
        <v>-0.504442320258867+0.98553916050061i</v>
      </c>
      <c r="V404" s="227">
        <f t="shared" si="163"/>
        <v>0.88401721698244073</v>
      </c>
      <c r="W404" s="227">
        <f t="shared" si="164"/>
        <v>-242.89463507944058</v>
      </c>
      <c r="X404" s="227" t="str">
        <f t="shared" si="153"/>
        <v>0.955121794182152-0.06735982842313i</v>
      </c>
      <c r="Y404" s="227" t="str">
        <f t="shared" si="154"/>
        <v>0.326134431818449-10.2618589713513i</v>
      </c>
      <c r="Z404" s="227" t="str">
        <f t="shared" si="155"/>
        <v>-0.213523659231492-5.52354596089541i</v>
      </c>
      <c r="AA404" s="227" t="str">
        <f t="shared" si="156"/>
        <v>-1.58249456827886-0.544949455248263i</v>
      </c>
      <c r="AB404" s="227">
        <f t="shared" si="165"/>
        <v>4.4735325981151544</v>
      </c>
      <c r="AC404" s="227">
        <f t="shared" si="166"/>
        <v>-160.99828845999232</v>
      </c>
      <c r="AD404" s="229">
        <f t="shared" si="167"/>
        <v>-17.78622485521166</v>
      </c>
      <c r="AE404" s="229">
        <f t="shared" si="168"/>
        <v>139.36335841332044</v>
      </c>
      <c r="AF404" s="227">
        <f t="shared" si="157"/>
        <v>-13.312692257096506</v>
      </c>
      <c r="AG404" s="227">
        <f t="shared" si="158"/>
        <v>-21.634930046671883</v>
      </c>
      <c r="AH404" s="229" t="str">
        <f t="shared" si="159"/>
        <v>0.0979146195597652-0.0840316573330843i</v>
      </c>
    </row>
    <row r="405" spans="2:34" x14ac:dyDescent="0.2">
      <c r="B405" s="220"/>
      <c r="I405" s="227">
        <v>401</v>
      </c>
      <c r="J405" s="227">
        <f t="shared" si="147"/>
        <v>4.9097991332401438</v>
      </c>
      <c r="K405" s="227">
        <f t="shared" ref="K405:K468" si="169">10^(J405)</f>
        <v>81245.465856669281</v>
      </c>
      <c r="L405" s="227">
        <f t="shared" si="160"/>
        <v>510480.31734558515</v>
      </c>
      <c r="M405" s="227">
        <f t="shared" si="148"/>
        <v>74271.669566756042</v>
      </c>
      <c r="N405" s="227">
        <f>SQRT((ABS(AC405)-171.5+'Small Signal'!C$59)^2)</f>
        <v>60.068880214067434</v>
      </c>
      <c r="O405" s="227">
        <f t="shared" si="161"/>
        <v>22.827924864245915</v>
      </c>
      <c r="P405" s="227">
        <f t="shared" si="162"/>
        <v>13.405021930475744</v>
      </c>
      <c r="Q405" s="227">
        <f t="shared" ref="Q405:Q468" si="170">K405</f>
        <v>81245.465856669281</v>
      </c>
      <c r="R405" s="227" t="str">
        <f t="shared" si="149"/>
        <v>0.0945666666666667+2.39925749152425i</v>
      </c>
      <c r="S405" s="227" t="str">
        <f t="shared" si="150"/>
        <v>0.0085-0.208397807140887i</v>
      </c>
      <c r="T405" s="227" t="str">
        <f t="shared" si="151"/>
        <v>0.0103045017403365-0.208234580911549i</v>
      </c>
      <c r="U405" s="227" t="str">
        <f t="shared" si="152"/>
        <v>-0.484039159152813+0.964465665914197i</v>
      </c>
      <c r="V405" s="227">
        <f t="shared" si="163"/>
        <v>0.66134990774614477</v>
      </c>
      <c r="W405" s="227">
        <f t="shared" si="164"/>
        <v>-243.34916676259786</v>
      </c>
      <c r="X405" s="227" t="str">
        <f t="shared" si="153"/>
        <v>0.953060794863878-0.0688891926103629i</v>
      </c>
      <c r="Y405" s="227" t="str">
        <f t="shared" si="154"/>
        <v>0.311697199689078-10.0328394977788i</v>
      </c>
      <c r="Z405" s="227" t="str">
        <f t="shared" si="155"/>
        <v>-0.2215918977091-5.38864402713255i</v>
      </c>
      <c r="AA405" s="227" t="str">
        <f t="shared" si="156"/>
        <v>-1.58593907805064-0.528528598414858i</v>
      </c>
      <c r="AB405" s="227">
        <f t="shared" si="165"/>
        <v>4.463111444506052</v>
      </c>
      <c r="AC405" s="227">
        <f t="shared" si="166"/>
        <v>-161.56888021406743</v>
      </c>
      <c r="AD405" s="229">
        <f t="shared" si="167"/>
        <v>-17.868133374981795</v>
      </c>
      <c r="AE405" s="229">
        <f t="shared" si="168"/>
        <v>138.74095534982152</v>
      </c>
      <c r="AF405" s="227">
        <f t="shared" si="157"/>
        <v>-13.405021930475744</v>
      </c>
      <c r="AG405" s="227">
        <f t="shared" si="158"/>
        <v>-22.827924864245915</v>
      </c>
      <c r="AH405" s="229" t="str">
        <f t="shared" si="159"/>
        <v>0.0960856461597827-0.0842916873106198i</v>
      </c>
    </row>
    <row r="406" spans="2:34" x14ac:dyDescent="0.2">
      <c r="B406" s="220"/>
      <c r="I406" s="227">
        <v>402</v>
      </c>
      <c r="J406" s="227">
        <f t="shared" si="147"/>
        <v>4.9195492557669267</v>
      </c>
      <c r="K406" s="227">
        <f t="shared" si="169"/>
        <v>83090.095048354851</v>
      </c>
      <c r="L406" s="227">
        <f t="shared" si="160"/>
        <v>522070.46437997848</v>
      </c>
      <c r="M406" s="227">
        <f t="shared" si="148"/>
        <v>76158.179949212412</v>
      </c>
      <c r="N406" s="227">
        <f>SQRT((ABS(AC406)-171.5+'Small Signal'!C$59)^2)</f>
        <v>60.635046191198342</v>
      </c>
      <c r="O406" s="227">
        <f t="shared" si="161"/>
        <v>24.018899378212154</v>
      </c>
      <c r="P406" s="227">
        <f t="shared" si="162"/>
        <v>13.497702147525352</v>
      </c>
      <c r="Q406" s="227">
        <f t="shared" si="170"/>
        <v>83090.095048354851</v>
      </c>
      <c r="R406" s="227" t="str">
        <f t="shared" si="149"/>
        <v>0.0945666666666667+2.4537311825859i</v>
      </c>
      <c r="S406" s="227" t="str">
        <f t="shared" si="150"/>
        <v>0.0085-0.203771302882929i</v>
      </c>
      <c r="T406" s="227" t="str">
        <f t="shared" si="151"/>
        <v>0.0102251435412131-0.203612373882947i</v>
      </c>
      <c r="U406" s="227" t="str">
        <f t="shared" si="152"/>
        <v>-0.464535714498138+0.943807062487825i</v>
      </c>
      <c r="V406" s="227">
        <f t="shared" si="163"/>
        <v>0.43977008599636358</v>
      </c>
      <c r="W406" s="227">
        <f t="shared" si="164"/>
        <v>-243.79388792973424</v>
      </c>
      <c r="X406" s="227" t="str">
        <f t="shared" si="153"/>
        <v>0.950905145634527-0.0704532800870094i</v>
      </c>
      <c r="Y406" s="227" t="str">
        <f t="shared" si="154"/>
        <v>0.297903992964141-9.80898260456038i</v>
      </c>
      <c r="Z406" s="227" t="str">
        <f t="shared" si="155"/>
        <v>-0.229300186704483-5.25651798024232i</v>
      </c>
      <c r="AA406" s="227" t="str">
        <f t="shared" si="156"/>
        <v>-1.58950369613123-0.512322234370864i</v>
      </c>
      <c r="AB406" s="227">
        <f t="shared" si="165"/>
        <v>4.4544790258552531</v>
      </c>
      <c r="AC406" s="227">
        <f t="shared" si="166"/>
        <v>-162.13504619119834</v>
      </c>
      <c r="AD406" s="229">
        <f t="shared" si="167"/>
        <v>-17.952181173380605</v>
      </c>
      <c r="AE406" s="229">
        <f t="shared" si="168"/>
        <v>138.11614681298619</v>
      </c>
      <c r="AF406" s="227">
        <f t="shared" si="157"/>
        <v>-13.497702147525352</v>
      </c>
      <c r="AG406" s="227">
        <f t="shared" si="158"/>
        <v>-24.018899378212154</v>
      </c>
      <c r="AH406" s="229" t="str">
        <f t="shared" si="159"/>
        <v>0.0942443842319624-0.0845127205227592i</v>
      </c>
    </row>
    <row r="407" spans="2:34" x14ac:dyDescent="0.2">
      <c r="B407" s="220"/>
      <c r="I407" s="227">
        <v>403</v>
      </c>
      <c r="J407" s="227">
        <f t="shared" si="147"/>
        <v>4.9292993782937096</v>
      </c>
      <c r="K407" s="227">
        <f t="shared" si="169"/>
        <v>84976.605430811222</v>
      </c>
      <c r="L407" s="227">
        <f t="shared" si="160"/>
        <v>533923.75869687006</v>
      </c>
      <c r="M407" s="227">
        <f t="shared" si="148"/>
        <v>78087.522409560494</v>
      </c>
      <c r="N407" s="227">
        <f>SQRT((ABS(AC407)-171.5+'Small Signal'!C$59)^2)</f>
        <v>61.196961375462195</v>
      </c>
      <c r="O407" s="227">
        <f t="shared" si="161"/>
        <v>25.207713733105777</v>
      </c>
      <c r="P407" s="227">
        <f t="shared" si="162"/>
        <v>13.590741995090927</v>
      </c>
      <c r="Q407" s="227">
        <f t="shared" si="170"/>
        <v>84976.605430811222</v>
      </c>
      <c r="R407" s="227" t="str">
        <f t="shared" si="149"/>
        <v>0.0945666666666667+2.50944166587529i</v>
      </c>
      <c r="S407" s="227" t="str">
        <f t="shared" si="150"/>
        <v>0.0085-0.199247508638779i</v>
      </c>
      <c r="T407" s="227" t="str">
        <f t="shared" si="151"/>
        <v>0.0101492692985899-0.199092737601618i</v>
      </c>
      <c r="U407" s="227" t="str">
        <f t="shared" si="152"/>
        <v>-0.445892151209636+0.923557637404681i</v>
      </c>
      <c r="V407" s="227">
        <f t="shared" si="163"/>
        <v>0.21924297216076233</v>
      </c>
      <c r="W407" s="227">
        <f t="shared" si="164"/>
        <v>-244.22882392087584</v>
      </c>
      <c r="X407" s="227" t="str">
        <f t="shared" si="153"/>
        <v>0.948650499765022-0.0720528792243662i</v>
      </c>
      <c r="Y407" s="227" t="str">
        <f t="shared" si="154"/>
        <v>0.28472566024629-9.59016858962153i</v>
      </c>
      <c r="Z407" s="227" t="str">
        <f t="shared" si="155"/>
        <v>-0.236664822192314-5.12709733445086i</v>
      </c>
      <c r="AA407" s="227" t="str">
        <f t="shared" si="156"/>
        <v>-1.59319665255124-0.49631819066917i</v>
      </c>
      <c r="AB407" s="227">
        <f t="shared" si="165"/>
        <v>4.4476396046407549</v>
      </c>
      <c r="AC407" s="227">
        <f t="shared" si="166"/>
        <v>-162.69696137546219</v>
      </c>
      <c r="AD407" s="229">
        <f t="shared" si="167"/>
        <v>-18.038381599731682</v>
      </c>
      <c r="AE407" s="229">
        <f t="shared" si="168"/>
        <v>137.48924764235642</v>
      </c>
      <c r="AF407" s="227">
        <f t="shared" si="157"/>
        <v>-13.590741995090927</v>
      </c>
      <c r="AG407" s="227">
        <f t="shared" si="158"/>
        <v>-25.207713733105777</v>
      </c>
      <c r="AH407" s="229" t="str">
        <f t="shared" si="159"/>
        <v>0.0923925828244739-0.0846941068590714i</v>
      </c>
    </row>
    <row r="408" spans="2:34" x14ac:dyDescent="0.2">
      <c r="B408" s="220"/>
      <c r="I408" s="227">
        <v>404</v>
      </c>
      <c r="J408" s="227">
        <f t="shared" si="147"/>
        <v>4.9390495008204933</v>
      </c>
      <c r="K408" s="227">
        <f t="shared" si="169"/>
        <v>86905.947891159303</v>
      </c>
      <c r="L408" s="227">
        <f t="shared" si="160"/>
        <v>546046.17489624687</v>
      </c>
      <c r="M408" s="227">
        <f t="shared" si="148"/>
        <v>80060.669424237756</v>
      </c>
      <c r="N408" s="227">
        <f>SQRT((ABS(AC408)-171.5+'Small Signal'!C$59)^2)</f>
        <v>61.754815666980278</v>
      </c>
      <c r="O408" s="227">
        <f t="shared" si="161"/>
        <v>26.39423862997478</v>
      </c>
      <c r="P408" s="227">
        <f t="shared" si="162"/>
        <v>13.684145962162198</v>
      </c>
      <c r="Q408" s="227">
        <f t="shared" si="170"/>
        <v>86905.947891159303</v>
      </c>
      <c r="R408" s="227" t="str">
        <f t="shared" si="149"/>
        <v>0.0945666666666667+2.56641702201236i</v>
      </c>
      <c r="S408" s="227" t="str">
        <f t="shared" si="150"/>
        <v>0.0085-0.194824144210181i</v>
      </c>
      <c r="T408" s="227" t="str">
        <f t="shared" si="151"/>
        <v>0.0100767260816104-0.194673397817817i</v>
      </c>
      <c r="U408" s="227" t="str">
        <f t="shared" si="152"/>
        <v>-0.428070411549816+0.903711571588027i</v>
      </c>
      <c r="V408" s="227">
        <f t="shared" si="163"/>
        <v>-2.6544079280544681E-4</v>
      </c>
      <c r="W408" s="227">
        <f t="shared" si="164"/>
        <v>-244.65400481750629</v>
      </c>
      <c r="X408" s="227" t="str">
        <f t="shared" si="153"/>
        <v>0.946292310905878-0.0736887962932246i</v>
      </c>
      <c r="Y408" s="227" t="str">
        <f t="shared" si="154"/>
        <v>0.272134405733944-9.37628073914328i</v>
      </c>
      <c r="Z408" s="227" t="str">
        <f t="shared" si="155"/>
        <v>-0.243701342092494-5.00031322038598i</v>
      </c>
      <c r="AA408" s="227" t="str">
        <f t="shared" si="156"/>
        <v>-1.59702653322849-0.48050404700944i</v>
      </c>
      <c r="AB408" s="227">
        <f t="shared" si="165"/>
        <v>4.4425999753086352</v>
      </c>
      <c r="AC408" s="227">
        <f t="shared" si="166"/>
        <v>-163.25481566698028</v>
      </c>
      <c r="AD408" s="229">
        <f t="shared" si="167"/>
        <v>-18.126745937470833</v>
      </c>
      <c r="AE408" s="229">
        <f t="shared" si="168"/>
        <v>136.8605770370055</v>
      </c>
      <c r="AF408" s="227">
        <f t="shared" si="157"/>
        <v>-13.684145962162198</v>
      </c>
      <c r="AG408" s="227">
        <f t="shared" si="158"/>
        <v>-26.39423862997478</v>
      </c>
      <c r="AH408" s="229" t="str">
        <f t="shared" si="159"/>
        <v>0.0905320324087332-0.0848352924611696i</v>
      </c>
    </row>
    <row r="409" spans="2:34" x14ac:dyDescent="0.2">
      <c r="B409" s="220"/>
      <c r="I409" s="227">
        <v>405</v>
      </c>
      <c r="J409" s="227">
        <f t="shared" si="147"/>
        <v>4.9487996233472771</v>
      </c>
      <c r="K409" s="227">
        <f t="shared" si="169"/>
        <v>88879.094905836566</v>
      </c>
      <c r="L409" s="227">
        <f t="shared" si="160"/>
        <v>558443.82322777237</v>
      </c>
      <c r="M409" s="227">
        <f t="shared" si="148"/>
        <v>82078.615549171591</v>
      </c>
      <c r="N409" s="227">
        <f>SQRT((ABS(AC409)-171.5+'Small Signal'!C$59)^2)</f>
        <v>62.308814242296762</v>
      </c>
      <c r="O409" s="227">
        <f t="shared" si="161"/>
        <v>27.578356433763645</v>
      </c>
      <c r="P409" s="227">
        <f t="shared" si="162"/>
        <v>13.777913769882723</v>
      </c>
      <c r="Q409" s="227">
        <f t="shared" si="170"/>
        <v>88879.094905836566</v>
      </c>
      <c r="R409" s="227" t="str">
        <f t="shared" si="149"/>
        <v>0.0945666666666667+2.62468596917053i</v>
      </c>
      <c r="S409" s="227" t="str">
        <f t="shared" si="150"/>
        <v>0.0085-0.19049898002008i</v>
      </c>
      <c r="T409" s="227" t="str">
        <f t="shared" si="151"/>
        <v>0.0100073676706615-0.190352130584917i</v>
      </c>
      <c r="U409" s="227" t="str">
        <f t="shared" si="152"/>
        <v>-0.411034134674965+0.884262957803904i</v>
      </c>
      <c r="V409" s="227">
        <f t="shared" si="163"/>
        <v>-0.21878836855883804</v>
      </c>
      <c r="W409" s="227">
        <f t="shared" si="164"/>
        <v>-245.06946511536856</v>
      </c>
      <c r="X409" s="227" t="str">
        <f t="shared" si="153"/>
        <v>0.943825823919781-0.0753618558702656i</v>
      </c>
      <c r="Y409" s="227" t="str">
        <f t="shared" si="154"/>
        <v>0.26010372313098-9.16720523976075i</v>
      </c>
      <c r="Z409" s="227" t="str">
        <f t="shared" si="155"/>
        <v>-0.250424563249659-4.87609833395737i</v>
      </c>
      <c r="AA409" s="227" t="str">
        <f t="shared" si="156"/>
        <v>-1.60100230603945-0.464867096579208i</v>
      </c>
      <c r="AB409" s="227">
        <f t="shared" si="165"/>
        <v>4.4393695899424293</v>
      </c>
      <c r="AC409" s="227">
        <f t="shared" si="166"/>
        <v>-163.80881424229676</v>
      </c>
      <c r="AD409" s="229">
        <f t="shared" si="167"/>
        <v>-18.217283359825153</v>
      </c>
      <c r="AE409" s="229">
        <f t="shared" si="168"/>
        <v>136.23045780853312</v>
      </c>
      <c r="AF409" s="227">
        <f t="shared" si="157"/>
        <v>-13.777913769882723</v>
      </c>
      <c r="AG409" s="227">
        <f t="shared" si="158"/>
        <v>-27.578356433763645</v>
      </c>
      <c r="AH409" s="229" t="str">
        <f t="shared" si="159"/>
        <v>0.0886645581136583-0.0849358229281121i</v>
      </c>
    </row>
    <row r="410" spans="2:34" x14ac:dyDescent="0.2">
      <c r="B410" s="220"/>
      <c r="I410" s="227">
        <v>406</v>
      </c>
      <c r="J410" s="227">
        <f t="shared" si="147"/>
        <v>4.9585497458740608</v>
      </c>
      <c r="K410" s="227">
        <f t="shared" si="169"/>
        <v>90897.041030770401</v>
      </c>
      <c r="L410" s="227">
        <f t="shared" si="160"/>
        <v>571122.95267063659</v>
      </c>
      <c r="M410" s="227">
        <f t="shared" si="148"/>
        <v>84142.37792108045</v>
      </c>
      <c r="N410" s="227">
        <f>SQRT((ABS(AC410)-171.5+'Small Signal'!C$59)^2)</f>
        <v>62.859177982118922</v>
      </c>
      <c r="O410" s="227">
        <f t="shared" si="161"/>
        <v>28.759962370672127</v>
      </c>
      <c r="P410" s="227">
        <f t="shared" si="162"/>
        <v>13.872040206687206</v>
      </c>
      <c r="Q410" s="227">
        <f t="shared" si="170"/>
        <v>90897.041030770401</v>
      </c>
      <c r="R410" s="227" t="str">
        <f t="shared" si="149"/>
        <v>0.0945666666666667+2.68427787755199i</v>
      </c>
      <c r="S410" s="227" t="str">
        <f t="shared" si="150"/>
        <v>0.0085-0.18626983598881i</v>
      </c>
      <c r="T410" s="227" t="str">
        <f t="shared" si="151"/>
        <v>0.009941054263008-0.186126761154771i</v>
      </c>
      <c r="U410" s="227" t="str">
        <f t="shared" si="152"/>
        <v>-0.394748579919284+0.865205817276251i</v>
      </c>
      <c r="V410" s="227">
        <f t="shared" si="163"/>
        <v>-0.43635821972373973</v>
      </c>
      <c r="W410" s="227">
        <f t="shared" si="164"/>
        <v>-245.47524340015792</v>
      </c>
      <c r="X410" s="227" t="str">
        <f t="shared" si="153"/>
        <v>0.941246065293159-0.0770729012536861i</v>
      </c>
      <c r="Y410" s="227" t="str">
        <f t="shared" si="154"/>
        <v>0.248608333031923-8.96283109409818i</v>
      </c>
      <c r="Z410" s="227" t="str">
        <f t="shared" si="155"/>
        <v>-0.256848616466321-4.75438688708753i</v>
      </c>
      <c r="AA410" s="227" t="str">
        <f t="shared" si="156"/>
        <v>-1.60513334839982-0.449394303791581i</v>
      </c>
      <c r="AB410" s="227">
        <f t="shared" si="165"/>
        <v>4.4379606868644581</v>
      </c>
      <c r="AC410" s="227">
        <f t="shared" si="166"/>
        <v>-164.35917798211892</v>
      </c>
      <c r="AD410" s="229">
        <f t="shared" si="167"/>
        <v>-18.310000893551663</v>
      </c>
      <c r="AE410" s="229">
        <f t="shared" si="168"/>
        <v>135.59921561144679</v>
      </c>
      <c r="AF410" s="227">
        <f t="shared" si="157"/>
        <v>-13.872040206687206</v>
      </c>
      <c r="AG410" s="227">
        <f t="shared" si="158"/>
        <v>-28.759962370672127</v>
      </c>
      <c r="AH410" s="229" t="str">
        <f t="shared" si="159"/>
        <v>0.0867920126702632-0.0849953459500537i</v>
      </c>
    </row>
    <row r="411" spans="2:34" x14ac:dyDescent="0.2">
      <c r="B411" s="220"/>
      <c r="I411" s="227">
        <v>407</v>
      </c>
      <c r="J411" s="227">
        <f t="shared" si="147"/>
        <v>4.9682998684008446</v>
      </c>
      <c r="K411" s="227">
        <f t="shared" si="169"/>
        <v>92960.803402679259</v>
      </c>
      <c r="L411" s="227">
        <f t="shared" si="160"/>
        <v>584089.95408332441</v>
      </c>
      <c r="M411" s="227">
        <f t="shared" si="148"/>
        <v>86252.996770157406</v>
      </c>
      <c r="N411" s="227">
        <f>SQRT((ABS(AC411)-171.5+'Small Signal'!C$59)^2)</f>
        <v>63.406143974096238</v>
      </c>
      <c r="O411" s="227">
        <f t="shared" si="161"/>
        <v>29.938965818643709</v>
      </c>
      <c r="P411" s="227">
        <f t="shared" si="162"/>
        <v>13.966514968308367</v>
      </c>
      <c r="Q411" s="227">
        <f t="shared" si="170"/>
        <v>92960.803402679259</v>
      </c>
      <c r="R411" s="227" t="str">
        <f t="shared" si="149"/>
        <v>0.0945666666666667+2.74522278419162i</v>
      </c>
      <c r="S411" s="227" t="str">
        <f t="shared" si="150"/>
        <v>0.0085-0.182134580435239i</v>
      </c>
      <c r="T411" s="227" t="str">
        <f t="shared" si="151"/>
        <v>0.00987765219132617-0.181995162896815i</v>
      </c>
      <c r="U411" s="227" t="str">
        <f t="shared" si="152"/>
        <v>-0.379180553635624+0.846534114924664i</v>
      </c>
      <c r="V411" s="227">
        <f t="shared" si="163"/>
        <v>-0.65300658286085989</v>
      </c>
      <c r="W411" s="227">
        <f t="shared" si="164"/>
        <v>-245.87138202728107</v>
      </c>
      <c r="X411" s="227" t="str">
        <f t="shared" si="153"/>
        <v>0.938547833107402-0.0788227948882585i</v>
      </c>
      <c r="Y411" s="227" t="str">
        <f t="shared" si="154"/>
        <v>0.237624123579512-8.7630500394785i</v>
      </c>
      <c r="Z411" s="227" t="str">
        <f t="shared" si="155"/>
        <v>-0.262986979703559-4.63511456020097i</v>
      </c>
      <c r="AA411" s="227" t="str">
        <f t="shared" si="156"/>
        <v>-1.60942947645744-0.434072257989556i</v>
      </c>
      <c r="AB411" s="227">
        <f t="shared" si="165"/>
        <v>4.438388422734576</v>
      </c>
      <c r="AC411" s="227">
        <f t="shared" si="166"/>
        <v>-164.90614397409624</v>
      </c>
      <c r="AD411" s="229">
        <f t="shared" si="167"/>
        <v>-18.404903391042943</v>
      </c>
      <c r="AE411" s="229">
        <f t="shared" si="168"/>
        <v>134.96717815545253</v>
      </c>
      <c r="AF411" s="227">
        <f t="shared" si="157"/>
        <v>-13.966514968308367</v>
      </c>
      <c r="AG411" s="227">
        <f t="shared" si="158"/>
        <v>-29.938965818643709</v>
      </c>
      <c r="AH411" s="229" t="str">
        <f t="shared" si="159"/>
        <v>0.0849162691235388-0.085013613340577i</v>
      </c>
    </row>
    <row r="412" spans="2:34" x14ac:dyDescent="0.2">
      <c r="B412" s="220"/>
      <c r="I412" s="227">
        <v>408</v>
      </c>
      <c r="J412" s="227">
        <f t="shared" si="147"/>
        <v>4.9780499909276275</v>
      </c>
      <c r="K412" s="227">
        <f t="shared" si="169"/>
        <v>95071.422251756216</v>
      </c>
      <c r="L412" s="227">
        <f t="shared" si="160"/>
        <v>597351.36342490104</v>
      </c>
      <c r="M412" s="227">
        <f t="shared" si="148"/>
        <v>88411.535944393152</v>
      </c>
      <c r="N412" s="227">
        <f>SQRT((ABS(AC412)-171.5+'Small Signal'!C$59)^2)</f>
        <v>63.949966098967252</v>
      </c>
      <c r="O412" s="227">
        <f t="shared" si="161"/>
        <v>31.115291694594731</v>
      </c>
      <c r="P412" s="227">
        <f t="shared" si="162"/>
        <v>14.061322502292061</v>
      </c>
      <c r="Q412" s="227">
        <f t="shared" si="170"/>
        <v>95071.422251756216</v>
      </c>
      <c r="R412" s="227" t="str">
        <f t="shared" si="149"/>
        <v>0.0945666666666667+2.80755140809703i</v>
      </c>
      <c r="S412" s="227" t="str">
        <f t="shared" si="150"/>
        <v>0.0085-0.178091129002301i</v>
      </c>
      <c r="T412" s="227" t="str">
        <f t="shared" si="151"/>
        <v>0.00981703365457029-0.177955256240424i</v>
      </c>
      <c r="U412" s="227" t="str">
        <f t="shared" si="152"/>
        <v>-0.364298339420639+0.828241773326871i</v>
      </c>
      <c r="V412" s="227">
        <f t="shared" si="163"/>
        <v>-0.86876421632560208</v>
      </c>
      <c r="W412" s="227">
        <f t="shared" si="164"/>
        <v>-246.25792680673786</v>
      </c>
      <c r="X412" s="227" t="str">
        <f t="shared" si="153"/>
        <v>0.935725686549534-0.0806124188000425i</v>
      </c>
      <c r="Y412" s="227" t="str">
        <f t="shared" si="154"/>
        <v>0.227128094205006-8.56775646965201i</v>
      </c>
      <c r="Z412" s="227" t="str">
        <f t="shared" si="155"/>
        <v>-0.268852509555515-4.51821845638298i</v>
      </c>
      <c r="AA412" s="227" t="str">
        <f t="shared" si="156"/>
        <v>-1.61390097600392-0.418887122630265i</v>
      </c>
      <c r="AB412" s="227">
        <f t="shared" si="165"/>
        <v>4.4406710087420018</v>
      </c>
      <c r="AC412" s="227">
        <f t="shared" si="166"/>
        <v>-165.44996609896725</v>
      </c>
      <c r="AD412" s="229">
        <f t="shared" si="167"/>
        <v>-18.501993511034062</v>
      </c>
      <c r="AE412" s="229">
        <f t="shared" si="168"/>
        <v>134.33467440437252</v>
      </c>
      <c r="AF412" s="227">
        <f t="shared" si="157"/>
        <v>-14.061322502292061</v>
      </c>
      <c r="AG412" s="227">
        <f t="shared" si="158"/>
        <v>-31.115291694594731</v>
      </c>
      <c r="AH412" s="229" t="str">
        <f t="shared" si="159"/>
        <v>0.0830392133719586-0.084990482444711i</v>
      </c>
    </row>
    <row r="413" spans="2:34" x14ac:dyDescent="0.2">
      <c r="B413" s="220"/>
      <c r="I413" s="227">
        <v>409</v>
      </c>
      <c r="J413" s="227">
        <f t="shared" si="147"/>
        <v>4.9878001134544103</v>
      </c>
      <c r="K413" s="227">
        <f t="shared" si="169"/>
        <v>97229.961425991962</v>
      </c>
      <c r="L413" s="227">
        <f t="shared" si="160"/>
        <v>610913.86504943063</v>
      </c>
      <c r="M413" s="227">
        <f t="shared" si="148"/>
        <v>90619.083445803946</v>
      </c>
      <c r="N413" s="227">
        <f>SQRT((ABS(AC413)-171.5+'Small Signal'!C$59)^2)</f>
        <v>64.490915709146464</v>
      </c>
      <c r="O413" s="227">
        <f t="shared" si="161"/>
        <v>32.288881942583942</v>
      </c>
      <c r="P413" s="227">
        <f t="shared" si="162"/>
        <v>14.156441856568176</v>
      </c>
      <c r="Q413" s="227">
        <f t="shared" si="170"/>
        <v>97229.961425991962</v>
      </c>
      <c r="R413" s="227" t="str">
        <f t="shared" si="149"/>
        <v>0.0945666666666667+2.87129516573232i</v>
      </c>
      <c r="S413" s="227" t="str">
        <f t="shared" si="150"/>
        <v>0.0085-0.174137443606385i</v>
      </c>
      <c r="T413" s="227" t="str">
        <f t="shared" si="151"/>
        <v>0.00975907646063477-0.174005007640062i</v>
      </c>
      <c r="U413" s="227" t="str">
        <f t="shared" si="152"/>
        <v>-0.350071631561195+0.810322685500365i</v>
      </c>
      <c r="V413" s="227">
        <f t="shared" si="163"/>
        <v>-1.0836610405829936</v>
      </c>
      <c r="W413" s="227">
        <f t="shared" si="164"/>
        <v>-246.63492669404474</v>
      </c>
      <c r="X413" s="227" t="str">
        <f t="shared" si="153"/>
        <v>0.932773934941156-0.0824426750409664i</v>
      </c>
      <c r="Y413" s="227" t="str">
        <f t="shared" si="154"/>
        <v>0.217098302274006-8.3768473594003i</v>
      </c>
      <c r="Z413" s="227" t="str">
        <f t="shared" si="155"/>
        <v>-0.274457471097098-4.40363705712552i</v>
      </c>
      <c r="AA413" s="227" t="str">
        <f t="shared" si="156"/>
        <v>-1.61855863521236-0.403824579397838i</v>
      </c>
      <c r="AB413" s="227">
        <f t="shared" si="165"/>
        <v>4.4448298515093869</v>
      </c>
      <c r="AC413" s="227">
        <f t="shared" si="166"/>
        <v>-165.99091570914646</v>
      </c>
      <c r="AD413" s="229">
        <f t="shared" si="167"/>
        <v>-18.601271708077562</v>
      </c>
      <c r="AE413" s="229">
        <f t="shared" si="168"/>
        <v>133.70203376656252</v>
      </c>
      <c r="AF413" s="227">
        <f t="shared" si="157"/>
        <v>-14.156441856568176</v>
      </c>
      <c r="AG413" s="227">
        <f t="shared" si="158"/>
        <v>-32.288881942583942</v>
      </c>
      <c r="AH413" s="229" t="str">
        <f t="shared" si="159"/>
        <v>0.0811627365974094-0.0849259169065426i</v>
      </c>
    </row>
    <row r="414" spans="2:34" x14ac:dyDescent="0.2">
      <c r="B414" s="220"/>
      <c r="I414" s="227">
        <v>410</v>
      </c>
      <c r="J414" s="227">
        <f t="shared" si="147"/>
        <v>4.9975502359811941</v>
      </c>
      <c r="K414" s="227">
        <f t="shared" si="169"/>
        <v>99437.508927402756</v>
      </c>
      <c r="L414" s="227">
        <f t="shared" si="160"/>
        <v>624784.29507519596</v>
      </c>
      <c r="M414" s="227">
        <f t="shared" si="148"/>
        <v>92876.751978834131</v>
      </c>
      <c r="N414" s="227">
        <f>SQRT((ABS(AC414)-171.5+'Small Signal'!C$59)^2)</f>
        <v>65.029282409702944</v>
      </c>
      <c r="O414" s="227">
        <f t="shared" si="161"/>
        <v>33.459697127905969</v>
      </c>
      <c r="P414" s="227">
        <f t="shared" si="162"/>
        <v>14.251846531520592</v>
      </c>
      <c r="Q414" s="227">
        <f t="shared" si="170"/>
        <v>99437.508927402756</v>
      </c>
      <c r="R414" s="227" t="str">
        <f t="shared" si="149"/>
        <v>0.0945666666666667+2.93648618685342i</v>
      </c>
      <c r="S414" s="227" t="str">
        <f t="shared" si="150"/>
        <v>0.0085-0.170271531410053i</v>
      </c>
      <c r="T414" s="227" t="str">
        <f t="shared" si="151"/>
        <v>0.00970366378029478-0.170142428562764i</v>
      </c>
      <c r="U414" s="227" t="str">
        <f t="shared" si="152"/>
        <v>-0.336471471547195+0.792770726590811i</v>
      </c>
      <c r="V414" s="227">
        <f t="shared" si="163"/>
        <v>-1.2977261328981688</v>
      </c>
      <c r="W414" s="227">
        <f t="shared" si="164"/>
        <v>-247.00243348800967</v>
      </c>
      <c r="X414" s="227" t="str">
        <f t="shared" si="153"/>
        <v>0.929686626263557-0.0843144861435023i</v>
      </c>
      <c r="Y414" s="227" t="str">
        <f t="shared" si="154"/>
        <v>0.207513812472022-8.19022219187669i</v>
      </c>
      <c r="Z414" s="227" t="str">
        <f t="shared" si="155"/>
        <v>-0.279813566197749-4.29131017958097i</v>
      </c>
      <c r="AA414" s="227" t="str">
        <f t="shared" si="156"/>
        <v>-1.62341377930887-0.388869766619064i</v>
      </c>
      <c r="AB414" s="227">
        <f t="shared" si="165"/>
        <v>4.4508896993543212</v>
      </c>
      <c r="AC414" s="227">
        <f t="shared" si="166"/>
        <v>-166.52928240970294</v>
      </c>
      <c r="AD414" s="229">
        <f t="shared" si="167"/>
        <v>-18.702736230874912</v>
      </c>
      <c r="AE414" s="229">
        <f t="shared" si="168"/>
        <v>133.06958528179698</v>
      </c>
      <c r="AF414" s="227">
        <f t="shared" si="157"/>
        <v>-14.251846531520592</v>
      </c>
      <c r="AG414" s="227">
        <f t="shared" si="158"/>
        <v>-33.459697127905969</v>
      </c>
      <c r="AH414" s="229" t="str">
        <f t="shared" si="159"/>
        <v>0.079288727649987-0.0848199867875985i</v>
      </c>
    </row>
    <row r="415" spans="2:34" x14ac:dyDescent="0.2">
      <c r="B415" s="220"/>
      <c r="I415" s="227">
        <v>411</v>
      </c>
      <c r="J415" s="227">
        <f t="shared" si="147"/>
        <v>5.0073003585079769</v>
      </c>
      <c r="K415" s="227">
        <f t="shared" si="169"/>
        <v>101695.17746043294</v>
      </c>
      <c r="L415" s="227">
        <f t="shared" si="160"/>
        <v>638969.64483041293</v>
      </c>
      <c r="M415" s="227">
        <f t="shared" si="148"/>
        <v>95185.679511210081</v>
      </c>
      <c r="N415" s="227">
        <f>SQRT((ABS(AC415)-171.5+'Small Signal'!C$59)^2)</f>
        <v>65.565374952688757</v>
      </c>
      <c r="O415" s="227">
        <f t="shared" si="161"/>
        <v>34.627718143061855</v>
      </c>
      <c r="P415" s="227">
        <f t="shared" si="162"/>
        <v>14.347504334908436</v>
      </c>
      <c r="Q415" s="227">
        <f t="shared" si="170"/>
        <v>101695.17746043294</v>
      </c>
      <c r="R415" s="227" t="str">
        <f t="shared" si="149"/>
        <v>0.0945666666666667+3.00315733070294i</v>
      </c>
      <c r="S415" s="227" t="str">
        <f t="shared" si="150"/>
        <v>0.0085-0.166491443817553i</v>
      </c>
      <c r="T415" s="227" t="str">
        <f t="shared" si="151"/>
        <v>0.00965068391193217-0.166365574497488i</v>
      </c>
      <c r="U415" s="227" t="str">
        <f t="shared" si="152"/>
        <v>-0.323470187503934+0.775579764548256i</v>
      </c>
      <c r="V415" s="227">
        <f t="shared" si="163"/>
        <v>-1.5109877242218148</v>
      </c>
      <c r="W415" s="227">
        <f t="shared" si="164"/>
        <v>-247.36050153604737</v>
      </c>
      <c r="X415" s="227" t="str">
        <f t="shared" si="153"/>
        <v>0.926457535155847-0.0862287955856643i</v>
      </c>
      <c r="Y415" s="227" t="str">
        <f t="shared" si="154"/>
        <v>0.198354648774745-8.00778288855587i</v>
      </c>
      <c r="Z415" s="227" t="str">
        <f t="shared" si="155"/>
        <v>-0.284931960388246-4.18117893525076i</v>
      </c>
      <c r="AA415" s="227" t="str">
        <f t="shared" si="156"/>
        <v>-1.62847830728287-0.374007211270783i</v>
      </c>
      <c r="AB415" s="227">
        <f t="shared" si="165"/>
        <v>4.458878794573141</v>
      </c>
      <c r="AC415" s="227">
        <f t="shared" si="166"/>
        <v>-167.06537495268876</v>
      </c>
      <c r="AD415" s="229">
        <f t="shared" si="167"/>
        <v>-18.806383129481578</v>
      </c>
      <c r="AE415" s="229">
        <f t="shared" si="168"/>
        <v>132.4376568096269</v>
      </c>
      <c r="AF415" s="227">
        <f t="shared" si="157"/>
        <v>-14.347504334908436</v>
      </c>
      <c r="AG415" s="227">
        <f t="shared" si="158"/>
        <v>-34.627718143061855</v>
      </c>
      <c r="AH415" s="229" t="str">
        <f t="shared" si="159"/>
        <v>0.0774190654527108-0.0846728680345314i</v>
      </c>
    </row>
    <row r="416" spans="2:34" x14ac:dyDescent="0.2">
      <c r="B416" s="220"/>
      <c r="I416" s="227">
        <v>412</v>
      </c>
      <c r="J416" s="227">
        <f t="shared" si="147"/>
        <v>5.0170504810347607</v>
      </c>
      <c r="K416" s="227">
        <f t="shared" si="169"/>
        <v>104004.10499280889</v>
      </c>
      <c r="L416" s="227">
        <f t="shared" si="160"/>
        <v>653477.06437717983</v>
      </c>
      <c r="M416" s="227">
        <f t="shared" si="148"/>
        <v>97547.029847526923</v>
      </c>
      <c r="N416" s="227">
        <f>SQRT((ABS(AC416)-171.5+'Small Signal'!C$59)^2)</f>
        <v>66.099522256954174</v>
      </c>
      <c r="O416" s="227">
        <f t="shared" si="161"/>
        <v>35.792948032752463</v>
      </c>
      <c r="P416" s="227">
        <f t="shared" si="162"/>
        <v>14.443377238887919</v>
      </c>
      <c r="Q416" s="227">
        <f t="shared" si="170"/>
        <v>104004.10499280889</v>
      </c>
      <c r="R416" s="227" t="str">
        <f t="shared" si="149"/>
        <v>0.0945666666666667+3.07134220257275i</v>
      </c>
      <c r="S416" s="227" t="str">
        <f t="shared" si="150"/>
        <v>0.0085-0.162795275492639i</v>
      </c>
      <c r="T416" s="227" t="str">
        <f t="shared" si="151"/>
        <v>0.00960003005657469-0.162672543985903i</v>
      </c>
      <c r="U416" s="227" t="str">
        <f t="shared" si="152"/>
        <v>-0.311041336404577+0.758743669866325i</v>
      </c>
      <c r="V416" s="227">
        <f t="shared" si="163"/>
        <v>-1.7234731981034179</v>
      </c>
      <c r="W416" s="227">
        <f t="shared" si="164"/>
        <v>-247.70918744762201</v>
      </c>
      <c r="X416" s="227" t="str">
        <f t="shared" si="153"/>
        <v>0.923080150361918-0.0881865682665647i</v>
      </c>
      <c r="Y416" s="227" t="str">
        <f t="shared" si="154"/>
        <v>0.189601748857717-7.82943374166866i</v>
      </c>
      <c r="Z416" s="227" t="str">
        <f t="shared" si="155"/>
        <v>-0.289823308361892-4.07318569003787i</v>
      </c>
      <c r="AA416" s="227" t="str">
        <f t="shared" si="156"/>
        <v>-1.63376473073672-0.359220753769578i</v>
      </c>
      <c r="AB416" s="227">
        <f t="shared" si="165"/>
        <v>4.4688290324344822</v>
      </c>
      <c r="AC416" s="227">
        <f t="shared" si="166"/>
        <v>-167.59952225695417</v>
      </c>
      <c r="AD416" s="229">
        <f t="shared" si="167"/>
        <v>-18.9122062713224</v>
      </c>
      <c r="AE416" s="229">
        <f t="shared" si="168"/>
        <v>131.80657422420171</v>
      </c>
      <c r="AF416" s="227">
        <f t="shared" si="157"/>
        <v>-14.443377238887919</v>
      </c>
      <c r="AG416" s="227">
        <f t="shared" si="158"/>
        <v>-35.792948032752463</v>
      </c>
      <c r="AH416" s="229" t="str">
        <f t="shared" si="159"/>
        <v>0.0755556114909709-0.0844848413021085i</v>
      </c>
    </row>
    <row r="417" spans="2:34" x14ac:dyDescent="0.2">
      <c r="B417" s="220"/>
      <c r="I417" s="227">
        <v>413</v>
      </c>
      <c r="J417" s="227">
        <f t="shared" si="147"/>
        <v>5.0268006035615445</v>
      </c>
      <c r="K417" s="227">
        <f t="shared" si="169"/>
        <v>106365.45532912573</v>
      </c>
      <c r="L417" s="227">
        <f t="shared" si="160"/>
        <v>668313.86611542944</v>
      </c>
      <c r="M417" s="227">
        <f t="shared" si="148"/>
        <v>99961.99321586045</v>
      </c>
      <c r="N417" s="227">
        <f>SQRT((ABS(AC417)-171.5+'Small Signal'!C$59)^2)</f>
        <v>66.632074566936893</v>
      </c>
      <c r="O417" s="227">
        <f t="shared" si="161"/>
        <v>36.955413946467132</v>
      </c>
      <c r="P417" s="227">
        <f t="shared" si="162"/>
        <v>14.539421238299525</v>
      </c>
      <c r="Q417" s="227">
        <f t="shared" si="170"/>
        <v>106365.45532912573</v>
      </c>
      <c r="R417" s="227" t="str">
        <f t="shared" si="149"/>
        <v>0.0945666666666667+3.14107517074252i</v>
      </c>
      <c r="S417" s="227" t="str">
        <f t="shared" si="150"/>
        <v>0.0085-0.159181163398202i</v>
      </c>
      <c r="T417" s="227" t="str">
        <f t="shared" si="151"/>
        <v>0.00955160010279737-0.159061477674164i</v>
      </c>
      <c r="U417" s="227" t="str">
        <f t="shared" si="152"/>
        <v>-0.299159648930443+0.742256324454073i</v>
      </c>
      <c r="V417" s="227">
        <f t="shared" si="163"/>
        <v>-1.9352090914678115</v>
      </c>
      <c r="W417" s="227">
        <f t="shared" si="164"/>
        <v>-248.04854981630149</v>
      </c>
      <c r="X417" s="227" t="str">
        <f t="shared" si="153"/>
        <v>0.919547661600909-0.0901887909927665i</v>
      </c>
      <c r="Y417" s="227" t="str">
        <f t="shared" si="154"/>
        <v>0.181236920809507-7.65508134900783i</v>
      </c>
      <c r="Z417" s="227" t="str">
        <f t="shared" si="155"/>
        <v>-0.294497778186292-3.96727402559758i</v>
      </c>
      <c r="AA417" s="227" t="str">
        <f t="shared" si="156"/>
        <v>-1.6392862149658-0.344493464621218i</v>
      </c>
      <c r="AB417" s="227">
        <f t="shared" si="165"/>
        <v>4.4807761275832831</v>
      </c>
      <c r="AC417" s="227">
        <f t="shared" si="166"/>
        <v>-168.13207456693689</v>
      </c>
      <c r="AD417" s="229">
        <f t="shared" si="167"/>
        <v>-19.020197365882808</v>
      </c>
      <c r="AE417" s="229">
        <f t="shared" si="168"/>
        <v>131.17666062046976</v>
      </c>
      <c r="AF417" s="227">
        <f t="shared" si="157"/>
        <v>-14.539421238299525</v>
      </c>
      <c r="AG417" s="227">
        <f t="shared" si="158"/>
        <v>-36.955413946467132</v>
      </c>
      <c r="AH417" s="229" t="str">
        <f t="shared" si="159"/>
        <v>0.073700202450242-0.0842562901447761i</v>
      </c>
    </row>
    <row r="418" spans="2:34" x14ac:dyDescent="0.2">
      <c r="B418" s="220"/>
      <c r="I418" s="227">
        <v>414</v>
      </c>
      <c r="J418" s="227">
        <f t="shared" si="147"/>
        <v>5.0365507260883282</v>
      </c>
      <c r="K418" s="227">
        <f t="shared" si="169"/>
        <v>108780.41869745926</v>
      </c>
      <c r="L418" s="227">
        <f t="shared" si="160"/>
        <v>683487.52846871957</v>
      </c>
      <c r="M418" s="227">
        <f t="shared" si="148"/>
        <v>102431.78686769461</v>
      </c>
      <c r="N418" s="227">
        <f>SQRT((ABS(AC418)-171.5+'Small Signal'!C$59)^2)</f>
        <v>67.163404765487456</v>
      </c>
      <c r="O418" s="227">
        <f t="shared" si="161"/>
        <v>38.115169228943785</v>
      </c>
      <c r="P418" s="227">
        <f t="shared" si="162"/>
        <v>14.635586209296097</v>
      </c>
      <c r="Q418" s="227">
        <f t="shared" si="170"/>
        <v>108780.41869745926</v>
      </c>
      <c r="R418" s="227" t="str">
        <f t="shared" si="149"/>
        <v>0.0945666666666667+3.21239138380298i</v>
      </c>
      <c r="S418" s="227" t="str">
        <f t="shared" si="150"/>
        <v>0.0085-0.155647285857204i</v>
      </c>
      <c r="T418" s="227" t="str">
        <f t="shared" si="151"/>
        <v>0.00950529642105387-0.155530557385247i</v>
      </c>
      <c r="U418" s="227" t="str">
        <f t="shared" si="152"/>
        <v>-0.287800976853403+0.726111629705072i</v>
      </c>
      <c r="V418" s="227">
        <f t="shared" si="163"/>
        <v>-2.1462210970943203</v>
      </c>
      <c r="W418" s="227">
        <f t="shared" si="164"/>
        <v>-248.37864895081879</v>
      </c>
      <c r="X418" s="227" t="str">
        <f t="shared" si="153"/>
        <v>0.915852945834706-0.0922364729756798i</v>
      </c>
      <c r="Y418" s="227" t="str">
        <f t="shared" si="154"/>
        <v>0.173242802020732-7.48463455099593i</v>
      </c>
      <c r="Z418" s="227" t="str">
        <f t="shared" si="155"/>
        <v>-0.298965074297258-3.86338870192385i</v>
      </c>
      <c r="AA418" s="227" t="str">
        <f t="shared" si="156"/>
        <v>-1.64505662234693-0.329807551876563i</v>
      </c>
      <c r="AB418" s="227">
        <f t="shared" si="165"/>
        <v>4.494759788570569</v>
      </c>
      <c r="AC418" s="227">
        <f t="shared" si="166"/>
        <v>-168.66340476548746</v>
      </c>
      <c r="AD418" s="229">
        <f t="shared" si="167"/>
        <v>-19.130345997866666</v>
      </c>
      <c r="AE418" s="229">
        <f t="shared" si="168"/>
        <v>130.54823553654367</v>
      </c>
      <c r="AF418" s="227">
        <f t="shared" si="157"/>
        <v>-14.635586209296097</v>
      </c>
      <c r="AG418" s="227">
        <f t="shared" si="158"/>
        <v>-38.115169228943785</v>
      </c>
      <c r="AH418" s="229" t="str">
        <f t="shared" si="159"/>
        <v>0.0718546430634602-0.0839876985971642i</v>
      </c>
    </row>
    <row r="419" spans="2:34" x14ac:dyDescent="0.2">
      <c r="B419" s="220"/>
      <c r="I419" s="227">
        <v>415</v>
      </c>
      <c r="J419" s="227">
        <f t="shared" si="147"/>
        <v>5.0463008486151111</v>
      </c>
      <c r="K419" s="227">
        <f t="shared" si="169"/>
        <v>111250.21234929342</v>
      </c>
      <c r="L419" s="227">
        <f t="shared" si="160"/>
        <v>699005.6996536894</v>
      </c>
      <c r="M419" s="227">
        <f t="shared" si="148"/>
        <v>104957.65569147335</v>
      </c>
      <c r="N419" s="227">
        <f>SQRT((ABS(AC419)-171.5+'Small Signal'!C$59)^2)</f>
        <v>67.693909857594377</v>
      </c>
      <c r="O419" s="227">
        <f t="shared" si="161"/>
        <v>39.272295660764598</v>
      </c>
      <c r="P419" s="227">
        <f t="shared" si="162"/>
        <v>14.731815767314789</v>
      </c>
      <c r="Q419" s="227">
        <f t="shared" si="170"/>
        <v>111250.21234929342</v>
      </c>
      <c r="R419" s="227" t="str">
        <f t="shared" si="149"/>
        <v>0.0945666666666667+3.28532678837234i</v>
      </c>
      <c r="S419" s="227" t="str">
        <f t="shared" si="150"/>
        <v>0.0085-0.152191861634476i</v>
      </c>
      <c r="T419" s="227" t="str">
        <f t="shared" si="151"/>
        <v>0.00946102566702552-0.152078005211412i</v>
      </c>
      <c r="U419" s="227" t="str">
        <f t="shared" si="152"/>
        <v>-0.276942242821061+0.710303513823567i</v>
      </c>
      <c r="V419" s="227">
        <f t="shared" si="163"/>
        <v>-2.3565340676424875</v>
      </c>
      <c r="W419" s="227">
        <f t="shared" si="164"/>
        <v>-248.69954661544642</v>
      </c>
      <c r="X419" s="227" t="str">
        <f t="shared" si="153"/>
        <v>0.911988552904797-0.094330646340249i</v>
      </c>
      <c r="Y419" s="227" t="str">
        <f t="shared" si="154"/>
        <v>0.165602820129494-7.31800436991193i</v>
      </c>
      <c r="Z419" s="227" t="str">
        <f t="shared" si="155"/>
        <v>-0.303234459341709-3.76147562111223i</v>
      </c>
      <c r="AA419" s="227" t="str">
        <f t="shared" si="156"/>
        <v>-1.65109055809214-0.315144258189744i</v>
      </c>
      <c r="AB419" s="227">
        <f t="shared" si="165"/>
        <v>4.5108239012274538</v>
      </c>
      <c r="AC419" s="227">
        <f t="shared" si="166"/>
        <v>-169.19390985759438</v>
      </c>
      <c r="AD419" s="229">
        <f t="shared" si="167"/>
        <v>-19.242639668542243</v>
      </c>
      <c r="AE419" s="229">
        <f t="shared" si="168"/>
        <v>129.92161419682978</v>
      </c>
      <c r="AF419" s="227">
        <f t="shared" si="157"/>
        <v>-14.731815767314789</v>
      </c>
      <c r="AG419" s="227">
        <f t="shared" si="158"/>
        <v>-39.272295660764598</v>
      </c>
      <c r="AH419" s="229" t="str">
        <f t="shared" si="159"/>
        <v>0.0700206992264206-0.0836796481705919i</v>
      </c>
    </row>
    <row r="420" spans="2:34" x14ac:dyDescent="0.2">
      <c r="B420" s="220"/>
      <c r="I420" s="227">
        <v>416</v>
      </c>
      <c r="J420" s="227">
        <f t="shared" si="147"/>
        <v>5.0560509711418948</v>
      </c>
      <c r="K420" s="227">
        <f t="shared" si="169"/>
        <v>113776.08117307216</v>
      </c>
      <c r="L420" s="227">
        <f t="shared" si="160"/>
        <v>714876.20153511898</v>
      </c>
      <c r="M420" s="227">
        <f t="shared" si="148"/>
        <v>107540.87284007919</v>
      </c>
      <c r="N420" s="227">
        <f>SQRT((ABS(AC420)-171.5+'Small Signal'!C$59)^2)</f>
        <v>68.224012643967342</v>
      </c>
      <c r="O420" s="227">
        <f t="shared" si="161"/>
        <v>40.426905863668708</v>
      </c>
      <c r="P420" s="227">
        <f t="shared" si="162"/>
        <v>14.828047123325778</v>
      </c>
      <c r="Q420" s="227">
        <f t="shared" si="170"/>
        <v>113776.08117307216</v>
      </c>
      <c r="R420" s="227" t="str">
        <f t="shared" si="149"/>
        <v>0.0945666666666667+3.35991814721506i</v>
      </c>
      <c r="S420" s="227" t="str">
        <f t="shared" si="150"/>
        <v>0.0085-0.148813149038894i</v>
      </c>
      <c r="T420" s="227" t="str">
        <f t="shared" si="151"/>
        <v>0.00941869859359295-0.148702082626399i</v>
      </c>
      <c r="U420" s="227" t="str">
        <f t="shared" si="152"/>
        <v>-0.266561392431387+0.694825938463361i</v>
      </c>
      <c r="V420" s="227">
        <f t="shared" si="163"/>
        <v>-2.56617202107123</v>
      </c>
      <c r="W420" s="227">
        <f t="shared" si="164"/>
        <v>-249.01130577991319</v>
      </c>
      <c r="X420" s="227" t="str">
        <f t="shared" si="153"/>
        <v>0.907946690509501-0.0964723666451923i</v>
      </c>
      <c r="Y420" s="227" t="str">
        <f t="shared" si="154"/>
        <v>0.158301155910865-7.15510395117983i</v>
      </c>
      <c r="Z420" s="227" t="str">
        <f t="shared" si="155"/>
        <v>-0.307314774932572-3.6614817922431i</v>
      </c>
      <c r="AA420" s="227" t="str">
        <f t="shared" si="156"/>
        <v>-1.65740341839699-0.300483746099783i</v>
      </c>
      <c r="AB420" s="227">
        <f t="shared" si="165"/>
        <v>4.5290167216047115</v>
      </c>
      <c r="AC420" s="227">
        <f t="shared" si="166"/>
        <v>-169.72401264396734</v>
      </c>
      <c r="AD420" s="229">
        <f t="shared" si="167"/>
        <v>-19.35706384493049</v>
      </c>
      <c r="AE420" s="229">
        <f t="shared" si="168"/>
        <v>129.29710678029863</v>
      </c>
      <c r="AF420" s="227">
        <f t="shared" si="157"/>
        <v>-14.828047123325778</v>
      </c>
      <c r="AG420" s="227">
        <f t="shared" si="158"/>
        <v>-40.426905863668708</v>
      </c>
      <c r="AH420" s="229" t="str">
        <f t="shared" si="159"/>
        <v>0.0682000914357447-0.0833328142988567i</v>
      </c>
    </row>
    <row r="421" spans="2:34" x14ac:dyDescent="0.2">
      <c r="B421" s="220"/>
      <c r="I421" s="227">
        <v>417</v>
      </c>
      <c r="J421" s="227">
        <f t="shared" si="147"/>
        <v>5.0658010936686777</v>
      </c>
      <c r="K421" s="227">
        <f t="shared" si="169"/>
        <v>116359.298321678</v>
      </c>
      <c r="L421" s="227">
        <f t="shared" si="160"/>
        <v>731107.03356849344</v>
      </c>
      <c r="M421" s="227">
        <f t="shared" si="148"/>
        <v>110182.74037256271</v>
      </c>
      <c r="N421" s="227">
        <f>SQRT((ABS(AC421)-171.5+'Small Signal'!C$59)^2)</f>
        <v>68.754163605844639</v>
      </c>
      <c r="O421" s="227">
        <f t="shared" si="161"/>
        <v>41.57914588786241</v>
      </c>
      <c r="P421" s="227">
        <f t="shared" si="162"/>
        <v>14.924210937249853</v>
      </c>
      <c r="Q421" s="227">
        <f t="shared" si="170"/>
        <v>116359.298321678</v>
      </c>
      <c r="R421" s="227" t="str">
        <f t="shared" si="149"/>
        <v>0.0945666666666667+3.43620305777192i</v>
      </c>
      <c r="S421" s="227" t="str">
        <f t="shared" si="150"/>
        <v>0.0085-0.145509445045488i</v>
      </c>
      <c r="T421" s="227" t="str">
        <f t="shared" si="151"/>
        <v>0.0093782298710526-0.145401089616913i</v>
      </c>
      <c r="U421" s="227" t="str">
        <f t="shared" si="152"/>
        <v>-0.256637348488983+0.679672904730776i</v>
      </c>
      <c r="V421" s="227">
        <f t="shared" si="163"/>
        <v>-2.7751581473073266</v>
      </c>
      <c r="W421" s="227">
        <f t="shared" si="164"/>
        <v>-249.31399037902372</v>
      </c>
      <c r="X421" s="227" t="str">
        <f t="shared" si="153"/>
        <v>0.903719208491284-0.0986627134150495i</v>
      </c>
      <c r="Y421" s="227" t="str">
        <f t="shared" si="154"/>
        <v>0.151322708005203-6.99584850662718i</v>
      </c>
      <c r="Z421" s="227" t="str">
        <f t="shared" si="155"/>
        <v>-0.311214461374592-3.56335529733254i</v>
      </c>
      <c r="AA421" s="227" t="str">
        <f t="shared" si="156"/>
        <v>-1.66401144097198-0.285804969954194i</v>
      </c>
      <c r="AB421" s="227">
        <f t="shared" si="165"/>
        <v>4.5493910791820307</v>
      </c>
      <c r="AC421" s="227">
        <f t="shared" si="166"/>
        <v>-170.25416360584464</v>
      </c>
      <c r="AD421" s="229">
        <f t="shared" si="167"/>
        <v>-19.473602016431883</v>
      </c>
      <c r="AE421" s="229">
        <f t="shared" si="168"/>
        <v>128.67501771798223</v>
      </c>
      <c r="AF421" s="227">
        <f t="shared" si="157"/>
        <v>-14.924210937249853</v>
      </c>
      <c r="AG421" s="227">
        <f t="shared" si="158"/>
        <v>-41.57914588786241</v>
      </c>
      <c r="AH421" s="229" t="str">
        <f t="shared" si="159"/>
        <v>0.0663944885993695-0.0829479622722016i</v>
      </c>
    </row>
    <row r="422" spans="2:34" x14ac:dyDescent="0.2">
      <c r="B422" s="220"/>
      <c r="I422" s="227">
        <v>418</v>
      </c>
      <c r="J422" s="227">
        <f t="shared" si="147"/>
        <v>5.0755512161954615</v>
      </c>
      <c r="K422" s="227">
        <f t="shared" si="169"/>
        <v>119001.16585416152</v>
      </c>
      <c r="L422" s="227">
        <f t="shared" si="160"/>
        <v>747706.37683210871</v>
      </c>
      <c r="M422" s="227">
        <f t="shared" si="148"/>
        <v>112884.58991043673</v>
      </c>
      <c r="N422" s="227">
        <f>SQRT((ABS(AC422)-171.5+'Small Signal'!C$59)^2)</f>
        <v>69.284843025169579</v>
      </c>
      <c r="O422" s="227">
        <f t="shared" si="161"/>
        <v>42.729198001695238</v>
      </c>
      <c r="P422" s="227">
        <f t="shared" si="162"/>
        <v>15.020231167398437</v>
      </c>
      <c r="Q422" s="227">
        <f t="shared" si="170"/>
        <v>119001.16585416152</v>
      </c>
      <c r="R422" s="227" t="str">
        <f t="shared" si="149"/>
        <v>0.0945666666666667+3.51421997111091i</v>
      </c>
      <c r="S422" s="227" t="str">
        <f t="shared" si="150"/>
        <v>0.0085-0.142279084437034i</v>
      </c>
      <c r="T422" s="227" t="str">
        <f t="shared" si="151"/>
        <v>0.00933953791521736-0.142173363833025i</v>
      </c>
      <c r="U422" s="227" t="str">
        <f t="shared" si="152"/>
        <v>-0.247149967340673+0.664838458599578i</v>
      </c>
      <c r="V422" s="227">
        <f t="shared" si="163"/>
        <v>-2.9835148160214651</v>
      </c>
      <c r="W422" s="227">
        <f t="shared" si="164"/>
        <v>-249.60766508207035</v>
      </c>
      <c r="X422" s="227" t="str">
        <f t="shared" si="153"/>
        <v>0.899297582402491-0.100902790684314i</v>
      </c>
      <c r="Y422" s="227" t="str">
        <f t="shared" si="154"/>
        <v>0.14465305938616-6.84015525962685i</v>
      </c>
      <c r="Z422" s="227" t="str">
        <f t="shared" si="155"/>
        <v>-0.314941576416617-3.46704525830061i</v>
      </c>
      <c r="AA422" s="227" t="str">
        <f t="shared" si="156"/>
        <v>-1.67093175789283-0.271085532658469i</v>
      </c>
      <c r="AB422" s="227">
        <f t="shared" si="165"/>
        <v>4.5720045910308418</v>
      </c>
      <c r="AC422" s="227">
        <f t="shared" si="166"/>
        <v>-170.78484302516958</v>
      </c>
      <c r="AD422" s="229">
        <f t="shared" si="167"/>
        <v>-19.592235758429279</v>
      </c>
      <c r="AE422" s="229">
        <f t="shared" si="168"/>
        <v>128.05564502347434</v>
      </c>
      <c r="AF422" s="227">
        <f t="shared" si="157"/>
        <v>-15.020231167398437</v>
      </c>
      <c r="AG422" s="227">
        <f t="shared" si="158"/>
        <v>-42.729198001695238</v>
      </c>
      <c r="AH422" s="229" t="str">
        <f t="shared" si="159"/>
        <v>0.0646055022643735-0.0825259427033278i</v>
      </c>
    </row>
    <row r="423" spans="2:34" x14ac:dyDescent="0.2">
      <c r="B423" s="220"/>
      <c r="I423" s="227">
        <v>419</v>
      </c>
      <c r="J423" s="227">
        <f t="shared" si="147"/>
        <v>5.0853013387222443</v>
      </c>
      <c r="K423" s="227">
        <f t="shared" si="169"/>
        <v>121703.01539203554</v>
      </c>
      <c r="L423" s="227">
        <f t="shared" si="160"/>
        <v>764682.59815068869</v>
      </c>
      <c r="M423" s="227">
        <f t="shared" si="148"/>
        <v>115647.78330887642</v>
      </c>
      <c r="N423" s="227">
        <f>SQRT((ABS(AC423)-171.5+'Small Signal'!C$59)^2)</f>
        <v>69.816563367497707</v>
      </c>
      <c r="O423" s="227">
        <f t="shared" si="161"/>
        <v>43.877283707642022</v>
      </c>
      <c r="P423" s="227">
        <f t="shared" si="162"/>
        <v>15.116024914786717</v>
      </c>
      <c r="Q423" s="227">
        <f t="shared" si="170"/>
        <v>121703.01539203554</v>
      </c>
      <c r="R423" s="227" t="str">
        <f t="shared" si="149"/>
        <v>0.0945666666666667+3.59400821130824i</v>
      </c>
      <c r="S423" s="227" t="str">
        <f t="shared" si="150"/>
        <v>0.0085-0.139120438964717i</v>
      </c>
      <c r="T423" s="227" t="str">
        <f t="shared" si="151"/>
        <v>0.00930254472305583-0.13901727975708i</v>
      </c>
      <c r="U423" s="227" t="str">
        <f t="shared" si="152"/>
        <v>-0.238079997193044+0.65031669578216i</v>
      </c>
      <c r="V423" s="227">
        <f t="shared" si="163"/>
        <v>-3.1912635853782199</v>
      </c>
      <c r="W423" s="227">
        <f t="shared" si="164"/>
        <v>-249.89239507207557</v>
      </c>
      <c r="X423" s="227" t="str">
        <f t="shared" si="153"/>
        <v>0.894672896316345-0.103193727553913i</v>
      </c>
      <c r="Y423" s="227" t="str">
        <f t="shared" si="154"/>
        <v>0.13827844547551-6.68794339203955i</v>
      </c>
      <c r="Z423" s="227" t="str">
        <f t="shared" si="155"/>
        <v>-0.318503813082318-3.37250180490928i</v>
      </c>
      <c r="AA423" s="227" t="str">
        <f t="shared" si="156"/>
        <v>-1.67818245063338-0.256301525162232i</v>
      </c>
      <c r="AB423" s="227">
        <f t="shared" si="165"/>
        <v>4.5969198875705679</v>
      </c>
      <c r="AC423" s="227">
        <f t="shared" si="166"/>
        <v>-171.31656336749771</v>
      </c>
      <c r="AD423" s="229">
        <f t="shared" si="167"/>
        <v>-19.712944802357285</v>
      </c>
      <c r="AE423" s="229">
        <f t="shared" si="168"/>
        <v>127.43927965985569</v>
      </c>
      <c r="AF423" s="227">
        <f t="shared" si="157"/>
        <v>-15.116024914786717</v>
      </c>
      <c r="AG423" s="227">
        <f t="shared" si="158"/>
        <v>-43.877283707642022</v>
      </c>
      <c r="AH423" s="229" t="str">
        <f t="shared" si="159"/>
        <v>0.0628346813012438-0.0820676865735034i</v>
      </c>
    </row>
    <row r="424" spans="2:34" x14ac:dyDescent="0.2">
      <c r="B424" s="220"/>
      <c r="I424" s="227">
        <v>420</v>
      </c>
      <c r="J424" s="227">
        <f t="shared" si="147"/>
        <v>5.0950514612490281</v>
      </c>
      <c r="K424" s="227">
        <f t="shared" si="169"/>
        <v>124466.20879047523</v>
      </c>
      <c r="L424" s="227">
        <f t="shared" si="160"/>
        <v>782044.25431266055</v>
      </c>
      <c r="M424" s="227">
        <f t="shared" si="148"/>
        <v>118473.71334315529</v>
      </c>
      <c r="N424" s="227">
        <f>SQRT((ABS(AC424)-171.5+'Small Signal'!C$59)^2)</f>
        <v>70.349871958698458</v>
      </c>
      <c r="O424" s="227">
        <f t="shared" si="161"/>
        <v>45.023667012623818</v>
      </c>
      <c r="P424" s="227">
        <f t="shared" si="162"/>
        <v>15.211502261193722</v>
      </c>
      <c r="Q424" s="227">
        <f t="shared" si="170"/>
        <v>124466.20879047523</v>
      </c>
      <c r="R424" s="227" t="str">
        <f t="shared" si="149"/>
        <v>0.0945666666666667+3.6756079952695i</v>
      </c>
      <c r="S424" s="227" t="str">
        <f t="shared" si="150"/>
        <v>0.0085-0.136031916527415i</v>
      </c>
      <c r="T424" s="227" t="str">
        <f t="shared" si="151"/>
        <v>0.00926717571553987-0.135931247890729i</v>
      </c>
      <c r="U424" s="227" t="str">
        <f t="shared" si="152"/>
        <v>-0.229409038319411+0.636101766098148i</v>
      </c>
      <c r="V424" s="227">
        <f t="shared" si="163"/>
        <v>-3.3984252116316611</v>
      </c>
      <c r="W424" s="227">
        <f t="shared" si="164"/>
        <v>-250.16824583484674</v>
      </c>
      <c r="X424" s="227" t="str">
        <f t="shared" si="153"/>
        <v>0.889835824848539-0.10553667876033i</v>
      </c>
      <c r="Y424" s="227" t="str">
        <f t="shared" si="154"/>
        <v>0.132185723817173-6.53913399287979i</v>
      </c>
      <c r="Z424" s="227" t="str">
        <f t="shared" si="155"/>
        <v>-0.321908516628516-3.27967604362534i</v>
      </c>
      <c r="AA424" s="227" t="str">
        <f t="shared" si="156"/>
        <v>-1.68578260704977-0.241427346275548i</v>
      </c>
      <c r="AB424" s="227">
        <f t="shared" si="165"/>
        <v>4.6242048504927666</v>
      </c>
      <c r="AC424" s="227">
        <f t="shared" si="166"/>
        <v>-171.84987195869846</v>
      </c>
      <c r="AD424" s="229">
        <f t="shared" si="167"/>
        <v>-19.835707111686489</v>
      </c>
      <c r="AE424" s="229">
        <f t="shared" si="168"/>
        <v>126.82620494607464</v>
      </c>
      <c r="AF424" s="227">
        <f t="shared" si="157"/>
        <v>-15.211502261193722</v>
      </c>
      <c r="AG424" s="227">
        <f t="shared" si="158"/>
        <v>-45.023667012623818</v>
      </c>
      <c r="AH424" s="229" t="str">
        <f t="shared" si="159"/>
        <v>0.0610835070775835-0.0815741999102245i</v>
      </c>
    </row>
    <row r="425" spans="2:34" x14ac:dyDescent="0.2">
      <c r="B425" s="220"/>
      <c r="I425" s="227">
        <v>421</v>
      </c>
      <c r="J425" s="227">
        <f t="shared" si="147"/>
        <v>5.1048015837758109</v>
      </c>
      <c r="K425" s="227">
        <f t="shared" si="169"/>
        <v>127292.1388247541</v>
      </c>
      <c r="L425" s="227">
        <f t="shared" si="160"/>
        <v>799800.09638315917</v>
      </c>
      <c r="M425" s="227">
        <f t="shared" si="148"/>
        <v>121363.8044106678</v>
      </c>
      <c r="N425" s="227">
        <f>SQRT((ABS(AC425)-171.5+'Small Signal'!C$59)^2)</f>
        <v>70.885353990805299</v>
      </c>
      <c r="O425" s="227">
        <f t="shared" si="161"/>
        <v>46.168657985387455</v>
      </c>
      <c r="P425" s="227">
        <f t="shared" si="162"/>
        <v>15.306566099903955</v>
      </c>
      <c r="Q425" s="227">
        <f t="shared" si="170"/>
        <v>127292.1388247541</v>
      </c>
      <c r="R425" s="227" t="str">
        <f t="shared" si="149"/>
        <v>0.0945666666666667+3.75906045300085i</v>
      </c>
      <c r="S425" s="227" t="str">
        <f t="shared" si="150"/>
        <v>0.0085-0.133011960369206i</v>
      </c>
      <c r="T425" s="227" t="str">
        <f t="shared" si="151"/>
        <v>0.00923335958738494-0.132913713959699i</v>
      </c>
      <c r="U425" s="227" t="str">
        <f t="shared" si="152"/>
        <v>-0.221119505068174+0.622187877378531i</v>
      </c>
      <c r="V425" s="227">
        <f t="shared" si="163"/>
        <v>-3.6050196594460706</v>
      </c>
      <c r="W425" s="227">
        <f t="shared" si="164"/>
        <v>-250.43528295778023</v>
      </c>
      <c r="X425" s="227" t="str">
        <f t="shared" si="153"/>
        <v>0.884776614353205-0.107932825257641i</v>
      </c>
      <c r="Y425" s="227" t="str">
        <f t="shared" si="154"/>
        <v>0.12636234522819-6.39365000863159i</v>
      </c>
      <c r="Z425" s="227" t="str">
        <f t="shared" si="155"/>
        <v>-0.325162700677086-3.18852002736541i</v>
      </c>
      <c r="AA425" s="227" t="str">
        <f t="shared" si="156"/>
        <v>-1.69375237995937-0.226435500039071i</v>
      </c>
      <c r="AB425" s="227">
        <f t="shared" si="165"/>
        <v>4.6539328633312191</v>
      </c>
      <c r="AC425" s="227">
        <f t="shared" si="166"/>
        <v>-172.3853539908053</v>
      </c>
      <c r="AD425" s="229">
        <f t="shared" si="167"/>
        <v>-19.960498963235175</v>
      </c>
      <c r="AE425" s="229">
        <f t="shared" si="168"/>
        <v>126.21669600541784</v>
      </c>
      <c r="AF425" s="227">
        <f t="shared" si="157"/>
        <v>-15.306566099903955</v>
      </c>
      <c r="AG425" s="227">
        <f t="shared" si="158"/>
        <v>-46.168657985387455</v>
      </c>
      <c r="AH425" s="229" t="str">
        <f t="shared" si="159"/>
        <v>0.0593533891479111-0.0810465581504458i</v>
      </c>
    </row>
    <row r="426" spans="2:34" x14ac:dyDescent="0.2">
      <c r="B426" s="220"/>
      <c r="I426" s="227">
        <v>422</v>
      </c>
      <c r="J426" s="227">
        <f t="shared" si="147"/>
        <v>5.1145517063025947</v>
      </c>
      <c r="K426" s="227">
        <f t="shared" si="169"/>
        <v>130182.22989226661</v>
      </c>
      <c r="L426" s="227">
        <f t="shared" si="160"/>
        <v>817959.07411496469</v>
      </c>
      <c r="M426" s="227">
        <f t="shared" si="148"/>
        <v>124319.51324888926</v>
      </c>
      <c r="N426" s="227">
        <f>SQRT((ABS(AC426)-171.5+'Small Signal'!C$59)^2)</f>
        <v>71.423635897326449</v>
      </c>
      <c r="O426" s="227">
        <f t="shared" si="161"/>
        <v>47.312616639050702</v>
      </c>
      <c r="P426" s="227">
        <f t="shared" si="162"/>
        <v>15.401111958168002</v>
      </c>
      <c r="Q426" s="227">
        <f t="shared" si="170"/>
        <v>130182.22989226661</v>
      </c>
      <c r="R426" s="227" t="str">
        <f t="shared" si="149"/>
        <v>0.0945666666666667+3.84440764834033i</v>
      </c>
      <c r="S426" s="227" t="str">
        <f t="shared" si="150"/>
        <v>0.0085-0.130059048294697i</v>
      </c>
      <c r="T426" s="227" t="str">
        <f t="shared" si="151"/>
        <v>0.00920102816338098-0.12996315813593i</v>
      </c>
      <c r="U426" s="227" t="str">
        <f t="shared" si="152"/>
        <v>-0.213194589588856+0.60856929894078i</v>
      </c>
      <c r="V426" s="227">
        <f t="shared" si="163"/>
        <v>-3.8110661128264969</v>
      </c>
      <c r="W426" s="227">
        <f t="shared" si="164"/>
        <v>-250.69357193831283</v>
      </c>
      <c r="X426" s="227" t="str">
        <f t="shared" si="153"/>
        <v>0.879485063255304-0.110383374812771i</v>
      </c>
      <c r="Y426" s="227" t="str">
        <f t="shared" si="154"/>
        <v>0.120796326349153-6.25141619514377i</v>
      </c>
      <c r="Z426" s="227" t="str">
        <f t="shared" si="155"/>
        <v>-0.328273062563875-3.09898672608231i</v>
      </c>
      <c r="AA426" s="227" t="str">
        <f t="shared" si="156"/>
        <v>-1.70211304679551-0.211296367440858i</v>
      </c>
      <c r="AB426" s="227">
        <f t="shared" si="165"/>
        <v>4.6861830750270714</v>
      </c>
      <c r="AC426" s="227">
        <f t="shared" si="166"/>
        <v>-172.92363589732645</v>
      </c>
      <c r="AD426" s="229">
        <f t="shared" si="167"/>
        <v>-20.087295033195073</v>
      </c>
      <c r="AE426" s="229">
        <f t="shared" si="168"/>
        <v>125.61101925827575</v>
      </c>
      <c r="AF426" s="227">
        <f t="shared" si="157"/>
        <v>-15.401111958168002</v>
      </c>
      <c r="AG426" s="227">
        <f t="shared" si="158"/>
        <v>-47.312616639050702</v>
      </c>
      <c r="AH426" s="229" t="str">
        <f t="shared" si="159"/>
        <v>0.0576456614796552-0.0804859002451024i</v>
      </c>
    </row>
    <row r="427" spans="2:34" x14ac:dyDescent="0.2">
      <c r="B427" s="220"/>
      <c r="I427" s="227">
        <v>423</v>
      </c>
      <c r="J427" s="227">
        <f t="shared" si="147"/>
        <v>5.1243018288293776</v>
      </c>
      <c r="K427" s="227">
        <f t="shared" si="169"/>
        <v>133137.93873048807</v>
      </c>
      <c r="L427" s="227">
        <f t="shared" si="160"/>
        <v>836530.34045957855</v>
      </c>
      <c r="M427" s="227">
        <f t="shared" si="148"/>
        <v>127342.32966964044</v>
      </c>
      <c r="N427" s="227">
        <f>SQRT((ABS(AC427)-171.5+'Small Signal'!C$59)^2)</f>
        <v>71.965389144061504</v>
      </c>
      <c r="O427" s="227">
        <f t="shared" si="161"/>
        <v>48.455957183081935</v>
      </c>
      <c r="P427" s="227">
        <f t="shared" si="162"/>
        <v>15.495027810587905</v>
      </c>
      <c r="Q427" s="227">
        <f t="shared" si="170"/>
        <v>133137.93873048807</v>
      </c>
      <c r="R427" s="227" t="str">
        <f t="shared" si="149"/>
        <v>0.0945666666666667+3.93169260016002i</v>
      </c>
      <c r="S427" s="227" t="str">
        <f t="shared" si="150"/>
        <v>0.0085-0.127171691901765i</v>
      </c>
      <c r="T427" s="227" t="str">
        <f t="shared" si="151"/>
        <v>0.00917011626102513-0.127078094276715i</v>
      </c>
      <c r="U427" s="227" t="str">
        <f t="shared" si="152"/>
        <v>-0.205618227196183+0.595240364667837i</v>
      </c>
      <c r="V427" s="227">
        <f t="shared" si="163"/>
        <v>-4.0165829865506923</v>
      </c>
      <c r="W427" s="227">
        <f t="shared" si="164"/>
        <v>-250.94317800188136</v>
      </c>
      <c r="X427" s="227" t="str">
        <f t="shared" si="153"/>
        <v>0.8739505014798-0.112889562614261i</v>
      </c>
      <c r="Y427" s="227" t="str">
        <f t="shared" si="154"/>
        <v>0.115476223521065-6.11235907103983i</v>
      </c>
      <c r="Z427" s="227" t="str">
        <f t="shared" si="155"/>
        <v>-0.331245997945539-3.01102999815479i</v>
      </c>
      <c r="AA427" s="227" t="str">
        <f t="shared" si="156"/>
        <v>-1.71088706960527-0.195977948769861i</v>
      </c>
      <c r="AB427" s="227">
        <f t="shared" si="165"/>
        <v>4.7210406766485082</v>
      </c>
      <c r="AC427" s="227">
        <f t="shared" si="166"/>
        <v>-173.4653891440615</v>
      </c>
      <c r="AD427" s="229">
        <f t="shared" si="167"/>
        <v>-20.216068487236413</v>
      </c>
      <c r="AE427" s="229">
        <f t="shared" si="168"/>
        <v>125.00943196097957</v>
      </c>
      <c r="AF427" s="227">
        <f t="shared" si="157"/>
        <v>-15.495027810587905</v>
      </c>
      <c r="AG427" s="227">
        <f t="shared" si="158"/>
        <v>-48.455957183081935</v>
      </c>
      <c r="AH427" s="229" t="str">
        <f t="shared" si="159"/>
        <v>0.0559615792289062-0.0798934225615206i</v>
      </c>
    </row>
    <row r="428" spans="2:34" x14ac:dyDescent="0.2">
      <c r="B428" s="220"/>
      <c r="I428" s="227">
        <v>424</v>
      </c>
      <c r="J428" s="227">
        <f t="shared" si="147"/>
        <v>5.1340519513561613</v>
      </c>
      <c r="K428" s="227">
        <f t="shared" si="169"/>
        <v>136160.75515123925</v>
      </c>
      <c r="L428" s="227">
        <f t="shared" si="160"/>
        <v>855523.25618074369</v>
      </c>
      <c r="M428" s="227">
        <f t="shared" si="148"/>
        <v>130433.77731001766</v>
      </c>
      <c r="N428" s="227">
        <f>SQRT((ABS(AC428)-171.5+'Small Signal'!C$59)^2)</f>
        <v>72.511334488123254</v>
      </c>
      <c r="O428" s="227">
        <f t="shared" si="161"/>
        <v>49.59915269607734</v>
      </c>
      <c r="P428" s="227">
        <f t="shared" si="162"/>
        <v>15.588193882866367</v>
      </c>
      <c r="Q428" s="227">
        <f t="shared" si="170"/>
        <v>136160.75515123925</v>
      </c>
      <c r="R428" s="227" t="str">
        <f t="shared" si="149"/>
        <v>0.0945666666666667+4.0209593040495i</v>
      </c>
      <c r="S428" s="227" t="str">
        <f t="shared" si="150"/>
        <v>0.0085-0.124348435831333i</v>
      </c>
      <c r="T428" s="227" t="str">
        <f t="shared" si="151"/>
        <v>0.00914056155918021-0.124257069180477i</v>
      </c>
      <c r="U428" s="227" t="str">
        <f t="shared" si="152"/>
        <v>-0.198375063296393+0.58219547572145i</v>
      </c>
      <c r="V428" s="227">
        <f t="shared" si="163"/>
        <v>-4.2215879380012229</v>
      </c>
      <c r="W428" s="227">
        <f t="shared" si="164"/>
        <v>-251.18416592922381</v>
      </c>
      <c r="X428" s="227" t="str">
        <f t="shared" si="153"/>
        <v>0.868161768936137-0.115452651894865i</v>
      </c>
      <c r="Y428" s="227" t="str">
        <f t="shared" si="154"/>
        <v>0.110391107919912-5.97640687257881i</v>
      </c>
      <c r="Z428" s="227" t="str">
        <f t="shared" si="155"/>
        <v>-0.334087614702761-2.92460456254365i</v>
      </c>
      <c r="AA428" s="227" t="str">
        <f t="shared" si="156"/>
        <v>-1.72009815438277-0.18044557230901i</v>
      </c>
      <c r="AB428" s="227">
        <f t="shared" si="165"/>
        <v>4.7585971911813658</v>
      </c>
      <c r="AC428" s="227">
        <f t="shared" si="166"/>
        <v>-174.01133448812325</v>
      </c>
      <c r="AD428" s="229">
        <f t="shared" si="167"/>
        <v>-20.346791074047733</v>
      </c>
      <c r="AE428" s="229">
        <f t="shared" si="168"/>
        <v>124.41218179204591</v>
      </c>
      <c r="AF428" s="227">
        <f t="shared" si="157"/>
        <v>-15.588193882866367</v>
      </c>
      <c r="AG428" s="227">
        <f t="shared" si="158"/>
        <v>-49.59915269607734</v>
      </c>
      <c r="AH428" s="229" t="str">
        <f t="shared" si="159"/>
        <v>0.0543023160729836-0.0792703726403352i</v>
      </c>
    </row>
    <row r="429" spans="2:34" x14ac:dyDescent="0.2">
      <c r="B429" s="220"/>
      <c r="I429" s="227">
        <v>425</v>
      </c>
      <c r="J429" s="227">
        <f t="shared" si="147"/>
        <v>5.1438020738829451</v>
      </c>
      <c r="K429" s="227">
        <f t="shared" si="169"/>
        <v>139252.20279161647</v>
      </c>
      <c r="L429" s="227">
        <f t="shared" si="160"/>
        <v>874947.39457267674</v>
      </c>
      <c r="M429" s="227">
        <f t="shared" si="148"/>
        <v>133595.41440037679</v>
      </c>
      <c r="N429" s="227">
        <f>SQRT((ABS(AC429)-171.5+'Small Signal'!C$59)^2)</f>
        <v>73.062246765566783</v>
      </c>
      <c r="O429" s="227">
        <f t="shared" si="161"/>
        <v>50.742740278830908</v>
      </c>
      <c r="P429" s="227">
        <f t="shared" si="162"/>
        <v>15.680482445687154</v>
      </c>
      <c r="Q429" s="227">
        <f t="shared" si="170"/>
        <v>139252.20279161647</v>
      </c>
      <c r="R429" s="227" t="str">
        <f t="shared" si="149"/>
        <v>0.0945666666666667+4.11225275449158i</v>
      </c>
      <c r="S429" s="227" t="str">
        <f t="shared" si="150"/>
        <v>0.0085-0.121587857033807i</v>
      </c>
      <c r="T429" s="227" t="str">
        <f t="shared" si="151"/>
        <v>0.00911230447249479-0.121498661858838i</v>
      </c>
      <c r="U429" s="227" t="str">
        <f t="shared" si="152"/>
        <v>-0.191450421803657+0.569429102918199i</v>
      </c>
      <c r="V429" s="227">
        <f t="shared" si="163"/>
        <v>-4.4260978793019579</v>
      </c>
      <c r="W429" s="227">
        <f t="shared" si="164"/>
        <v>-251.41659989282797</v>
      </c>
      <c r="X429" s="227" t="str">
        <f t="shared" si="153"/>
        <v>0.862107193014631-0.11807393456827i</v>
      </c>
      <c r="Y429" s="227" t="str">
        <f t="shared" si="154"/>
        <v>0.105530541884068-5.84348950990873i</v>
      </c>
      <c r="Z429" s="227" t="str">
        <f t="shared" si="155"/>
        <v>-0.336803746176149-2.8396659716798i</v>
      </c>
      <c r="AA429" s="227" t="str">
        <f t="shared" si="156"/>
        <v>-1.7297713083726-0.164661564385051i</v>
      </c>
      <c r="AB429" s="227">
        <f t="shared" si="165"/>
        <v>4.7989507759720738</v>
      </c>
      <c r="AC429" s="227">
        <f t="shared" si="166"/>
        <v>-174.56224676556678</v>
      </c>
      <c r="AD429" s="229">
        <f t="shared" si="167"/>
        <v>-20.479433221659228</v>
      </c>
      <c r="AE429" s="229">
        <f t="shared" si="168"/>
        <v>123.81950648673588</v>
      </c>
      <c r="AF429" s="227">
        <f t="shared" si="157"/>
        <v>-15.680482445687154</v>
      </c>
      <c r="AG429" s="227">
        <f t="shared" si="158"/>
        <v>-50.742740278830908</v>
      </c>
      <c r="AH429" s="229" t="str">
        <f t="shared" si="159"/>
        <v>0.0526689621006078-0.0786180428627995i</v>
      </c>
    </row>
    <row r="430" spans="2:34" x14ac:dyDescent="0.2">
      <c r="B430" s="220"/>
      <c r="I430" s="227">
        <v>426</v>
      </c>
      <c r="J430" s="227">
        <f t="shared" si="147"/>
        <v>5.1535521964097288</v>
      </c>
      <c r="K430" s="227">
        <f t="shared" si="169"/>
        <v>142413.83988197561</v>
      </c>
      <c r="L430" s="227">
        <f t="shared" si="160"/>
        <v>894812.54628545535</v>
      </c>
      <c r="M430" s="227">
        <f t="shared" si="148"/>
        <v>136828.83454975195</v>
      </c>
      <c r="N430" s="227">
        <f>SQRT((ABS(AC430)-171.5+'Small Signal'!C$59)^2)</f>
        <v>73.618960276971166</v>
      </c>
      <c r="O430" s="227">
        <f t="shared" si="161"/>
        <v>51.88732675656064</v>
      </c>
      <c r="P430" s="227">
        <f t="shared" si="162"/>
        <v>15.77175759893513</v>
      </c>
      <c r="Q430" s="227">
        <f t="shared" si="170"/>
        <v>142413.83988197561</v>
      </c>
      <c r="R430" s="227" t="str">
        <f t="shared" si="149"/>
        <v>0.0945666666666667+4.20561896754164i</v>
      </c>
      <c r="S430" s="227" t="str">
        <f t="shared" si="150"/>
        <v>0.0085-0.118888564051791i</v>
      </c>
      <c r="T430" s="227" t="str">
        <f t="shared" si="151"/>
        <v>0.00908528803133235-0.118801482824622i</v>
      </c>
      <c r="U430" s="227" t="str">
        <f t="shared" si="152"/>
        <v>-0.184830274977928+0.556935788794459i</v>
      </c>
      <c r="V430" s="227">
        <f t="shared" si="163"/>
        <v>-4.6301289896704372</v>
      </c>
      <c r="W430" s="227">
        <f t="shared" si="164"/>
        <v>-251.6405433023138</v>
      </c>
      <c r="X430" s="227" t="str">
        <f t="shared" si="153"/>
        <v>0.855774565049394-0.120754731880283i</v>
      </c>
      <c r="Y430" s="227" t="str">
        <f t="shared" si="154"/>
        <v>0.100884556373428-5.71353852465589i</v>
      </c>
      <c r="Z430" s="227" t="str">
        <f t="shared" si="155"/>
        <v>-0.339399963769087-2.7561705850512i</v>
      </c>
      <c r="AA430" s="227" t="str">
        <f t="shared" si="156"/>
        <v>-1.73993289351689-0.148584874991068i</v>
      </c>
      <c r="AB430" s="227">
        <f t="shared" si="165"/>
        <v>4.8422065369671845</v>
      </c>
      <c r="AC430" s="227">
        <f t="shared" si="166"/>
        <v>-175.11896027697117</v>
      </c>
      <c r="AD430" s="229">
        <f t="shared" si="167"/>
        <v>-20.613964135902314</v>
      </c>
      <c r="AE430" s="229">
        <f t="shared" si="168"/>
        <v>123.23163352041053</v>
      </c>
      <c r="AF430" s="227">
        <f t="shared" si="157"/>
        <v>-15.77175759893513</v>
      </c>
      <c r="AG430" s="227">
        <f t="shared" si="158"/>
        <v>-51.88732675656064</v>
      </c>
      <c r="AH430" s="229" t="str">
        <f t="shared" si="159"/>
        <v>0.0510625222544526-0.0779377640828796i</v>
      </c>
    </row>
    <row r="431" spans="2:34" x14ac:dyDescent="0.2">
      <c r="B431" s="220"/>
      <c r="I431" s="227">
        <v>427</v>
      </c>
      <c r="J431" s="227">
        <f t="shared" si="147"/>
        <v>5.1633023189365126</v>
      </c>
      <c r="K431" s="227">
        <f t="shared" si="169"/>
        <v>145647.26003135077</v>
      </c>
      <c r="L431" s="227">
        <f t="shared" si="160"/>
        <v>915128.72425994778</v>
      </c>
      <c r="M431" s="227">
        <f t="shared" si="148"/>
        <v>140135.66754910749</v>
      </c>
      <c r="N431" s="227">
        <f>SQRT((ABS(AC431)-171.5+'Small Signal'!C$59)^2)</f>
        <v>74.182374850708328</v>
      </c>
      <c r="O431" s="227">
        <f t="shared" si="161"/>
        <v>53.033595009957963</v>
      </c>
      <c r="P431" s="227">
        <f t="shared" si="162"/>
        <v>15.861875047050091</v>
      </c>
      <c r="Q431" s="227">
        <f t="shared" si="170"/>
        <v>145647.26003135077</v>
      </c>
      <c r="R431" s="227" t="str">
        <f t="shared" si="149"/>
        <v>0.0945666666666667+4.30110500402175i</v>
      </c>
      <c r="S431" s="227" t="str">
        <f t="shared" si="150"/>
        <v>0.0085-0.116249196318731i</v>
      </c>
      <c r="T431" s="227" t="str">
        <f t="shared" si="151"/>
        <v>0.00905945776696806-0.116164173395466i</v>
      </c>
      <c r="U431" s="227" t="str">
        <f t="shared" si="152"/>
        <v>-0.178501214618859+0.544710149384756i</v>
      </c>
      <c r="V431" s="227">
        <f t="shared" si="163"/>
        <v>-4.8336967279022227</v>
      </c>
      <c r="W431" s="227">
        <f t="shared" si="164"/>
        <v>-251.8560586585196</v>
      </c>
      <c r="X431" s="227" t="str">
        <f t="shared" si="153"/>
        <v>0.849151115700339-0.123496395074799i</v>
      </c>
      <c r="Y431" s="227" t="str">
        <f t="shared" si="154"/>
        <v>0.0964436295025359-5.58648704879668i</v>
      </c>
      <c r="Z431" s="227" t="str">
        <f t="shared" si="155"/>
        <v>-0.341881588949787-2.67407554345701i</v>
      </c>
      <c r="AA431" s="227" t="str">
        <f t="shared" si="156"/>
        <v>-1.75061067362386-0.132170652261307i</v>
      </c>
      <c r="AB431" s="227">
        <f t="shared" si="165"/>
        <v>4.8884768533172176</v>
      </c>
      <c r="AC431" s="227">
        <f t="shared" si="166"/>
        <v>-175.68237485070833</v>
      </c>
      <c r="AD431" s="229">
        <f t="shared" si="167"/>
        <v>-20.75035190036731</v>
      </c>
      <c r="AE431" s="229">
        <f t="shared" si="168"/>
        <v>122.64877984075036</v>
      </c>
      <c r="AF431" s="227">
        <f t="shared" si="157"/>
        <v>-15.861875047050091</v>
      </c>
      <c r="AG431" s="227">
        <f t="shared" si="158"/>
        <v>-53.033595009957963</v>
      </c>
      <c r="AH431" s="229" t="str">
        <f t="shared" si="159"/>
        <v>0.0494839153152249-0.0772308992763792i</v>
      </c>
    </row>
    <row r="432" spans="2:34" x14ac:dyDescent="0.2">
      <c r="B432" s="220"/>
      <c r="I432" s="227">
        <v>428</v>
      </c>
      <c r="J432" s="227">
        <f t="shared" si="147"/>
        <v>5.1730524414632955</v>
      </c>
      <c r="K432" s="227">
        <f t="shared" si="169"/>
        <v>148954.09303070631</v>
      </c>
      <c r="L432" s="227">
        <f t="shared" si="160"/>
        <v>935906.16877479514</v>
      </c>
      <c r="M432" s="227">
        <f t="shared" si="148"/>
        <v>143517.58019282648</v>
      </c>
      <c r="N432" s="227">
        <f>SQRT((ABS(AC432)-171.5+'Small Signal'!C$59)^2)</f>
        <v>74.753462675684546</v>
      </c>
      <c r="O432" s="227">
        <f t="shared" si="161"/>
        <v>54.182311027164346</v>
      </c>
      <c r="P432" s="227">
        <f t="shared" si="162"/>
        <v>15.950681867082601</v>
      </c>
      <c r="Q432" s="227">
        <f t="shared" si="170"/>
        <v>148954.09303070631</v>
      </c>
      <c r="R432" s="227" t="str">
        <f t="shared" si="149"/>
        <v>0.0945666666666667+4.39875899324154i</v>
      </c>
      <c r="S432" s="227" t="str">
        <f t="shared" si="150"/>
        <v>0.0085-0.113668423473126i</v>
      </c>
      <c r="T432" s="227" t="str">
        <f t="shared" si="151"/>
        <v>0.00903476160182225-0.113585405012695i</v>
      </c>
      <c r="U432" s="227" t="str">
        <f t="shared" si="152"/>
        <v>-0.172450424553525+0.532746875736082i</v>
      </c>
      <c r="V432" s="227">
        <f t="shared" si="163"/>
        <v>-5.0368158449111808</v>
      </c>
      <c r="W432" s="227">
        <f t="shared" si="164"/>
        <v>-252.06320741604566</v>
      </c>
      <c r="X432" s="227" t="str">
        <f t="shared" si="153"/>
        <v>0.84222348920462-0.126300306074889i</v>
      </c>
      <c r="Y432" s="227" t="str">
        <f t="shared" si="154"/>
        <v>0.0921986660932706-5.46226976476206i</v>
      </c>
      <c r="Z432" s="227" t="str">
        <f t="shared" si="155"/>
        <v>-0.344253704683093-2.59333874389972i</v>
      </c>
      <c r="AA432" s="227" t="str">
        <f t="shared" si="156"/>
        <v>-1.76183385206614-0.115369757985065i</v>
      </c>
      <c r="AB432" s="227">
        <f t="shared" si="165"/>
        <v>4.9378817101534551</v>
      </c>
      <c r="AC432" s="227">
        <f t="shared" si="166"/>
        <v>-176.25346267568455</v>
      </c>
      <c r="AD432" s="229">
        <f t="shared" si="167"/>
        <v>-20.888563577236056</v>
      </c>
      <c r="AE432" s="229">
        <f t="shared" si="168"/>
        <v>122.0711516485202</v>
      </c>
      <c r="AF432" s="227">
        <f t="shared" si="157"/>
        <v>-15.950681867082601</v>
      </c>
      <c r="AG432" s="227">
        <f t="shared" si="158"/>
        <v>-54.182311027164346</v>
      </c>
      <c r="AH432" s="229" t="str">
        <f t="shared" si="159"/>
        <v>0.0479339734112505-0.0764988372565979i</v>
      </c>
    </row>
    <row r="433" spans="2:34" x14ac:dyDescent="0.2">
      <c r="B433" s="220"/>
      <c r="I433" s="227">
        <v>429</v>
      </c>
      <c r="J433" s="227">
        <f t="shared" si="147"/>
        <v>5.1828025639900792</v>
      </c>
      <c r="K433" s="227">
        <f t="shared" si="169"/>
        <v>152336.00567442531</v>
      </c>
      <c r="L433" s="227">
        <f t="shared" si="160"/>
        <v>957155.35260797513</v>
      </c>
      <c r="M433" s="227">
        <f t="shared" si="148"/>
        <v>146976.27711884986</v>
      </c>
      <c r="N433" s="227">
        <f>SQRT((ABS(AC433)-171.5+'Small Signal'!C$59)^2)</f>
        <v>75.333276009377499</v>
      </c>
      <c r="O433" s="227">
        <f t="shared" si="161"/>
        <v>55.334331783191658</v>
      </c>
      <c r="P433" s="227">
        <f t="shared" si="162"/>
        <v>16.03801627201937</v>
      </c>
      <c r="Q433" s="227">
        <f t="shared" si="170"/>
        <v>152336.00567442531</v>
      </c>
      <c r="R433" s="227" t="str">
        <f t="shared" si="149"/>
        <v>0.0945666666666667+4.49863015725748i</v>
      </c>
      <c r="S433" s="227" t="str">
        <f t="shared" si="150"/>
        <v>0.0085-0.111144944687966i</v>
      </c>
      <c r="T433" s="227" t="str">
        <f t="shared" si="151"/>
        <v>0.00901114974450986-0.11106387857514i</v>
      </c>
      <c r="U433" s="227" t="str">
        <f t="shared" si="152"/>
        <v>-0.166665654358677+0.52104073517926i</v>
      </c>
      <c r="V433" s="227">
        <f t="shared" si="163"/>
        <v>-5.2395003962531694</v>
      </c>
      <c r="W433" s="227">
        <f t="shared" si="164"/>
        <v>-252.26204985400312</v>
      </c>
      <c r="X433" s="227" t="str">
        <f t="shared" si="153"/>
        <v>0.834977716445593-0.12916787817935i</v>
      </c>
      <c r="Y433" s="227" t="str">
        <f t="shared" si="154"/>
        <v>0.0881409781956151-5.34082286672516i</v>
      </c>
      <c r="Z433" s="227" t="str">
        <f t="shared" si="155"/>
        <v>-0.346521166320744-2.51391881508582i</v>
      </c>
      <c r="AA433" s="227" t="str">
        <f t="shared" si="156"/>
        <v>-1.77363309582711-0.0981282150708027i</v>
      </c>
      <c r="AB433" s="227">
        <f t="shared" si="165"/>
        <v>4.9905490363700808</v>
      </c>
      <c r="AC433" s="227">
        <f t="shared" si="166"/>
        <v>-176.8332760093775</v>
      </c>
      <c r="AD433" s="229">
        <f t="shared" si="167"/>
        <v>-21.028565308389449</v>
      </c>
      <c r="AE433" s="229">
        <f t="shared" si="168"/>
        <v>121.49894422618584</v>
      </c>
      <c r="AF433" s="227">
        <f t="shared" si="157"/>
        <v>-16.03801627201937</v>
      </c>
      <c r="AG433" s="227">
        <f t="shared" si="158"/>
        <v>-55.334331783191658</v>
      </c>
      <c r="AH433" s="229" t="str">
        <f t="shared" si="159"/>
        <v>0.0464134420328582-0.0757429865027623i</v>
      </c>
    </row>
    <row r="434" spans="2:34" x14ac:dyDescent="0.2">
      <c r="B434" s="220"/>
      <c r="I434" s="227">
        <v>430</v>
      </c>
      <c r="J434" s="227">
        <f t="shared" si="147"/>
        <v>5.1925526865168621</v>
      </c>
      <c r="K434" s="227">
        <f t="shared" si="169"/>
        <v>155794.70260044868</v>
      </c>
      <c r="L434" s="227">
        <f t="shared" si="160"/>
        <v>978886.98631555249</v>
      </c>
      <c r="M434" s="227">
        <f t="shared" si="148"/>
        <v>150513.50166789454</v>
      </c>
      <c r="N434" s="227">
        <f>SQRT((ABS(AC434)-171.5+'Small Signal'!C$59)^2)</f>
        <v>75.922955883275051</v>
      </c>
      <c r="O434" s="227">
        <f t="shared" si="161"/>
        <v>56.490614069919246</v>
      </c>
      <c r="P434" s="227">
        <f t="shared" si="162"/>
        <v>16.12370737325617</v>
      </c>
      <c r="Q434" s="227">
        <f t="shared" si="170"/>
        <v>155794.70260044868</v>
      </c>
      <c r="R434" s="227" t="str">
        <f t="shared" si="149"/>
        <v>0.0945666666666667+4.6007688356831i</v>
      </c>
      <c r="S434" s="227" t="str">
        <f t="shared" si="150"/>
        <v>0.0085-0.108677488015058i</v>
      </c>
      <c r="T434" s="227" t="str">
        <f t="shared" si="151"/>
        <v>0.00898857458949457-0.108598323787582i</v>
      </c>
      <c r="U434" s="227" t="str">
        <f t="shared" si="152"/>
        <v>-0.161135194261031+0.509586572376836i</v>
      </c>
      <c r="V434" s="227">
        <f t="shared" si="163"/>
        <v>-5.4417637545674902</v>
      </c>
      <c r="W434" s="227">
        <f t="shared" si="164"/>
        <v>-252.45264495470821</v>
      </c>
      <c r="X434" s="227" t="str">
        <f t="shared" si="153"/>
        <v>0.82739918678498-0.132100556775077i</v>
      </c>
      <c r="Y434" s="227" t="str">
        <f t="shared" si="154"/>
        <v>0.0842622665279616-5.22208402302809i</v>
      </c>
      <c r="Z434" s="227" t="str">
        <f t="shared" si="155"/>
        <v>-0.34868861197741-2.43577509350879i</v>
      </c>
      <c r="AA434" s="227" t="str">
        <f t="shared" si="156"/>
        <v>-1.78604054043268-0.0803865763869289i</v>
      </c>
      <c r="AB434" s="227">
        <f t="shared" si="165"/>
        <v>5.0466150429578915</v>
      </c>
      <c r="AC434" s="227">
        <f t="shared" si="166"/>
        <v>-177.42295588327505</v>
      </c>
      <c r="AD434" s="229">
        <f t="shared" si="167"/>
        <v>-21.170322416214063</v>
      </c>
      <c r="AE434" s="229">
        <f t="shared" si="168"/>
        <v>120.93234181335581</v>
      </c>
      <c r="AF434" s="227">
        <f t="shared" si="157"/>
        <v>-16.12370737325617</v>
      </c>
      <c r="AG434" s="227">
        <f t="shared" si="158"/>
        <v>-56.490614069919246</v>
      </c>
      <c r="AH434" s="229" t="str">
        <f t="shared" si="159"/>
        <v>0.0449229805267625-0.0749647691438018i</v>
      </c>
    </row>
    <row r="435" spans="2:34" x14ac:dyDescent="0.2">
      <c r="B435" s="220"/>
      <c r="I435" s="227">
        <v>431</v>
      </c>
      <c r="J435" s="227">
        <f t="shared" si="147"/>
        <v>5.2023028090436458</v>
      </c>
      <c r="K435" s="227">
        <f t="shared" si="169"/>
        <v>159331.92714949336</v>
      </c>
      <c r="L435" s="227">
        <f t="shared" si="160"/>
        <v>1001112.023630305</v>
      </c>
      <c r="M435" s="227">
        <f t="shared" si="148"/>
        <v>154131.03676217262</v>
      </c>
      <c r="N435" s="227">
        <f>SQRT((ABS(AC435)-171.5+'Small Signal'!C$59)^2)</f>
        <v>76.523741946760538</v>
      </c>
      <c r="O435" s="227">
        <f t="shared" si="161"/>
        <v>57.652224419061724</v>
      </c>
      <c r="P435" s="227">
        <f t="shared" si="162"/>
        <v>16.207574947783097</v>
      </c>
      <c r="Q435" s="227">
        <f t="shared" si="170"/>
        <v>159331.92714949336</v>
      </c>
      <c r="R435" s="227" t="str">
        <f t="shared" si="149"/>
        <v>0.0945666666666667+4.70522651106243i</v>
      </c>
      <c r="S435" s="227" t="str">
        <f t="shared" si="150"/>
        <v>0.0085-0.106264809743899i</v>
      </c>
      <c r="T435" s="227" t="str">
        <f t="shared" si="151"/>
        <v>0.00896699062114582-0.106187498523492i</v>
      </c>
      <c r="U435" s="227" t="str">
        <f t="shared" si="152"/>
        <v>-0.155847851161815+0.498379310165534i</v>
      </c>
      <c r="V435" s="227">
        <f t="shared" si="163"/>
        <v>-5.6436186218762421</v>
      </c>
      <c r="W435" s="227">
        <f t="shared" si="164"/>
        <v>-252.63505029005199</v>
      </c>
      <c r="X435" s="227" t="str">
        <f t="shared" si="153"/>
        <v>0.819472618601447-0.135099820065599i</v>
      </c>
      <c r="Y435" s="227" t="str">
        <f t="shared" si="154"/>
        <v>0.0805546027909638-5.10599233970358i</v>
      </c>
      <c r="Z435" s="227" t="str">
        <f t="shared" si="155"/>
        <v>-0.350760472418123-2.35886760008807i</v>
      </c>
      <c r="AA435" s="227" t="str">
        <f t="shared" si="156"/>
        <v>-1.79908976865565-0.0620792026808461i</v>
      </c>
      <c r="AB435" s="227">
        <f t="shared" si="165"/>
        <v>5.1062245557820871</v>
      </c>
      <c r="AC435" s="227">
        <f t="shared" si="166"/>
        <v>-178.02374194676054</v>
      </c>
      <c r="AD435" s="229">
        <f t="shared" si="167"/>
        <v>-21.313799503565185</v>
      </c>
      <c r="AE435" s="229">
        <f t="shared" si="168"/>
        <v>120.37151752769881</v>
      </c>
      <c r="AF435" s="227">
        <f t="shared" si="157"/>
        <v>-16.207574947783097</v>
      </c>
      <c r="AG435" s="227">
        <f t="shared" si="158"/>
        <v>-57.652224419061724</v>
      </c>
      <c r="AH435" s="229" t="str">
        <f t="shared" si="159"/>
        <v>0.0434631630420891-0.0741656151360176i</v>
      </c>
    </row>
    <row r="436" spans="2:34" x14ac:dyDescent="0.2">
      <c r="I436" s="227">
        <v>432</v>
      </c>
      <c r="J436" s="227">
        <f t="shared" si="147"/>
        <v>5.2120529315704287</v>
      </c>
      <c r="K436" s="227">
        <f t="shared" si="169"/>
        <v>162949.46224377144</v>
      </c>
      <c r="L436" s="227">
        <f t="shared" si="160"/>
        <v>1023841.6669828795</v>
      </c>
      <c r="M436" s="227">
        <f t="shared" si="148"/>
        <v>157830.70580406845</v>
      </c>
      <c r="N436" s="227">
        <f>SQRT((ABS(AC436)-171.5+'Small Signal'!C$59)^2)</f>
        <v>77.136983612500131</v>
      </c>
      <c r="O436" s="227">
        <f t="shared" si="161"/>
        <v>58.820350282785398</v>
      </c>
      <c r="P436" s="227">
        <f t="shared" si="162"/>
        <v>16.2894292178227</v>
      </c>
      <c r="Q436" s="227">
        <f t="shared" si="170"/>
        <v>162949.46224377144</v>
      </c>
      <c r="R436" s="227" t="str">
        <f t="shared" si="149"/>
        <v>0.0945666666666667+4.81205583481953i</v>
      </c>
      <c r="S436" s="227" t="str">
        <f t="shared" si="150"/>
        <v>0.0085-0.1039056937748i</v>
      </c>
      <c r="T436" s="227" t="str">
        <f t="shared" si="151"/>
        <v>0.00894635432200574-0.103830188201788i</v>
      </c>
      <c r="U436" s="227" t="str">
        <f t="shared" si="152"/>
        <v>-0.150792925734301+0.48741395021023i</v>
      </c>
      <c r="V436" s="227">
        <f t="shared" si="163"/>
        <v>-5.8450770416831856</v>
      </c>
      <c r="W436" s="227">
        <f t="shared" si="164"/>
        <v>-252.80932191528714</v>
      </c>
      <c r="X436" s="227" t="str">
        <f t="shared" si="153"/>
        <v>0.8111820284762-0.138167179816161i</v>
      </c>
      <c r="Y436" s="227" t="str">
        <f t="shared" si="154"/>
        <v>0.0770104128115621-4.9924883250496i</v>
      </c>
      <c r="Z436" s="227" t="str">
        <f t="shared" si="155"/>
        <v>-0.352740980481379-2.28315701733893i</v>
      </c>
      <c r="AA436" s="227" t="str">
        <f t="shared" si="156"/>
        <v>-1.8128157537488-0.0431334352812671i</v>
      </c>
      <c r="AB436" s="227">
        <f t="shared" si="165"/>
        <v>5.1695313345555913</v>
      </c>
      <c r="AC436" s="227">
        <f t="shared" si="166"/>
        <v>-178.63698361250013</v>
      </c>
      <c r="AD436" s="229">
        <f t="shared" si="167"/>
        <v>-21.458960552378294</v>
      </c>
      <c r="AE436" s="229">
        <f t="shared" si="168"/>
        <v>119.81663332971473</v>
      </c>
      <c r="AF436" s="227">
        <f t="shared" si="157"/>
        <v>-16.2894292178227</v>
      </c>
      <c r="AG436" s="227">
        <f t="shared" si="158"/>
        <v>-58.820350282785398</v>
      </c>
      <c r="AH436" s="229" t="str">
        <f t="shared" si="159"/>
        <v>0.0420344798967685-0.0733469566689289i</v>
      </c>
    </row>
    <row r="437" spans="2:34" x14ac:dyDescent="0.2">
      <c r="I437" s="227">
        <v>433</v>
      </c>
      <c r="J437" s="227">
        <f t="shared" si="147"/>
        <v>5.2218030540972125</v>
      </c>
      <c r="K437" s="227">
        <f t="shared" si="169"/>
        <v>166649.13128566727</v>
      </c>
      <c r="L437" s="227">
        <f t="shared" si="160"/>
        <v>1047087.3731483466</v>
      </c>
      <c r="M437" s="227">
        <f t="shared" si="148"/>
        <v>161614.37359521509</v>
      </c>
      <c r="N437" s="227">
        <f>SQRT((ABS(AC437)-171.5+'Small Signal'!C$59)^2)</f>
        <v>77.764152691866997</v>
      </c>
      <c r="O437" s="227">
        <f t="shared" si="161"/>
        <v>59.996312662377917</v>
      </c>
      <c r="P437" s="227">
        <f t="shared" si="162"/>
        <v>16.369070653482403</v>
      </c>
      <c r="Q437" s="227">
        <f t="shared" si="170"/>
        <v>166649.13128566727</v>
      </c>
      <c r="R437" s="227" t="str">
        <f t="shared" si="149"/>
        <v>0.0945666666666667+4.92131065379723i</v>
      </c>
      <c r="S437" s="227" t="str">
        <f t="shared" si="150"/>
        <v>0.0085-0.101598951005908i</v>
      </c>
      <c r="T437" s="227" t="str">
        <f t="shared" si="151"/>
        <v>0.00892662408508117-0.10152520517728i</v>
      </c>
      <c r="U437" s="227" t="str">
        <f t="shared" si="152"/>
        <v>-0.145960190545478+0.476685573484873i</v>
      </c>
      <c r="V437" s="227">
        <f t="shared" si="163"/>
        <v>-6.0461504108233015</v>
      </c>
      <c r="W437" s="227">
        <f t="shared" si="164"/>
        <v>-252.97551426995847</v>
      </c>
      <c r="X437" s="227" t="str">
        <f t="shared" si="153"/>
        <v>0.802510698963431-0.141304182115728i</v>
      </c>
      <c r="Y437" s="227" t="str">
        <f t="shared" si="154"/>
        <v>0.0736224604759927-4.88151385521966i</v>
      </c>
      <c r="Z437" s="227" t="str">
        <f t="shared" si="155"/>
        <v>-0.354634180061095-2.20860466705058i</v>
      </c>
      <c r="AA437" s="227" t="str">
        <f t="shared" si="156"/>
        <v>-1.82725475520546-0.023468646991787i</v>
      </c>
      <c r="AB437" s="227">
        <f t="shared" si="165"/>
        <v>5.2366983669739673</v>
      </c>
      <c r="AC437" s="227">
        <f t="shared" si="166"/>
        <v>-179.264152691867</v>
      </c>
      <c r="AD437" s="229">
        <f t="shared" si="167"/>
        <v>-21.605769020456371</v>
      </c>
      <c r="AE437" s="229">
        <f t="shared" si="168"/>
        <v>119.26784002948908</v>
      </c>
      <c r="AF437" s="227">
        <f t="shared" si="157"/>
        <v>-16.369070653482403</v>
      </c>
      <c r="AG437" s="227">
        <f t="shared" si="158"/>
        <v>-59.996312662377917</v>
      </c>
      <c r="AH437" s="229" t="str">
        <f t="shared" si="159"/>
        <v>0.0406373393307108-0.072510222829185i</v>
      </c>
    </row>
    <row r="438" spans="2:34" x14ac:dyDescent="0.2">
      <c r="I438" s="227">
        <v>434</v>
      </c>
      <c r="J438" s="227">
        <f t="shared" si="147"/>
        <v>5.2315531766239953</v>
      </c>
      <c r="K438" s="227">
        <f t="shared" si="169"/>
        <v>170432.79907681391</v>
      </c>
      <c r="L438" s="227">
        <f t="shared" si="160"/>
        <v>1070860.8590209277</v>
      </c>
      <c r="M438" s="227">
        <f t="shared" si="148"/>
        <v>165483.94727643963</v>
      </c>
      <c r="N438" s="227">
        <f>SQRT((ABS(AC438)-171.5+'Small Signal'!C$59)^2)</f>
        <v>78.406857738501401</v>
      </c>
      <c r="O438" s="227">
        <f t="shared" si="161"/>
        <v>61.181580405156282</v>
      </c>
      <c r="P438" s="227">
        <f t="shared" si="162"/>
        <v>16.446289812603396</v>
      </c>
      <c r="Q438" s="227">
        <f t="shared" si="170"/>
        <v>170432.79907681391</v>
      </c>
      <c r="R438" s="227" t="str">
        <f t="shared" si="149"/>
        <v>0.0945666666666667+5.03304603739836i</v>
      </c>
      <c r="S438" s="227" t="str">
        <f t="shared" si="150"/>
        <v>0.0085-0.0993434187338483i</v>
      </c>
      <c r="T438" s="227" t="str">
        <f t="shared" si="151"/>
        <v>0.00890776012998445-0.0992713881445232i</v>
      </c>
      <c r="U438" s="227" t="str">
        <f t="shared" si="152"/>
        <v>-0.141339869155318+0.466189340594911i</v>
      </c>
      <c r="V438" s="227">
        <f t="shared" si="163"/>
        <v>-6.2468494910146184</v>
      </c>
      <c r="W438" s="227">
        <f t="shared" si="164"/>
        <v>-253.13368008571854</v>
      </c>
      <c r="X438" s="227" t="str">
        <f t="shared" si="153"/>
        <v>0.793441144880657-0.144512408156278i</v>
      </c>
      <c r="Y438" s="227" t="str">
        <f t="shared" si="154"/>
        <v>0.0703838324130467-4.77301214078959i</v>
      </c>
      <c r="Z438" s="227" t="str">
        <f t="shared" si="155"/>
        <v>-0.356443934668927-2.13517248844905i</v>
      </c>
      <c r="AA438" s="227" t="str">
        <f t="shared" si="156"/>
        <v>-1.84244415148474-0.00299515195680335i</v>
      </c>
      <c r="AB438" s="227">
        <f t="shared" si="165"/>
        <v>5.307898123400788</v>
      </c>
      <c r="AC438" s="227">
        <f t="shared" si="166"/>
        <v>-179.9068577385014</v>
      </c>
      <c r="AD438" s="229">
        <f t="shared" si="167"/>
        <v>-21.754187936004183</v>
      </c>
      <c r="AE438" s="229">
        <f t="shared" si="168"/>
        <v>118.72527733334512</v>
      </c>
      <c r="AF438" s="227">
        <f t="shared" si="157"/>
        <v>-16.446289812603396</v>
      </c>
      <c r="AG438" s="227">
        <f t="shared" si="158"/>
        <v>-61.181580405156282</v>
      </c>
      <c r="AH438" s="229" t="str">
        <f t="shared" si="159"/>
        <v>0.0392720696104234-0.0716568345479126i</v>
      </c>
    </row>
    <row r="439" spans="2:34" x14ac:dyDescent="0.2">
      <c r="I439" s="227">
        <v>435</v>
      </c>
      <c r="J439" s="227">
        <f t="shared" si="147"/>
        <v>5.2413032991507791</v>
      </c>
      <c r="K439" s="227">
        <f t="shared" si="169"/>
        <v>174302.37275803846</v>
      </c>
      <c r="L439" s="227">
        <f t="shared" si="160"/>
        <v>1095174.1075198466</v>
      </c>
      <c r="M439" s="227">
        <f t="shared" si="148"/>
        <v>169441.37728904776</v>
      </c>
      <c r="N439" s="227">
        <f>SQRT((ABS(AC439)-171.5+'Small Signal'!C$59)^2)</f>
        <v>79.066860352174359</v>
      </c>
      <c r="O439" s="227">
        <f t="shared" si="161"/>
        <v>62.377786424041204</v>
      </c>
      <c r="P439" s="227">
        <f t="shared" si="162"/>
        <v>16.520867236669979</v>
      </c>
      <c r="Q439" s="227">
        <f t="shared" si="170"/>
        <v>174302.37275803846</v>
      </c>
      <c r="R439" s="227" t="str">
        <f t="shared" si="149"/>
        <v>0.0945666666666667+5.14731830534328i</v>
      </c>
      <c r="S439" s="227" t="str">
        <f t="shared" si="150"/>
        <v>0.0085-0.0971379600676653i</v>
      </c>
      <c r="T439" s="227" t="str">
        <f t="shared" si="151"/>
        <v>0.00888972442275412-0.0970676015547818i</v>
      </c>
      <c r="U439" s="227" t="str">
        <f t="shared" si="152"/>
        <v>-0.136922616149235+0.455920491954603i</v>
      </c>
      <c r="V439" s="227">
        <f t="shared" si="163"/>
        <v>-6.4471844200702613</v>
      </c>
      <c r="W439" s="227">
        <f t="shared" si="164"/>
        <v>-253.28387030077008</v>
      </c>
      <c r="X439" s="227" t="str">
        <f t="shared" si="153"/>
        <v>0.783955078050971-0.147793475029796i</v>
      </c>
      <c r="Y439" s="227" t="str">
        <f t="shared" si="154"/>
        <v>0.0672879233906459-4.66692769426604i</v>
      </c>
      <c r="Z439" s="227" t="str">
        <f t="shared" si="155"/>
        <v>-0.358173935597713-2.06282301682375i</v>
      </c>
      <c r="AA439" s="227" t="str">
        <f t="shared" si="156"/>
        <v>-1.85842218952374+0.0183870476891018i</v>
      </c>
      <c r="AB439" s="227">
        <f t="shared" si="165"/>
        <v>5.3833127528501095</v>
      </c>
      <c r="AC439" s="227">
        <f t="shared" si="166"/>
        <v>-180.56686035217436</v>
      </c>
      <c r="AD439" s="229">
        <f t="shared" si="167"/>
        <v>-21.904179989520088</v>
      </c>
      <c r="AE439" s="229">
        <f t="shared" si="168"/>
        <v>118.18907392813315</v>
      </c>
      <c r="AF439" s="227">
        <f t="shared" si="157"/>
        <v>-16.520867236669979</v>
      </c>
      <c r="AG439" s="227">
        <f t="shared" si="158"/>
        <v>-62.377786424041204</v>
      </c>
      <c r="AH439" s="229" t="str">
        <f t="shared" si="159"/>
        <v>0.0379389214485991-0.0707881998523966i</v>
      </c>
    </row>
    <row r="440" spans="2:34" x14ac:dyDescent="0.2">
      <c r="I440" s="227">
        <v>436</v>
      </c>
      <c r="J440" s="227">
        <f t="shared" si="147"/>
        <v>5.2510534216775619</v>
      </c>
      <c r="K440" s="227">
        <f t="shared" si="169"/>
        <v>178259.80277064658</v>
      </c>
      <c r="L440" s="227">
        <f t="shared" si="160"/>
        <v>1120039.3736292575</v>
      </c>
      <c r="M440" s="227">
        <f t="shared" si="148"/>
        <v>173488.65835793805</v>
      </c>
      <c r="N440" s="227">
        <f>SQRT((ABS(AC440)-171.5+'Small Signal'!C$59)^2)</f>
        <v>79.746093734308886</v>
      </c>
      <c r="O440" s="227">
        <f t="shared" si="161"/>
        <v>63.586746133560339</v>
      </c>
      <c r="P440" s="227">
        <f t="shared" si="162"/>
        <v>16.592573427677703</v>
      </c>
      <c r="Q440" s="227">
        <f t="shared" si="170"/>
        <v>178259.80277064658</v>
      </c>
      <c r="R440" s="227" t="str">
        <f t="shared" si="149"/>
        <v>0.0945666666666667+5.26418505605751i</v>
      </c>
      <c r="S440" s="227" t="str">
        <f t="shared" si="150"/>
        <v>0.0085-0.0949814633557857i</v>
      </c>
      <c r="T440" s="227" t="str">
        <f t="shared" si="151"/>
        <v>0.00887248059919418-0.0949127350458359i</v>
      </c>
      <c r="U440" s="227" t="str">
        <f t="shared" si="152"/>
        <v>-0.132699498061474+0.445874347831703i</v>
      </c>
      <c r="V440" s="227">
        <f t="shared" si="163"/>
        <v>-6.647164722730933</v>
      </c>
      <c r="W440" s="227">
        <f t="shared" si="164"/>
        <v>-253.42613398068141</v>
      </c>
      <c r="X440" s="227" t="str">
        <f t="shared" si="153"/>
        <v>0.774033370426099-0.151149036543364i</v>
      </c>
      <c r="Y440" s="227" t="str">
        <f t="shared" si="154"/>
        <v>0.0643284223909388-4.56320629850272i</v>
      </c>
      <c r="Z440" s="227" t="str">
        <f t="shared" si="155"/>
        <v>-0.359827709705488-1.99151936259668i</v>
      </c>
      <c r="AA440" s="227" t="str">
        <f t="shared" si="156"/>
        <v>-1.87522762488133+0.040789703889212i</v>
      </c>
      <c r="AB440" s="227">
        <f t="shared" si="165"/>
        <v>5.463134195022735</v>
      </c>
      <c r="AC440" s="227">
        <f t="shared" si="166"/>
        <v>-181.24609373430889</v>
      </c>
      <c r="AD440" s="229">
        <f t="shared" si="167"/>
        <v>-22.055707622700439</v>
      </c>
      <c r="AE440" s="229">
        <f t="shared" si="168"/>
        <v>117.65934760074855</v>
      </c>
      <c r="AF440" s="227">
        <f t="shared" si="157"/>
        <v>-16.592573427677703</v>
      </c>
      <c r="AG440" s="227">
        <f t="shared" si="158"/>
        <v>-63.586746133560339</v>
      </c>
      <c r="AH440" s="229" t="str">
        <f t="shared" si="159"/>
        <v>0.0366380707015857-0.0699057094385667i</v>
      </c>
    </row>
    <row r="441" spans="2:34" x14ac:dyDescent="0.2">
      <c r="I441" s="227">
        <v>437</v>
      </c>
      <c r="J441" s="227">
        <f t="shared" si="147"/>
        <v>5.2608035442043457</v>
      </c>
      <c r="K441" s="227">
        <f t="shared" si="169"/>
        <v>182307.08383953688</v>
      </c>
      <c r="L441" s="227">
        <f t="shared" si="160"/>
        <v>1145469.1905753352</v>
      </c>
      <c r="M441" s="227">
        <f t="shared" si="148"/>
        <v>177627.83049703008</v>
      </c>
      <c r="N441" s="227">
        <f>SQRT((ABS(AC441)-171.5+'Small Signal'!C$59)^2)</f>
        <v>80.446683831276999</v>
      </c>
      <c r="O441" s="227">
        <f t="shared" si="161"/>
        <v>64.810478440908099</v>
      </c>
      <c r="P441" s="227">
        <f t="shared" si="162"/>
        <v>16.661168938653176</v>
      </c>
      <c r="Q441" s="227">
        <f t="shared" si="170"/>
        <v>182307.08383953688</v>
      </c>
      <c r="R441" s="227" t="str">
        <f t="shared" si="149"/>
        <v>0.0945666666666667+5.38370519570408i</v>
      </c>
      <c r="S441" s="227" t="str">
        <f t="shared" si="150"/>
        <v>0.0085-0.0928728416256842i</v>
      </c>
      <c r="T441" s="227" t="str">
        <f t="shared" si="151"/>
        <v>0.0088559938915774-0.0928057028843239i</v>
      </c>
      <c r="U441" s="227" t="str">
        <f t="shared" si="152"/>
        <v>-0.12866197514905+0.436046308270971i</v>
      </c>
      <c r="V441" s="227">
        <f t="shared" si="163"/>
        <v>-6.8467993210843847</v>
      </c>
      <c r="W441" s="227">
        <f t="shared" si="164"/>
        <v>-253.56051824533168</v>
      </c>
      <c r="X441" s="227" t="str">
        <f t="shared" si="153"/>
        <v>0.763656015515905-0.154580784052757i</v>
      </c>
      <c r="Y441" s="227" t="str">
        <f t="shared" si="154"/>
        <v>0.0614992993308905-4.46179497599229i</v>
      </c>
      <c r="Z441" s="227" t="str">
        <f t="shared" si="155"/>
        <v>-0.361408626838557-1.9212251908149i</v>
      </c>
      <c r="AA441" s="227" t="str">
        <f t="shared" si="156"/>
        <v>-1.89289921860396+0.0643379825666172i</v>
      </c>
      <c r="AB441" s="227">
        <f t="shared" si="165"/>
        <v>5.5475641754000886</v>
      </c>
      <c r="AC441" s="227">
        <f t="shared" si="166"/>
        <v>-181.946683831277</v>
      </c>
      <c r="AD441" s="229">
        <f t="shared" si="167"/>
        <v>-22.208733114053267</v>
      </c>
      <c r="AE441" s="229">
        <f t="shared" si="168"/>
        <v>117.1362053903689</v>
      </c>
      <c r="AF441" s="227">
        <f t="shared" si="157"/>
        <v>-16.661168938653176</v>
      </c>
      <c r="AG441" s="227">
        <f t="shared" si="158"/>
        <v>-64.810478440908099</v>
      </c>
      <c r="AH441" s="229" t="str">
        <f t="shared" si="159"/>
        <v>0.0353696213075746-0.0690107325764914i</v>
      </c>
    </row>
    <row r="442" spans="2:34" x14ac:dyDescent="0.2">
      <c r="I442" s="227">
        <v>438</v>
      </c>
      <c r="J442" s="227">
        <f t="shared" si="147"/>
        <v>5.2705536667311286</v>
      </c>
      <c r="K442" s="227">
        <f t="shared" si="169"/>
        <v>186446.25597862891</v>
      </c>
      <c r="L442" s="227">
        <f t="shared" si="160"/>
        <v>1171476.3761435652</v>
      </c>
      <c r="M442" s="227">
        <f t="shared" si="148"/>
        <v>181860.98003752783</v>
      </c>
      <c r="N442" s="227">
        <f>SQRT((ABS(AC442)-171.5+'Small Signal'!C$59)^2)</f>
        <v>81.170973452313234</v>
      </c>
      <c r="O442" s="227">
        <f t="shared" si="161"/>
        <v>66.051229681505077</v>
      </c>
      <c r="P442" s="227">
        <f t="shared" si="162"/>
        <v>16.7264046205784</v>
      </c>
      <c r="Q442" s="227">
        <f t="shared" si="170"/>
        <v>186446.25597862891</v>
      </c>
      <c r="R442" s="227" t="str">
        <f t="shared" si="149"/>
        <v>0.0945666666666667+5.50593896787476i</v>
      </c>
      <c r="S442" s="227" t="str">
        <f t="shared" si="150"/>
        <v>0.0085-0.0908110320360119i</v>
      </c>
      <c r="T442" s="227" t="str">
        <f t="shared" si="151"/>
        <v>0.00884023105856555-0.0907454434203896i</v>
      </c>
      <c r="U442" s="227" t="str">
        <f t="shared" si="152"/>
        <v>-0.124801883977847+0.426431852907399i</v>
      </c>
      <c r="V442" s="227">
        <f t="shared" si="163"/>
        <v>-7.0460965445363968</v>
      </c>
      <c r="W442" s="227">
        <f t="shared" si="164"/>
        <v>-253.68706820174953</v>
      </c>
      <c r="X442" s="227" t="str">
        <f t="shared" si="153"/>
        <v>0.752802088046589-0.158090447314955i</v>
      </c>
      <c r="Y442" s="227" t="str">
        <f t="shared" si="154"/>
        <v>0.0587947923971154-4.36264195900321i</v>
      </c>
      <c r="Z442" s="227" t="str">
        <f t="shared" si="155"/>
        <v>-0.362919906911111-1.85190470104708i</v>
      </c>
      <c r="AA442" s="227" t="str">
        <f t="shared" si="156"/>
        <v>-1.9114750468438+0.0891723743007281i</v>
      </c>
      <c r="AB442" s="227">
        <f t="shared" si="165"/>
        <v>5.6368140403845732</v>
      </c>
      <c r="AC442" s="227">
        <f t="shared" si="166"/>
        <v>-182.67097345231323</v>
      </c>
      <c r="AD442" s="229">
        <f t="shared" si="167"/>
        <v>-22.363218660962975</v>
      </c>
      <c r="AE442" s="229">
        <f t="shared" si="168"/>
        <v>116.61974377080816</v>
      </c>
      <c r="AF442" s="227">
        <f t="shared" si="157"/>
        <v>-16.7264046205784</v>
      </c>
      <c r="AG442" s="227">
        <f t="shared" si="158"/>
        <v>-66.051229681505077</v>
      </c>
      <c r="AH442" s="229" t="str">
        <f t="shared" si="159"/>
        <v>0.0341336084286931-0.0681046133569854i</v>
      </c>
    </row>
    <row r="443" spans="2:34" x14ac:dyDescent="0.2">
      <c r="I443" s="227">
        <v>439</v>
      </c>
      <c r="J443" s="227">
        <f t="shared" si="147"/>
        <v>5.2803037892579123</v>
      </c>
      <c r="K443" s="227">
        <f t="shared" si="169"/>
        <v>190679.40551912665</v>
      </c>
      <c r="L443" s="227">
        <f t="shared" si="160"/>
        <v>1198074.0391395148</v>
      </c>
      <c r="M443" s="227">
        <f t="shared" si="148"/>
        <v>186190.24067952356</v>
      </c>
      <c r="N443" s="227">
        <f>SQRT((ABS(AC443)-171.5+'Small Signal'!C$59)^2)</f>
        <v>81.92154980567696</v>
      </c>
      <c r="O443" s="227">
        <f t="shared" si="161"/>
        <v>67.311500945321569</v>
      </c>
      <c r="P443" s="227">
        <f t="shared" si="162"/>
        <v>16.788022081489267</v>
      </c>
      <c r="Q443" s="227">
        <f t="shared" si="170"/>
        <v>190679.40551912665</v>
      </c>
      <c r="R443" s="227" t="str">
        <f t="shared" si="149"/>
        <v>0.0945666666666667+5.63094798395572i</v>
      </c>
      <c r="S443" s="227" t="str">
        <f t="shared" si="150"/>
        <v>0.0085-0.0887949953408651i</v>
      </c>
      <c r="T443" s="227" t="str">
        <f t="shared" si="151"/>
        <v>0.00882516031820487-0.0887309185543213i</v>
      </c>
      <c r="U443" s="227" t="str">
        <f t="shared" si="152"/>
        <v>-0.121111420784104+0.417026540678787i</v>
      </c>
      <c r="V443" s="227">
        <f t="shared" si="163"/>
        <v>-7.2450641393102613</v>
      </c>
      <c r="W443" s="227">
        <f t="shared" si="164"/>
        <v>-253.80582688262109</v>
      </c>
      <c r="X443" s="227" t="str">
        <f t="shared" si="153"/>
        <v>0.741449701766204-0.16167979536003i</v>
      </c>
      <c r="Y443" s="227" t="str">
        <f t="shared" si="154"/>
        <v>0.0562093959651817-4.26569666053124i</v>
      </c>
      <c r="Z443" s="227" t="str">
        <f t="shared" si="155"/>
        <v>-0.364364626658006-1.7835226076656i</v>
      </c>
      <c r="AA443" s="227" t="str">
        <f t="shared" si="156"/>
        <v>-1.93099156619502+0.115450892562412i</v>
      </c>
      <c r="AB443" s="227">
        <f t="shared" si="165"/>
        <v>5.7311043764995002</v>
      </c>
      <c r="AC443" s="227">
        <f t="shared" si="166"/>
        <v>-183.42154980567696</v>
      </c>
      <c r="AD443" s="229">
        <f t="shared" si="167"/>
        <v>-22.519126457988769</v>
      </c>
      <c r="AE443" s="229">
        <f t="shared" si="168"/>
        <v>116.11004886035539</v>
      </c>
      <c r="AF443" s="227">
        <f t="shared" si="157"/>
        <v>-16.788022081489267</v>
      </c>
      <c r="AG443" s="227">
        <f t="shared" si="158"/>
        <v>-67.311500945321569</v>
      </c>
      <c r="AH443" s="229" t="str">
        <f t="shared" si="159"/>
        <v>0.0329300017610097-0.0671886672835858i</v>
      </c>
    </row>
    <row r="444" spans="2:34" x14ac:dyDescent="0.2">
      <c r="I444" s="227">
        <v>440</v>
      </c>
      <c r="J444" s="227">
        <f t="shared" si="147"/>
        <v>5.290053911784697</v>
      </c>
      <c r="K444" s="227">
        <f t="shared" si="169"/>
        <v>195008.66616112238</v>
      </c>
      <c r="L444" s="227">
        <f t="shared" si="160"/>
        <v>1225275.5859962532</v>
      </c>
      <c r="M444" s="227">
        <f t="shared" si="148"/>
        <v>190617.79456747894</v>
      </c>
      <c r="N444" s="227">
        <f>SQRT((ABS(AC444)-171.5+'Small Signal'!C$59)^2)</f>
        <v>82.701275959201695</v>
      </c>
      <c r="O444" s="227">
        <f t="shared" si="161"/>
        <v>68.594079302771078</v>
      </c>
      <c r="P444" s="227">
        <f t="shared" si="162"/>
        <v>16.845754430338527</v>
      </c>
      <c r="Q444" s="227">
        <f t="shared" si="170"/>
        <v>195008.66616112238</v>
      </c>
      <c r="R444" s="227" t="str">
        <f t="shared" si="149"/>
        <v>0.0945666666666667+5.75879525418239i</v>
      </c>
      <c r="S444" s="227" t="str">
        <f t="shared" si="150"/>
        <v>0.0085-0.0868237153659645i</v>
      </c>
      <c r="T444" s="227" t="str">
        <f t="shared" si="151"/>
        <v>0.0088107512838624-0.0867611132149663i</v>
      </c>
      <c r="U444" s="227" t="str">
        <f t="shared" si="152"/>
        <v>-0.117583125576429+0.407826009447197i</v>
      </c>
      <c r="V444" s="227">
        <f t="shared" si="163"/>
        <v>-7.4437092774424718</v>
      </c>
      <c r="W444" s="227">
        <f t="shared" si="164"/>
        <v>-253.91683519025031</v>
      </c>
      <c r="X444" s="227" t="str">
        <f t="shared" si="153"/>
        <v>0.729575965312426-0.165350637382809i</v>
      </c>
      <c r="Y444" s="227" t="str">
        <f t="shared" si="154"/>
        <v>0.0537378490754381-4.17090964603923i</v>
      </c>
      <c r="Z444" s="227" t="str">
        <f t="shared" si="155"/>
        <v>-0.365745726076404-1.7160441204973i</v>
      </c>
      <c r="AA444" s="227" t="str">
        <f t="shared" si="156"/>
        <v>-1.95148236075619+0.143351599815431i</v>
      </c>
      <c r="AB444" s="227">
        <f t="shared" si="165"/>
        <v>5.8306643408833834</v>
      </c>
      <c r="AC444" s="227">
        <f t="shared" si="166"/>
        <v>-184.20127595920169</v>
      </c>
      <c r="AD444" s="229">
        <f t="shared" si="167"/>
        <v>-22.676418771221911</v>
      </c>
      <c r="AE444" s="229">
        <f t="shared" si="168"/>
        <v>115.60719665643062</v>
      </c>
      <c r="AF444" s="227">
        <f t="shared" si="157"/>
        <v>-16.845754430338527</v>
      </c>
      <c r="AG444" s="227">
        <f t="shared" si="158"/>
        <v>-68.594079302771078</v>
      </c>
      <c r="AH444" s="229" t="str">
        <f t="shared" si="159"/>
        <v>0.0317587089776003-0.0662641782105746i</v>
      </c>
    </row>
    <row r="445" spans="2:34" x14ac:dyDescent="0.2">
      <c r="I445" s="227">
        <v>441</v>
      </c>
      <c r="J445" s="227">
        <f t="shared" si="147"/>
        <v>5.2998040343114798</v>
      </c>
      <c r="K445" s="227">
        <f t="shared" si="169"/>
        <v>199436.22004907776</v>
      </c>
      <c r="L445" s="227">
        <f t="shared" si="160"/>
        <v>1253094.7275318003</v>
      </c>
      <c r="M445" s="227">
        <f t="shared" si="148"/>
        <v>195145.87339012974</v>
      </c>
      <c r="N445" s="227">
        <f>SQRT((ABS(AC445)-171.5+'Small Signal'!C$59)^2)</f>
        <v>83.513326798483945</v>
      </c>
      <c r="O445" s="227">
        <f t="shared" si="161"/>
        <v>69.902073506073776</v>
      </c>
      <c r="P445" s="227">
        <f t="shared" si="162"/>
        <v>16.899327399990543</v>
      </c>
      <c r="Q445" s="227">
        <f t="shared" si="170"/>
        <v>199436.22004907776</v>
      </c>
      <c r="R445" s="227" t="str">
        <f t="shared" si="149"/>
        <v>0.0945666666666667+5.88954521939946i</v>
      </c>
      <c r="S445" s="227" t="str">
        <f t="shared" si="150"/>
        <v>0.0085-0.0848961984964578i</v>
      </c>
      <c r="T445" s="227" t="str">
        <f t="shared" si="151"/>
        <v>0.00879697490297388-0.0848350348496349i</v>
      </c>
      <c r="U445" s="227" t="str">
        <f t="shared" si="152"/>
        <v>-0.114209866944888+0.398825975537571i</v>
      </c>
      <c r="V445" s="227">
        <f t="shared" si="163"/>
        <v>-7.6420385652563461</v>
      </c>
      <c r="W445" s="227">
        <f t="shared" si="164"/>
        <v>-254.02013184577027</v>
      </c>
      <c r="X445" s="227" t="str">
        <f t="shared" si="153"/>
        <v>0.717156936053588-0.169104823654794i</v>
      </c>
      <c r="Y445" s="227" t="str">
        <f t="shared" si="154"/>
        <v>0.0513751244385277-4.07823260595686i</v>
      </c>
      <c r="Z445" s="227" t="str">
        <f t="shared" si="155"/>
        <v>-0.367066014571232-1.64943492582549i</v>
      </c>
      <c r="AA445" s="227" t="str">
        <f t="shared" si="156"/>
        <v>-1.97297647491851+0.17307550442397i</v>
      </c>
      <c r="AB445" s="227">
        <f t="shared" si="165"/>
        <v>5.9357306085757946</v>
      </c>
      <c r="AC445" s="227">
        <f t="shared" si="166"/>
        <v>-185.01332679848394</v>
      </c>
      <c r="AD445" s="229">
        <f t="shared" si="167"/>
        <v>-22.835058008566339</v>
      </c>
      <c r="AE445" s="229">
        <f t="shared" si="168"/>
        <v>115.11125329241017</v>
      </c>
      <c r="AF445" s="227">
        <f t="shared" si="157"/>
        <v>-16.899327399990543</v>
      </c>
      <c r="AG445" s="227">
        <f t="shared" si="158"/>
        <v>-69.902073506073776</v>
      </c>
      <c r="AH445" s="229" t="str">
        <f t="shared" si="159"/>
        <v>0.0306195792713236-0.0653323956244421i</v>
      </c>
    </row>
    <row r="446" spans="2:34" x14ac:dyDescent="0.2">
      <c r="I446" s="227">
        <v>442</v>
      </c>
      <c r="J446" s="227">
        <f t="shared" si="147"/>
        <v>5.3095541568382636</v>
      </c>
      <c r="K446" s="227">
        <f t="shared" si="169"/>
        <v>203964.29887172856</v>
      </c>
      <c r="L446" s="227">
        <f t="shared" si="160"/>
        <v>1281545.4858600309</v>
      </c>
      <c r="M446" s="227">
        <f t="shared" si="148"/>
        <v>199776.75950535233</v>
      </c>
      <c r="N446" s="227">
        <f>SQRT((ABS(AC446)-171.5+'Small Signal'!C$59)^2)</f>
        <v>84.36123012522981</v>
      </c>
      <c r="O446" s="227">
        <f t="shared" si="161"/>
        <v>71.238954811230968</v>
      </c>
      <c r="P446" s="227">
        <f t="shared" si="162"/>
        <v>16.948460971888721</v>
      </c>
      <c r="Q446" s="227">
        <f t="shared" si="170"/>
        <v>203964.29887172856</v>
      </c>
      <c r="R446" s="227" t="str">
        <f t="shared" si="149"/>
        <v>0.0945666666666667+6.02326378354214i</v>
      </c>
      <c r="S446" s="227" t="str">
        <f t="shared" si="150"/>
        <v>0.0085-0.0830114731760861i</v>
      </c>
      <c r="T446" s="227" t="str">
        <f t="shared" si="151"/>
        <v>0.00878380339847991-0.0829517129252503i</v>
      </c>
      <c r="U446" s="227" t="str">
        <f t="shared" si="152"/>
        <v>-0.110984827545377+0.390022233201474i</v>
      </c>
      <c r="V446" s="227">
        <f t="shared" si="163"/>
        <v>-7.8400580512918729</v>
      </c>
      <c r="W446" s="227">
        <f t="shared" si="164"/>
        <v>-254.11575334341518</v>
      </c>
      <c r="X446" s="227" t="str">
        <f t="shared" si="153"/>
        <v>0.704167571809879-0.172944246456785i</v>
      </c>
      <c r="Y446" s="227" t="str">
        <f t="shared" si="154"/>
        <v>0.0491164179453421-3.98761832891595i</v>
      </c>
      <c r="Z446" s="227" t="str">
        <f t="shared" si="155"/>
        <v>-0.368328176818631-1.58366116772739i</v>
      </c>
      <c r="AA446" s="227" t="str">
        <f t="shared" si="156"/>
        <v>-1.99549620735862+0.20484987211141i</v>
      </c>
      <c r="AB446" s="227">
        <f t="shared" si="165"/>
        <v>6.0465458139559223</v>
      </c>
      <c r="AC446" s="227">
        <f t="shared" si="166"/>
        <v>-185.86123012522981</v>
      </c>
      <c r="AD446" s="229">
        <f t="shared" si="167"/>
        <v>-22.995006785844645</v>
      </c>
      <c r="AE446" s="229">
        <f t="shared" si="168"/>
        <v>114.62227531399884</v>
      </c>
      <c r="AF446" s="227">
        <f t="shared" si="157"/>
        <v>-16.948460971888721</v>
      </c>
      <c r="AG446" s="227">
        <f t="shared" si="158"/>
        <v>-71.238954811230968</v>
      </c>
      <c r="AH446" s="229" t="str">
        <f t="shared" si="159"/>
        <v>0.0295124069656917-0.0643945322632343i</v>
      </c>
    </row>
    <row r="447" spans="2:34" x14ac:dyDescent="0.2">
      <c r="I447" s="227">
        <v>443</v>
      </c>
      <c r="J447" s="227">
        <f t="shared" si="147"/>
        <v>5.3193042793650465</v>
      </c>
      <c r="K447" s="227">
        <f t="shared" si="169"/>
        <v>208595.18498695115</v>
      </c>
      <c r="L447" s="227">
        <f t="shared" si="160"/>
        <v>1310642.2014584192</v>
      </c>
      <c r="M447" s="227">
        <f t="shared" si="148"/>
        <v>204512.78709058184</v>
      </c>
      <c r="N447" s="227">
        <f>SQRT((ABS(AC447)-171.5+'Small Signal'!C$59)^2)</f>
        <v>85.248913605253705</v>
      </c>
      <c r="O447" s="227">
        <f t="shared" si="161"/>
        <v>72.608603632671759</v>
      </c>
      <c r="P447" s="227">
        <f t="shared" si="162"/>
        <v>16.992871661377713</v>
      </c>
      <c r="Q447" s="227">
        <f t="shared" si="170"/>
        <v>208595.18498695115</v>
      </c>
      <c r="R447" s="227" t="str">
        <f t="shared" si="149"/>
        <v>0.0945666666666667+6.16001834685457i</v>
      </c>
      <c r="S447" s="227" t="str">
        <f t="shared" si="150"/>
        <v>0.0085-0.0811685894174831i</v>
      </c>
      <c r="T447" s="227" t="str">
        <f t="shared" si="151"/>
        <v>0.00877121021283249-0.0811101984405161i</v>
      </c>
      <c r="U447" s="227" t="str">
        <f t="shared" si="152"/>
        <v>-0.107901490228932+0.381410654013351i</v>
      </c>
      <c r="V447" s="227">
        <f t="shared" si="163"/>
        <v>-8.0377732336720946</v>
      </c>
      <c r="W447" s="227">
        <f t="shared" si="164"/>
        <v>-254.20373390967458</v>
      </c>
      <c r="X447" s="227" t="str">
        <f t="shared" si="153"/>
        <v>0.690581680357402-0.176870841032672i</v>
      </c>
      <c r="Y447" s="227" t="str">
        <f t="shared" si="154"/>
        <v>0.0469571386574242-3.8990206756959i</v>
      </c>
      <c r="Z447" s="227" t="str">
        <f t="shared" si="155"/>
        <v>-0.369534778360728-1.51868942973113i</v>
      </c>
      <c r="AA447" s="227" t="str">
        <f t="shared" si="156"/>
        <v>-2.01905420483807+0.238931993207933i</v>
      </c>
      <c r="AB447" s="227">
        <f t="shared" si="165"/>
        <v>6.1633563272894412</v>
      </c>
      <c r="AC447" s="227">
        <f t="shared" si="166"/>
        <v>-186.7489136052537</v>
      </c>
      <c r="AD447" s="229">
        <f t="shared" si="167"/>
        <v>-23.156227988667155</v>
      </c>
      <c r="AE447" s="229">
        <f t="shared" si="168"/>
        <v>114.14030997258195</v>
      </c>
      <c r="AF447" s="227">
        <f t="shared" si="157"/>
        <v>-16.992871661377713</v>
      </c>
      <c r="AG447" s="227">
        <f t="shared" si="158"/>
        <v>-72.608603632671759</v>
      </c>
      <c r="AH447" s="229" t="str">
        <f t="shared" si="159"/>
        <v>0.0284369351641863-0.0634517620656001i</v>
      </c>
    </row>
    <row r="448" spans="2:34" x14ac:dyDescent="0.2">
      <c r="I448" s="227">
        <v>444</v>
      </c>
      <c r="J448" s="227">
        <f t="shared" si="147"/>
        <v>5.3290544018918302</v>
      </c>
      <c r="K448" s="227">
        <f t="shared" si="169"/>
        <v>213331.21257218067</v>
      </c>
      <c r="L448" s="227">
        <f t="shared" si="160"/>
        <v>1340399.5403963306</v>
      </c>
      <c r="M448" s="227">
        <f t="shared" si="148"/>
        <v>209356.34331933872</v>
      </c>
      <c r="N448" s="227">
        <f>SQRT((ABS(AC448)-171.5+'Small Signal'!C$59)^2)</f>
        <v>86.180758332566029</v>
      </c>
      <c r="O448" s="227">
        <f t="shared" si="161"/>
        <v>74.015362799506704</v>
      </c>
      <c r="P448" s="227">
        <f t="shared" si="162"/>
        <v>17.032275669773082</v>
      </c>
      <c r="Q448" s="227">
        <f t="shared" si="170"/>
        <v>213331.21257218067</v>
      </c>
      <c r="R448" s="227" t="str">
        <f t="shared" si="149"/>
        <v>0.0945666666666667+6.29987783986275i</v>
      </c>
      <c r="S448" s="227" t="str">
        <f t="shared" si="150"/>
        <v>0.0085-0.0793666183233313i</v>
      </c>
      <c r="T448" s="227" t="str">
        <f t="shared" si="151"/>
        <v>0.0087591699544592-0.0793095634488346i</v>
      </c>
      <c r="U448" s="227" t="str">
        <f t="shared" si="152"/>
        <v>-0.104953624786987+0.372987186205958i</v>
      </c>
      <c r="V448" s="227">
        <f t="shared" si="163"/>
        <v>-8.2351890668923424</v>
      </c>
      <c r="W448" s="227">
        <f t="shared" si="164"/>
        <v>-254.28410546716597</v>
      </c>
      <c r="X448" s="227" t="str">
        <f t="shared" si="153"/>
        <v>0.676371866613213-0.18088658656489i</v>
      </c>
      <c r="Y448" s="227" t="str">
        <f t="shared" si="154"/>
        <v>0.0448928992549594-3.81239455385708i</v>
      </c>
      <c r="Z448" s="227" t="str">
        <f t="shared" si="155"/>
        <v>-0.37068827094466-1.45448671677759i</v>
      </c>
      <c r="AA448" s="227" t="str">
        <f t="shared" si="156"/>
        <v>-2.04364964690431+0.275613438775736i</v>
      </c>
      <c r="AB448" s="227">
        <f t="shared" si="165"/>
        <v>6.2864091602644265</v>
      </c>
      <c r="AC448" s="227">
        <f t="shared" si="166"/>
        <v>-187.68075833256603</v>
      </c>
      <c r="AD448" s="229">
        <f t="shared" si="167"/>
        <v>-23.318684830037508</v>
      </c>
      <c r="AE448" s="229">
        <f t="shared" si="168"/>
        <v>113.66539553305932</v>
      </c>
      <c r="AF448" s="227">
        <f t="shared" si="157"/>
        <v>-17.032275669773082</v>
      </c>
      <c r="AG448" s="227">
        <f t="shared" si="158"/>
        <v>-74.015362799506704</v>
      </c>
      <c r="AH448" s="229" t="str">
        <f t="shared" si="159"/>
        <v>0.0273928594104808-0.0625052184390488i</v>
      </c>
    </row>
    <row r="449" spans="9:34" x14ac:dyDescent="0.2">
      <c r="I449" s="227">
        <v>445</v>
      </c>
      <c r="J449" s="227">
        <f t="shared" si="147"/>
        <v>5.3388045244186131</v>
      </c>
      <c r="K449" s="227">
        <f t="shared" si="169"/>
        <v>218174.76880093754</v>
      </c>
      <c r="L449" s="227">
        <f t="shared" si="160"/>
        <v>1370832.501727354</v>
      </c>
      <c r="M449" s="227">
        <f t="shared" si="148"/>
        <v>214309.86956447689</v>
      </c>
      <c r="N449" s="227">
        <f>SQRT((ABS(AC449)-171.5+'Small Signal'!C$59)^2)</f>
        <v>87.161659810258925</v>
      </c>
      <c r="O449" s="227">
        <f t="shared" si="161"/>
        <v>75.464098216501242</v>
      </c>
      <c r="P449" s="227">
        <f t="shared" si="162"/>
        <v>17.066393170014344</v>
      </c>
      <c r="Q449" s="227">
        <f t="shared" si="170"/>
        <v>218174.76880093754</v>
      </c>
      <c r="R449" s="227" t="str">
        <f t="shared" si="149"/>
        <v>0.0945666666666667+6.44291275811856i</v>
      </c>
      <c r="S449" s="227" t="str">
        <f t="shared" si="150"/>
        <v>0.0085-0.0776046516181618i</v>
      </c>
      <c r="T449" s="227" t="str">
        <f t="shared" si="151"/>
        <v>0.00874765834657706-0.0775489005917662i</v>
      </c>
      <c r="U449" s="227" t="str">
        <f t="shared" si="152"/>
        <v>-0.102135275284958+0.364747853951335i</v>
      </c>
      <c r="V449" s="227">
        <f t="shared" si="163"/>
        <v>-8.4323099680163853</v>
      </c>
      <c r="W449" s="227">
        <f t="shared" si="164"/>
        <v>-254.3568976030773</v>
      </c>
      <c r="X449" s="227" t="str">
        <f t="shared" si="153"/>
        <v>0.661509477394897-0.184993507172012i</v>
      </c>
      <c r="Y449" s="227" t="str">
        <f t="shared" si="154"/>
        <v>0.0429195069207493-3.72769589303889i</v>
      </c>
      <c r="Z449" s="227" t="str">
        <f t="shared" si="155"/>
        <v>-0.371790997617801-1.39102043747236i</v>
      </c>
      <c r="AA449" s="227" t="str">
        <f t="shared" si="156"/>
        <v>-2.06926325174214+0.315224821323991i</v>
      </c>
      <c r="AB449" s="227">
        <f t="shared" si="165"/>
        <v>6.4159477336793724</v>
      </c>
      <c r="AC449" s="227">
        <f t="shared" si="166"/>
        <v>-188.66165981025893</v>
      </c>
      <c r="AD449" s="229">
        <f t="shared" si="167"/>
        <v>-23.482340903693718</v>
      </c>
      <c r="AE449" s="229">
        <f t="shared" si="168"/>
        <v>113.19756159375768</v>
      </c>
      <c r="AF449" s="227">
        <f t="shared" si="157"/>
        <v>-17.066393170014344</v>
      </c>
      <c r="AG449" s="227">
        <f t="shared" si="158"/>
        <v>-75.464098216501242</v>
      </c>
      <c r="AH449" s="229" t="str">
        <f t="shared" si="159"/>
        <v>0.0263798313342925-0.0615559928350103i</v>
      </c>
    </row>
    <row r="450" spans="9:34" x14ac:dyDescent="0.2">
      <c r="I450" s="227">
        <v>446</v>
      </c>
      <c r="J450" s="227">
        <f t="shared" si="147"/>
        <v>5.3485546469453968</v>
      </c>
      <c r="K450" s="227">
        <f t="shared" si="169"/>
        <v>223128.29504607571</v>
      </c>
      <c r="L450" s="227">
        <f t="shared" si="160"/>
        <v>1401956.4250495345</v>
      </c>
      <c r="M450" s="227">
        <f t="shared" si="148"/>
        <v>219375.8626287434</v>
      </c>
      <c r="N450" s="227">
        <f>SQRT((ABS(AC450)-171.5+'Small Signal'!C$59)^2)</f>
        <v>88.197097140174748</v>
      </c>
      <c r="O450" s="227">
        <f t="shared" si="161"/>
        <v>76.960267724063115</v>
      </c>
      <c r="P450" s="227">
        <f t="shared" si="162"/>
        <v>17.094954070882636</v>
      </c>
      <c r="Q450" s="227">
        <f t="shared" si="170"/>
        <v>223128.29504607571</v>
      </c>
      <c r="R450" s="227" t="str">
        <f t="shared" si="149"/>
        <v>0.0945666666666667+6.58919519773281i</v>
      </c>
      <c r="S450" s="227" t="str">
        <f t="shared" si="150"/>
        <v>0.0085-0.0758818011905368i</v>
      </c>
      <c r="T450" s="227" t="str">
        <f t="shared" si="151"/>
        <v>0.00873665217825313-0.0758273226427815i</v>
      </c>
      <c r="U450" s="227" t="str">
        <f t="shared" si="152"/>
        <v>-0.0994407479577602+0.356688756593027i</v>
      </c>
      <c r="V450" s="227">
        <f t="shared" si="163"/>
        <v>-8.6291398222694511</v>
      </c>
      <c r="W450" s="227">
        <f t="shared" si="164"/>
        <v>-254.42213754204275</v>
      </c>
      <c r="X450" s="227" t="str">
        <f t="shared" si="153"/>
        <v>0.645964543643246-0.189193672929001i</v>
      </c>
      <c r="Y450" s="227" t="str">
        <f t="shared" si="154"/>
        <v>0.0410329546395501-3.6448816209013i</v>
      </c>
      <c r="Z450" s="227" t="str">
        <f t="shared" si="155"/>
        <v>-0.372845197590778-1.3282583866138i</v>
      </c>
      <c r="AA450" s="227" t="str">
        <f t="shared" si="156"/>
        <v>-2.09585075614555+0.358141043751531i</v>
      </c>
      <c r="AB450" s="227">
        <f t="shared" si="165"/>
        <v>6.5522061623362768</v>
      </c>
      <c r="AC450" s="227">
        <f t="shared" si="166"/>
        <v>-189.69709714017475</v>
      </c>
      <c r="AD450" s="229">
        <f t="shared" si="167"/>
        <v>-23.647160233218912</v>
      </c>
      <c r="AE450" s="229">
        <f t="shared" si="168"/>
        <v>112.73682941611163</v>
      </c>
      <c r="AF450" s="227">
        <f t="shared" si="157"/>
        <v>-17.094954070882636</v>
      </c>
      <c r="AG450" s="227">
        <f t="shared" si="158"/>
        <v>-76.960267724063115</v>
      </c>
      <c r="AH450" s="229" t="str">
        <f t="shared" si="159"/>
        <v>0.025397462259866-0.0606051336166141i</v>
      </c>
    </row>
    <row r="451" spans="9:34" x14ac:dyDescent="0.2">
      <c r="I451" s="227">
        <v>447</v>
      </c>
      <c r="J451" s="227">
        <f t="shared" si="147"/>
        <v>5.3583047694721797</v>
      </c>
      <c r="K451" s="227">
        <f t="shared" si="169"/>
        <v>228194.28811034223</v>
      </c>
      <c r="L451" s="227">
        <f t="shared" si="160"/>
        <v>1433786.9982372075</v>
      </c>
      <c r="M451" s="227">
        <f t="shared" si="148"/>
        <v>224556.87600328511</v>
      </c>
      <c r="N451" s="227">
        <f>SQRT((ABS(AC451)-171.5+'Small Signal'!C$59)^2)</f>
        <v>89.293211129889187</v>
      </c>
      <c r="O451" s="227">
        <f t="shared" si="161"/>
        <v>78.509998867964597</v>
      </c>
      <c r="P451" s="227">
        <f t="shared" si="162"/>
        <v>17.117705704753412</v>
      </c>
      <c r="Q451" s="227">
        <f t="shared" si="170"/>
        <v>228194.28811034223</v>
      </c>
      <c r="R451" s="227" t="str">
        <f t="shared" si="149"/>
        <v>0.0945666666666667+6.73879889171488i</v>
      </c>
      <c r="S451" s="227" t="str">
        <f t="shared" si="150"/>
        <v>0.0085-0.0741971986454042i</v>
      </c>
      <c r="T451" s="227" t="str">
        <f t="shared" si="151"/>
        <v>0.00872612925761311-0.0741439620610937i</v>
      </c>
      <c r="U451" s="227" t="str">
        <f t="shared" si="152"/>
        <v>-0.0968645996421075+0.348806067834995i</v>
      </c>
      <c r="V451" s="227">
        <f t="shared" si="163"/>
        <v>-8.8256819880160844</v>
      </c>
      <c r="W451" s="227">
        <f t="shared" si="164"/>
        <v>-254.47985012333197</v>
      </c>
      <c r="X451" s="227" t="str">
        <f t="shared" si="153"/>
        <v>0.629705719991567-0.19348920091062i</v>
      </c>
      <c r="Y451" s="227" t="str">
        <f t="shared" si="154"/>
        <v>0.0392294128932547-3.5639096396897i</v>
      </c>
      <c r="Z451" s="227" t="str">
        <f t="shared" si="155"/>
        <v>-0.373853010879205-1.26616872798374i</v>
      </c>
      <c r="AA451" s="227" t="str">
        <f t="shared" si="156"/>
        <v>-2.12333442566115+0.404786965150282i</v>
      </c>
      <c r="AB451" s="227">
        <f t="shared" si="165"/>
        <v>6.6954016122205031</v>
      </c>
      <c r="AC451" s="227">
        <f t="shared" si="166"/>
        <v>-190.79321112988919</v>
      </c>
      <c r="AD451" s="229">
        <f t="shared" si="167"/>
        <v>-23.813107316973916</v>
      </c>
      <c r="AE451" s="229">
        <f t="shared" si="168"/>
        <v>112.28321226192459</v>
      </c>
      <c r="AF451" s="227">
        <f t="shared" si="157"/>
        <v>-17.117705704753412</v>
      </c>
      <c r="AG451" s="227">
        <f t="shared" si="158"/>
        <v>-78.509998867964597</v>
      </c>
      <c r="AH451" s="229" t="str">
        <f t="shared" si="159"/>
        <v>0.0244453267564652-0.0596536452038441i</v>
      </c>
    </row>
    <row r="452" spans="9:34" x14ac:dyDescent="0.2">
      <c r="I452" s="227">
        <v>448</v>
      </c>
      <c r="J452" s="227">
        <f t="shared" ref="J452:J504" si="171">1+I452*(LOG(fsw)-1)/500</f>
        <v>5.3680548919989635</v>
      </c>
      <c r="K452" s="227">
        <f t="shared" si="169"/>
        <v>233375.30148488394</v>
      </c>
      <c r="L452" s="227">
        <f t="shared" si="160"/>
        <v>1466340.2653484291</v>
      </c>
      <c r="M452" s="227">
        <f t="shared" ref="M452:M504" si="172">SQRT((Fco_target-K453)^2)</f>
        <v>229855.52115471911</v>
      </c>
      <c r="N452" s="227">
        <f>SQRT((ABS(AC452)-171.5+'Small Signal'!C$59)^2)</f>
        <v>90.456891818523644</v>
      </c>
      <c r="O452" s="227">
        <f t="shared" si="161"/>
        <v>80.120176082387218</v>
      </c>
      <c r="P452" s="227">
        <f t="shared" si="162"/>
        <v>17.134423010950226</v>
      </c>
      <c r="Q452" s="227">
        <f t="shared" si="170"/>
        <v>233375.30148488394</v>
      </c>
      <c r="R452" s="227" t="str">
        <f t="shared" ref="R452:R503" si="173">IMSUM(COMPLEX(DCRss,Lss*L452),COMPLEX(Rdsonss,0),COMPLEX(40/3*Risense,0))</f>
        <v>0.0945666666666667+6.89179924713762i</v>
      </c>
      <c r="S452" s="227" t="str">
        <f t="shared" ref="S452:S504" si="174">IMSUM(COMPLEX(ESRss,0),IMDIV(COMPLEX(1,0),COMPLEX(0,L452*Cbulkss)))</f>
        <v>0.0085-0.0725499948663866i</v>
      </c>
      <c r="T452" s="227" t="str">
        <f t="shared" ref="T452:T504" si="175">IMDIV(IMPRODUCT(S452,COMPLEX(Ross,0)),IMSUM(S452,COMPLEX(Ross,0)))</f>
        <v>0.00871606836710389-0.0724979705553446i</v>
      </c>
      <c r="U452" s="227" t="str">
        <f t="shared" ref="U452:U504" si="176">IMPRODUCT(COMPLEX(Vinss,0),COMPLEX(M^2,0),IMDIV(IMSUB(COMPLEX(1,0),IMDIV(IMPRODUCT(R452,COMPLEX(M^2,0)),COMPLEX(Ross,0))),IMSUM(COMPLEX(1,0),IMDIV(IMPRODUCT(R452,COMPLEX(M^2,0)),T452))))</f>
        <v>-0.0944016267215647+0.341096034892141i</v>
      </c>
      <c r="V452" s="227">
        <f t="shared" si="163"/>
        <v>-9.0219393011149958</v>
      </c>
      <c r="W452" s="227">
        <f t="shared" si="164"/>
        <v>-254.53005778224662</v>
      </c>
      <c r="X452" s="227" t="str">
        <f t="shared" ref="X452:X504" si="177">IMSUM(COMPLEX(1,L452/(wn*q0)),IMPOWER(COMPLEX(0,L452/wn),2))</f>
        <v>0.612700221559748-0.197882256258537i</v>
      </c>
      <c r="Y452" s="227" t="str">
        <f t="shared" ref="Y452:Y504" si="178">IMPRODUCT(COMPLEX(2*Ioutss*M^2,0),IMDIV(IMSUM(COMPLEX(1,0),IMDIV(COMPLEX(Ross,0),IMPRODUCT(COMPLEX(2,0),S452))),IMSUM(COMPLEX(1,0),IMDIV(IMPRODUCT(R452,COMPLEX(M^2,0)),T452))))</f>
        <v>0.0375052217333976-3.48473880340315i</v>
      </c>
      <c r="Z452" s="227" t="str">
        <f t="shared" ref="Z452:Z504" si="179">IMPRODUCT(COMPLEX(Fm*40/3*Risense,0),Y452,X452)</f>
        <v>-0.374816482734479-1.20471997738781i</v>
      </c>
      <c r="AA452" s="227" t="str">
        <f t="shared" ref="AA452:AA504" si="180">IMDIV(IMPRODUCT(COMPLEX(Fm,0),U452),IMSUM(COMPLEX(1,0),Z452))</f>
        <v>-2.15159203164741+0.455643321916863i</v>
      </c>
      <c r="AB452" s="227">
        <f t="shared" si="165"/>
        <v>6.8457241579836783</v>
      </c>
      <c r="AC452" s="227">
        <f t="shared" si="166"/>
        <v>-191.95689181852364</v>
      </c>
      <c r="AD452" s="229">
        <f t="shared" si="167"/>
        <v>-23.980147168933904</v>
      </c>
      <c r="AE452" s="229">
        <f t="shared" si="168"/>
        <v>111.83671573613643</v>
      </c>
      <c r="AF452" s="227">
        <f t="shared" ref="AF452:AF504" si="181">AD452+AB452</f>
        <v>-17.134423010950226</v>
      </c>
      <c r="AG452" s="227">
        <f t="shared" ref="AG452:AG504" si="182">AE452+AC452</f>
        <v>-80.120176082387218</v>
      </c>
      <c r="AH452" s="229" t="str">
        <f t="shared" ref="AH452:AH504" si="183">IMDIV(IMPRODUCT(COMPLEX(gea*Rea*Rslss/(Rslss+Rshss),0),COMPLEX(1,L452*Ccompss*Rcompss),COMPLEX(1,k_3*L452*Cffss*Rshss)),IMPRODUCT(COMPLEX(1,L452*Rea*Ccompss),COMPLEX(1,L452*Rcompss*Chfss),COMPLEX(1,k_3*L452*Rffss*Cffss)))</f>
        <v>0.0235229661125591-0.0587024874796624i</v>
      </c>
    </row>
    <row r="453" spans="9:34" x14ac:dyDescent="0.2">
      <c r="I453" s="227">
        <v>449</v>
      </c>
      <c r="J453" s="227">
        <f t="shared" si="171"/>
        <v>5.3778050145257463</v>
      </c>
      <c r="K453" s="227">
        <f t="shared" si="169"/>
        <v>238673.94663631794</v>
      </c>
      <c r="L453" s="227">
        <f t="shared" ref="L453:L503" si="184">2*PI()*K453</f>
        <v>1499632.6347118774</v>
      </c>
      <c r="M453" s="227">
        <f t="shared" si="172"/>
        <v>235274.46884143501</v>
      </c>
      <c r="N453" s="227">
        <f>SQRT((ABS(AC453)-171.5+'Small Signal'!C$59)^2)</f>
        <v>91.695875518303268</v>
      </c>
      <c r="O453" s="227">
        <f t="shared" ref="O453:O504" si="185">ABS(AG453)</f>
        <v>81.798537385141998</v>
      </c>
      <c r="P453" s="227">
        <f t="shared" ref="P453:P504" si="186">ABS(AF453)</f>
        <v>17.144921946581551</v>
      </c>
      <c r="Q453" s="227">
        <f t="shared" si="170"/>
        <v>238673.94663631794</v>
      </c>
      <c r="R453" s="227" t="str">
        <f t="shared" si="173"/>
        <v>0.0945666666666667+7.04827338314582i</v>
      </c>
      <c r="S453" s="227" t="str">
        <f t="shared" si="174"/>
        <v>0.0085-0.0709393595877859i</v>
      </c>
      <c r="T453" s="227" t="str">
        <f t="shared" si="175"/>
        <v>0.00870644922071971-0.0708885186569281i</v>
      </c>
      <c r="U453" s="227" t="str">
        <f t="shared" si="176"/>
        <v>-0.0920468545614132+0.333554977607003i</v>
      </c>
      <c r="V453" s="227">
        <f t="shared" ref="V453:V504" si="187">20*LOG(IMABS(U453))</f>
        <v>-9.2179140786444229</v>
      </c>
      <c r="W453" s="227">
        <f t="shared" ref="W453:W504" si="188">IF(DEGREES(IMARGUMENT(U453))&gt;0,DEGREES(IMARGUMENT(U453))-360, DEGREES(IMARGUMENT(U453)))</f>
        <v>-254.57278053563428</v>
      </c>
      <c r="X453" s="227" t="str">
        <f t="shared" si="177"/>
        <v>0.594913757845646-0.202375053272651i</v>
      </c>
      <c r="Y453" s="227" t="str">
        <f t="shared" si="178"/>
        <v>0.035856883213199-3.40732889554749i</v>
      </c>
      <c r="Z453" s="227" t="str">
        <f t="shared" si="179"/>
        <v>-0.375737567873579-1.14388098593257i</v>
      </c>
      <c r="AA453" s="227" t="str">
        <f t="shared" si="180"/>
        <v>-2.18044258924742+0.511252599289926i</v>
      </c>
      <c r="AB453" s="227">
        <f t="shared" ref="AB453:AB504" si="189">20*LOG(IMABS(AA453))</f>
        <v>7.0033234089421557</v>
      </c>
      <c r="AC453" s="227">
        <f t="shared" ref="AC453:AC504" si="190">IF(DEGREES(IMARGUMENT(AA453))&gt;0,DEGREES(IMARGUMENT(AA453))-360, DEGREES(IMARGUMENT(AA453)))</f>
        <v>-193.19587551830327</v>
      </c>
      <c r="AD453" s="229">
        <f t="shared" ref="AD453:AD504" si="191">20*LOG(IMABS(AH453))</f>
        <v>-24.148245355523706</v>
      </c>
      <c r="AE453" s="229">
        <f t="shared" ref="AE453:AE504" si="192">180+DEGREES(IMARGUMENT(AH453))</f>
        <v>111.39733813316127</v>
      </c>
      <c r="AF453" s="227">
        <f t="shared" si="181"/>
        <v>-17.144921946581551</v>
      </c>
      <c r="AG453" s="227">
        <f t="shared" si="182"/>
        <v>-81.798537385141998</v>
      </c>
      <c r="AH453" s="229" t="str">
        <f t="shared" si="183"/>
        <v>0.0226298917177223-0.0577525754400144i</v>
      </c>
    </row>
    <row r="454" spans="9:34" x14ac:dyDescent="0.2">
      <c r="I454" s="227">
        <v>450</v>
      </c>
      <c r="J454" s="227">
        <f t="shared" si="171"/>
        <v>5.3875551370525301</v>
      </c>
      <c r="K454" s="227">
        <f t="shared" si="169"/>
        <v>244092.89432303383</v>
      </c>
      <c r="L454" s="227">
        <f t="shared" si="184"/>
        <v>1533680.8871974256</v>
      </c>
      <c r="M454" s="227">
        <f t="shared" si="172"/>
        <v>240816.45045977694</v>
      </c>
      <c r="N454" s="227">
        <f>SQRT((ABS(AC454)-171.5+'Small Signal'!C$59)^2)</f>
        <v>93.018850756181081</v>
      </c>
      <c r="O454" s="227">
        <f t="shared" si="185"/>
        <v>83.553779971197343</v>
      </c>
      <c r="P454" s="227">
        <f t="shared" si="186"/>
        <v>17.149077054672333</v>
      </c>
      <c r="Q454" s="227">
        <f t="shared" si="170"/>
        <v>244092.89432303383</v>
      </c>
      <c r="R454" s="227" t="str">
        <f t="shared" si="173"/>
        <v>0.0945666666666667+7.2083001698279i</v>
      </c>
      <c r="S454" s="227" t="str">
        <f t="shared" si="174"/>
        <v>0.0085-0.0693644809760937i</v>
      </c>
      <c r="T454" s="227" t="str">
        <f t="shared" si="175"/>
        <v>0.00869725242310595-0.0693147953027471i</v>
      </c>
      <c r="U454" s="227" t="str">
        <f t="shared" si="176"/>
        <v>-0.0897955274114646+0.326179287536907i</v>
      </c>
      <c r="V454" s="227">
        <f t="shared" si="187"/>
        <v>-9.4136081219910075</v>
      </c>
      <c r="W454" s="227">
        <f t="shared" si="188"/>
        <v>-254.60803597144471</v>
      </c>
      <c r="X454" s="227" t="str">
        <f t="shared" si="177"/>
        <v>0.576310463580474-0.206969856527201i</v>
      </c>
      <c r="Y454" s="227" t="str">
        <f t="shared" si="178"/>
        <v>0.0342810541625006-3.33164060745482i</v>
      </c>
      <c r="Z454" s="227" t="str">
        <f t="shared" si="179"/>
        <v>-0.376618134517176-1.08362092352715i</v>
      </c>
      <c r="AA454" s="227" t="str">
        <f t="shared" si="180"/>
        <v>-2.20962798706258+0.572224326087274i</v>
      </c>
      <c r="AB454" s="227">
        <f t="shared" si="189"/>
        <v>7.1682909738992304</v>
      </c>
      <c r="AC454" s="227">
        <f t="shared" si="190"/>
        <v>-194.51885075618108</v>
      </c>
      <c r="AD454" s="229">
        <f t="shared" si="191"/>
        <v>-24.317368028571561</v>
      </c>
      <c r="AE454" s="229">
        <f t="shared" si="192"/>
        <v>110.96507078498374</v>
      </c>
      <c r="AF454" s="227">
        <f t="shared" si="181"/>
        <v>-17.149077054672333</v>
      </c>
      <c r="AG454" s="227">
        <f t="shared" si="182"/>
        <v>-83.553779971197343</v>
      </c>
      <c r="AH454" s="229" t="str">
        <f t="shared" si="183"/>
        <v>0.0217655883384797-0.056804779070103i</v>
      </c>
    </row>
    <row r="455" spans="9:34" x14ac:dyDescent="0.2">
      <c r="I455" s="227">
        <v>451</v>
      </c>
      <c r="J455" s="227">
        <f t="shared" si="171"/>
        <v>5.397305259579313</v>
      </c>
      <c r="K455" s="227">
        <f t="shared" si="169"/>
        <v>249634.87594137577</v>
      </c>
      <c r="L455" s="227">
        <f t="shared" si="184"/>
        <v>1568502.1846744509</v>
      </c>
      <c r="M455" s="227">
        <f t="shared" si="172"/>
        <v>246484.25942079234</v>
      </c>
      <c r="N455" s="227">
        <f>SQRT((ABS(AC455)-171.5+'Small Signal'!C$59)^2)</f>
        <v>94.435571317197997</v>
      </c>
      <c r="O455" s="227">
        <f t="shared" si="185"/>
        <v>85.395672907852074</v>
      </c>
      <c r="P455" s="227">
        <f t="shared" si="186"/>
        <v>17.146844358928533</v>
      </c>
      <c r="Q455" s="227">
        <f t="shared" si="170"/>
        <v>249634.87594137577</v>
      </c>
      <c r="R455" s="227" t="str">
        <f t="shared" si="173"/>
        <v>0.0945666666666667+7.37196026796992i</v>
      </c>
      <c r="S455" s="227" t="str">
        <f t="shared" si="174"/>
        <v>0.0085-0.0678245652207904i</v>
      </c>
      <c r="T455" s="227" t="str">
        <f t="shared" si="175"/>
        <v>0.00868845943045797-0.0677760074271887i</v>
      </c>
      <c r="U455" s="227" t="str">
        <f t="shared" si="176"/>
        <v>-0.0876430987559122+0.318965427015441i</v>
      </c>
      <c r="V455" s="227">
        <f t="shared" si="187"/>
        <v>-9.609022719298931</v>
      </c>
      <c r="W455" s="227">
        <f t="shared" si="188"/>
        <v>-254.6358392422691</v>
      </c>
      <c r="X455" s="227" t="str">
        <f t="shared" si="177"/>
        <v>0.556852826408775-0.211668982012216i</v>
      </c>
      <c r="Y455" s="227" t="str">
        <f t="shared" si="178"/>
        <v>0.0327745392895825-3.25763551715241i</v>
      </c>
      <c r="Z455" s="227" t="str">
        <f t="shared" si="179"/>
        <v>-0.377459968245025-1.02390926259755i</v>
      </c>
      <c r="AA455" s="227" t="str">
        <f t="shared" si="180"/>
        <v>-2.23878946688665+0.639238927704656i</v>
      </c>
      <c r="AB455" s="227">
        <f t="shared" si="189"/>
        <v>7.3406375955803602</v>
      </c>
      <c r="AC455" s="227">
        <f t="shared" si="190"/>
        <v>-195.935571317198</v>
      </c>
      <c r="AD455" s="229">
        <f t="shared" si="191"/>
        <v>-24.487481954508894</v>
      </c>
      <c r="AE455" s="229">
        <f t="shared" si="192"/>
        <v>110.53989840934592</v>
      </c>
      <c r="AF455" s="227">
        <f t="shared" si="181"/>
        <v>-17.146844358928533</v>
      </c>
      <c r="AG455" s="227">
        <f t="shared" si="182"/>
        <v>-85.395672907852074</v>
      </c>
      <c r="AH455" s="229" t="str">
        <f t="shared" si="183"/>
        <v>0.0209295172765102-0.0558599234291266i</v>
      </c>
    </row>
    <row r="456" spans="9:34" x14ac:dyDescent="0.2">
      <c r="I456" s="227">
        <v>452</v>
      </c>
      <c r="J456" s="227">
        <f t="shared" si="171"/>
        <v>5.4070553821060967</v>
      </c>
      <c r="K456" s="227">
        <f t="shared" si="169"/>
        <v>255302.68490239116</v>
      </c>
      <c r="L456" s="227">
        <f t="shared" si="184"/>
        <v>1604114.0786622036</v>
      </c>
      <c r="M456" s="227">
        <f t="shared" si="172"/>
        <v>252280.75255823621</v>
      </c>
      <c r="N456" s="227">
        <f>SQRT((ABS(AC456)-171.5+'Small Signal'!C$59)^2)</f>
        <v>95.956972705534923</v>
      </c>
      <c r="O456" s="227">
        <f t="shared" si="185"/>
        <v>87.335173249045766</v>
      </c>
      <c r="P456" s="227">
        <f t="shared" si="186"/>
        <v>17.138291034236619</v>
      </c>
      <c r="Q456" s="227">
        <f t="shared" si="170"/>
        <v>255302.68490239116</v>
      </c>
      <c r="R456" s="227" t="str">
        <f t="shared" si="173"/>
        <v>0.0945666666666667+7.53933616971236i</v>
      </c>
      <c r="S456" s="227" t="str">
        <f t="shared" si="174"/>
        <v>0.0085-0.0663188361342265i</v>
      </c>
      <c r="T456" s="227" t="str">
        <f t="shared" si="175"/>
        <v>0.00868005251313642-0.0662713795631208i</v>
      </c>
      <c r="U456" s="227" t="str">
        <f t="shared" si="176"/>
        <v>-0.0855852220902789+0.31190992819185i</v>
      </c>
      <c r="V456" s="227">
        <f t="shared" si="187"/>
        <v>-9.8041586472764735</v>
      </c>
      <c r="W456" s="227">
        <f t="shared" si="188"/>
        <v>-254.65620306281843</v>
      </c>
      <c r="X456" s="227" t="str">
        <f t="shared" si="177"/>
        <v>0.536501611247149-0.216474798300881i</v>
      </c>
      <c r="Y456" s="227" t="str">
        <f t="shared" si="178"/>
        <v>0.031334284594606-3.18527606876453i</v>
      </c>
      <c r="Z456" s="227" t="str">
        <f t="shared" si="179"/>
        <v>-0.378264775677166-0.964715762002038i</v>
      </c>
      <c r="AA456" s="227" t="str">
        <f t="shared" si="180"/>
        <v>-2.26743775711216+0.71304877004532i</v>
      </c>
      <c r="AB456" s="227">
        <f t="shared" si="189"/>
        <v>7.5202635057242055</v>
      </c>
      <c r="AC456" s="227">
        <f t="shared" si="190"/>
        <v>-197.45697270553492</v>
      </c>
      <c r="AD456" s="229">
        <f t="shared" si="191"/>
        <v>-24.658554539960825</v>
      </c>
      <c r="AE456" s="229">
        <f t="shared" si="192"/>
        <v>110.12179945648916</v>
      </c>
      <c r="AF456" s="227">
        <f t="shared" si="181"/>
        <v>-17.138291034236619</v>
      </c>
      <c r="AG456" s="227">
        <f t="shared" si="182"/>
        <v>-87.335173249045766</v>
      </c>
      <c r="AH456" s="229" t="str">
        <f t="shared" si="183"/>
        <v>0.0201211193996576-0.0549187889256195i</v>
      </c>
    </row>
    <row r="457" spans="9:34" x14ac:dyDescent="0.2">
      <c r="I457" s="227">
        <v>453</v>
      </c>
      <c r="J457" s="227">
        <f t="shared" si="171"/>
        <v>5.4168055046328796</v>
      </c>
      <c r="K457" s="227">
        <f t="shared" si="169"/>
        <v>261099.17803983504</v>
      </c>
      <c r="L457" s="227">
        <f t="shared" si="184"/>
        <v>1640534.5191765584</v>
      </c>
      <c r="M457" s="227">
        <f t="shared" si="172"/>
        <v>258208.85156855028</v>
      </c>
      <c r="N457" s="227">
        <f>SQRT((ABS(AC457)-171.5+'Small Signal'!C$59)^2)</f>
        <v>97.595285424234874</v>
      </c>
      <c r="O457" s="227">
        <f t="shared" si="185"/>
        <v>89.384538971179467</v>
      </c>
      <c r="P457" s="227">
        <f t="shared" si="186"/>
        <v>17.123633610242447</v>
      </c>
      <c r="Q457" s="227">
        <f t="shared" si="170"/>
        <v>261099.17803983504</v>
      </c>
      <c r="R457" s="227" t="str">
        <f t="shared" si="173"/>
        <v>0.0945666666666667+7.71051224012982i</v>
      </c>
      <c r="S457" s="227" t="str">
        <f t="shared" si="174"/>
        <v>0.0085-0.0648465347603913i</v>
      </c>
      <c r="T457" s="227" t="str">
        <f t="shared" si="175"/>
        <v>0.00867201471992357-0.0648001534517113i</v>
      </c>
      <c r="U457" s="227" t="str">
        <f t="shared" si="176"/>
        <v>-0.0836177421064257+0.305009392051699i</v>
      </c>
      <c r="V457" s="227">
        <f t="shared" si="187"/>
        <v>-9.9990161723577256</v>
      </c>
      <c r="W457" s="227">
        <f t="shared" si="188"/>
        <v>-254.66913771131294</v>
      </c>
      <c r="X457" s="227" t="str">
        <f t="shared" si="177"/>
        <v>0.515215781169227-0.221389727743399i</v>
      </c>
      <c r="Y457" s="227" t="str">
        <f t="shared" si="178"/>
        <v>0.0299573710803866-3.11452555243064i</v>
      </c>
      <c r="Z457" s="227" t="str">
        <f t="shared" si="179"/>
        <v>-0.379034187988884-0.906010451136224i</v>
      </c>
      <c r="AA457" s="227" t="str">
        <f t="shared" si="180"/>
        <v>-2.29491558117815+0.794474296657996i</v>
      </c>
      <c r="AB457" s="227">
        <f t="shared" si="189"/>
        <v>7.7069202436371365</v>
      </c>
      <c r="AC457" s="227">
        <f t="shared" si="190"/>
        <v>-199.09528542423487</v>
      </c>
      <c r="AD457" s="229">
        <f t="shared" si="191"/>
        <v>-24.830553853879582</v>
      </c>
      <c r="AE457" s="229">
        <f t="shared" si="192"/>
        <v>109.71074645305541</v>
      </c>
      <c r="AF457" s="227">
        <f t="shared" si="181"/>
        <v>-17.123633610242447</v>
      </c>
      <c r="AG457" s="227">
        <f t="shared" si="182"/>
        <v>-89.384538971179467</v>
      </c>
      <c r="AH457" s="229" t="str">
        <f t="shared" si="183"/>
        <v>0.0193398180381426-0.0539821117657103i</v>
      </c>
    </row>
    <row r="458" spans="9:34" x14ac:dyDescent="0.2">
      <c r="I458" s="227">
        <v>454</v>
      </c>
      <c r="J458" s="227">
        <f t="shared" si="171"/>
        <v>5.4265556271596633</v>
      </c>
      <c r="K458" s="227">
        <f t="shared" si="169"/>
        <v>267027.2770501491</v>
      </c>
      <c r="L458" s="227">
        <f t="shared" si="184"/>
        <v>1677781.8637776696</v>
      </c>
      <c r="M458" s="227">
        <f t="shared" si="172"/>
        <v>264271.54448352504</v>
      </c>
      <c r="N458" s="227">
        <f>SQRT((ABS(AC458)-171.5+'Small Signal'!C$59)^2)</f>
        <v>99.364134090539864</v>
      </c>
      <c r="O458" s="227">
        <f t="shared" si="185"/>
        <v>91.55742774865449</v>
      </c>
      <c r="P458" s="227">
        <f t="shared" si="186"/>
        <v>17.103286770504674</v>
      </c>
      <c r="Q458" s="227">
        <f t="shared" si="170"/>
        <v>267027.2770501491</v>
      </c>
      <c r="R458" s="227" t="str">
        <f t="shared" si="173"/>
        <v>0.0945666666666667+7.88557475975505i</v>
      </c>
      <c r="S458" s="227" t="str">
        <f t="shared" si="174"/>
        <v>0.0085-0.0634069189923616i</v>
      </c>
      <c r="T458" s="227" t="str">
        <f t="shared" si="175"/>
        <v>0.00866432984384866-0.0633615876608763i</v>
      </c>
      <c r="U458" s="227" t="str">
        <f t="shared" si="176"/>
        <v>-0.0817366862674246+0.298260487421834i</v>
      </c>
      <c r="V458" s="227">
        <f t="shared" si="187"/>
        <v>-10.193595051219802</v>
      </c>
      <c r="W458" s="227">
        <f t="shared" si="188"/>
        <v>-254.67465103477124</v>
      </c>
      <c r="X458" s="227" t="str">
        <f t="shared" si="177"/>
        <v>0.4929524146573-0.226416247687974i</v>
      </c>
      <c r="Y458" s="227" t="str">
        <f t="shared" si="178"/>
        <v>0.0286410087465824-3.04534808472537i</v>
      </c>
      <c r="Z458" s="227" t="str">
        <f t="shared" si="179"/>
        <v>-0.379769764267297-0.847763614216994i</v>
      </c>
      <c r="AA458" s="227" t="str">
        <f t="shared" si="180"/>
        <v>-2.32035135492552+0.884392129028449i</v>
      </c>
      <c r="AB458" s="227">
        <f t="shared" si="189"/>
        <v>7.9001618758775809</v>
      </c>
      <c r="AC458" s="227">
        <f t="shared" si="190"/>
        <v>-200.86413409053986</v>
      </c>
      <c r="AD458" s="229">
        <f t="shared" si="191"/>
        <v>-25.003448646382253</v>
      </c>
      <c r="AE458" s="229">
        <f t="shared" si="192"/>
        <v>109.30670634188537</v>
      </c>
      <c r="AF458" s="227">
        <f t="shared" si="181"/>
        <v>-17.103286770504674</v>
      </c>
      <c r="AG458" s="227">
        <f t="shared" si="182"/>
        <v>-91.55742774865449</v>
      </c>
      <c r="AH458" s="229" t="str">
        <f t="shared" si="183"/>
        <v>0.0185850217401697-0.0530505845569309i</v>
      </c>
    </row>
    <row r="459" spans="9:34" x14ac:dyDescent="0.2">
      <c r="I459" s="227">
        <v>455</v>
      </c>
      <c r="J459" s="227">
        <f t="shared" si="171"/>
        <v>5.4363057496864471</v>
      </c>
      <c r="K459" s="227">
        <f t="shared" si="169"/>
        <v>273089.96996512386</v>
      </c>
      <c r="L459" s="227">
        <f t="shared" si="184"/>
        <v>1715874.8868229808</v>
      </c>
      <c r="M459" s="227">
        <f t="shared" si="172"/>
        <v>270471.88717640663</v>
      </c>
      <c r="N459" s="227">
        <f>SQRT((ABS(AC459)-171.5+'Small Signal'!C$59)^2)</f>
        <v>101.27860499138345</v>
      </c>
      <c r="O459" s="227">
        <f t="shared" si="185"/>
        <v>93.868964174800112</v>
      </c>
      <c r="P459" s="227">
        <f t="shared" si="186"/>
        <v>17.077925044766886</v>
      </c>
      <c r="Q459" s="227">
        <f t="shared" si="170"/>
        <v>273089.96996512386</v>
      </c>
      <c r="R459" s="227" t="str">
        <f t="shared" si="173"/>
        <v>0.0945666666666667+8.06461196806801i</v>
      </c>
      <c r="S459" s="227" t="str">
        <f t="shared" si="174"/>
        <v>0.0085-0.0619992631982494i</v>
      </c>
      <c r="T459" s="227" t="str">
        <f t="shared" si="175"/>
        <v>0.00865698238951344-0.0619549572121674i</v>
      </c>
      <c r="U459" s="227" t="str">
        <f t="shared" si="176"/>
        <v>-0.0799382567549561+0.291659949962484i</v>
      </c>
      <c r="V459" s="227">
        <f t="shared" si="187"/>
        <v>-10.387894530655718</v>
      </c>
      <c r="W459" s="227">
        <f t="shared" si="188"/>
        <v>-254.67274845820117</v>
      </c>
      <c r="X459" s="227" t="str">
        <f t="shared" si="177"/>
        <v>0.469666619053851-0.231556891729501i</v>
      </c>
      <c r="Y459" s="227" t="str">
        <f t="shared" si="178"/>
        <v>0.0273825308543905-2.97770858956476i</v>
      </c>
      <c r="Z459" s="227" t="str">
        <f t="shared" si="179"/>
        <v>-0.380472994716681-0.789945774734551i</v>
      </c>
      <c r="AA459" s="227" t="str">
        <f t="shared" si="180"/>
        <v>-2.34260333252613+0.983710595069495i</v>
      </c>
      <c r="AB459" s="227">
        <f t="shared" si="189"/>
        <v>8.099283319691315</v>
      </c>
      <c r="AC459" s="227">
        <f t="shared" si="190"/>
        <v>-202.77860499138345</v>
      </c>
      <c r="AD459" s="229">
        <f t="shared" si="191"/>
        <v>-25.177208364458199</v>
      </c>
      <c r="AE459" s="229">
        <f t="shared" si="192"/>
        <v>108.90964081658333</v>
      </c>
      <c r="AF459" s="227">
        <f t="shared" si="181"/>
        <v>-17.077925044766886</v>
      </c>
      <c r="AG459" s="227">
        <f t="shared" si="182"/>
        <v>-93.868964174800112</v>
      </c>
      <c r="AH459" s="229" t="str">
        <f t="shared" si="183"/>
        <v>0.017856126882797-0.0521248570506855i</v>
      </c>
    </row>
    <row r="460" spans="9:34" x14ac:dyDescent="0.2">
      <c r="I460" s="227">
        <v>456</v>
      </c>
      <c r="J460" s="227">
        <f t="shared" si="171"/>
        <v>5.44605587221323</v>
      </c>
      <c r="K460" s="227">
        <f t="shared" si="169"/>
        <v>279290.31265800545</v>
      </c>
      <c r="L460" s="227">
        <f t="shared" si="184"/>
        <v>1754832.7889303726</v>
      </c>
      <c r="M460" s="227">
        <f t="shared" si="172"/>
        <v>276813.00490219949</v>
      </c>
      <c r="N460" s="227">
        <f>SQRT((ABS(AC460)-171.5+'Small Signal'!C$59)^2)</f>
        <v>103.35525559853619</v>
      </c>
      <c r="O460" s="227">
        <f t="shared" si="185"/>
        <v>96.335748948690039</v>
      </c>
      <c r="P460" s="227">
        <f t="shared" si="186"/>
        <v>17.048559730417495</v>
      </c>
      <c r="Q460" s="227">
        <f t="shared" si="170"/>
        <v>279290.31265800545</v>
      </c>
      <c r="R460" s="227" t="str">
        <f t="shared" si="173"/>
        <v>0.0945666666666667+8.24771410797275i</v>
      </c>
      <c r="S460" s="227" t="str">
        <f t="shared" si="174"/>
        <v>0.0085-0.0606228578554474i</v>
      </c>
      <c r="T460" s="227" t="str">
        <f t="shared" si="175"/>
        <v>0.00864995754185204-0.0605795532159121i</v>
      </c>
      <c r="U460" s="227" t="str">
        <f t="shared" si="176"/>
        <v>-0.0782188227726277+0.285204581149057i</v>
      </c>
      <c r="V460" s="227">
        <f t="shared" si="187"/>
        <v>-10.581913346806109</v>
      </c>
      <c r="W460" s="227">
        <f t="shared" si="188"/>
        <v>-254.66343299771381</v>
      </c>
      <c r="X460" s="227" t="str">
        <f t="shared" si="177"/>
        <v>0.445311440038355-0.236814250986616i</v>
      </c>
      <c r="Y460" s="227" t="str">
        <f t="shared" si="178"/>
        <v>0.0261793884491405-2.91157277958549i</v>
      </c>
      <c r="Z460" s="227" t="str">
        <f t="shared" si="179"/>
        <v>-0.381145303719706-0.732527680062208i</v>
      </c>
      <c r="AA460" s="227" t="str">
        <f t="shared" si="180"/>
        <v>-2.36019455324623+1.09332634193149i</v>
      </c>
      <c r="AB460" s="227">
        <f t="shared" si="189"/>
        <v>8.3032434343006987</v>
      </c>
      <c r="AC460" s="227">
        <f t="shared" si="190"/>
        <v>-204.85525559853619</v>
      </c>
      <c r="AD460" s="229">
        <f t="shared" si="191"/>
        <v>-25.351803164718195</v>
      </c>
      <c r="AE460" s="229">
        <f t="shared" si="192"/>
        <v>108.51950664984615</v>
      </c>
      <c r="AF460" s="227">
        <f t="shared" si="181"/>
        <v>-17.048559730417495</v>
      </c>
      <c r="AG460" s="227">
        <f t="shared" si="182"/>
        <v>-96.335748948690039</v>
      </c>
      <c r="AH460" s="229" t="str">
        <f t="shared" si="183"/>
        <v>0.0171525201354594-0.0512055370070545i</v>
      </c>
    </row>
    <row r="461" spans="9:34" x14ac:dyDescent="0.2">
      <c r="I461" s="227">
        <v>457</v>
      </c>
      <c r="J461" s="227">
        <f t="shared" si="171"/>
        <v>5.4558059947400146</v>
      </c>
      <c r="K461" s="227">
        <f t="shared" si="169"/>
        <v>285631.43038379832</v>
      </c>
      <c r="L461" s="227">
        <f t="shared" si="184"/>
        <v>1794675.2066561705</v>
      </c>
      <c r="M461" s="227">
        <f t="shared" si="172"/>
        <v>283298.09387292888</v>
      </c>
      <c r="N461" s="227">
        <f>SQRT((ABS(AC461)-171.5+'Small Signal'!C$59)^2)</f>
        <v>105.61202720385015</v>
      </c>
      <c r="O461" s="227">
        <f t="shared" si="185"/>
        <v>98.975771189172917</v>
      </c>
      <c r="P461" s="227">
        <f t="shared" si="186"/>
        <v>17.016633001013602</v>
      </c>
      <c r="Q461" s="227">
        <f t="shared" si="170"/>
        <v>285631.43038379832</v>
      </c>
      <c r="R461" s="227" t="str">
        <f t="shared" si="173"/>
        <v>0.0945666666666667+8.434973471284i</v>
      </c>
      <c r="S461" s="227" t="str">
        <f t="shared" si="174"/>
        <v>0.0085-0.0592770091929985i</v>
      </c>
      <c r="T461" s="227" t="str">
        <f t="shared" si="175"/>
        <v>0.00864324113626225-0.059234682514429i</v>
      </c>
      <c r="U461" s="227" t="str">
        <f t="shared" si="176"/>
        <v>-0.076574913189405+0.27889124724604i</v>
      </c>
      <c r="V461" s="227">
        <f t="shared" si="187"/>
        <v>-10.775649723752272</v>
      </c>
      <c r="W461" s="227">
        <f t="shared" si="188"/>
        <v>-254.64670527759455</v>
      </c>
      <c r="X461" s="227" t="str">
        <f t="shared" si="177"/>
        <v>0.419837766946882-0.24219097540774i</v>
      </c>
      <c r="Y461" s="227" t="str">
        <f t="shared" si="178"/>
        <v>0.0250291451290297-2.84690713798233i</v>
      </c>
      <c r="Z461" s="227" t="str">
        <f t="shared" si="179"/>
        <v>-0.381788052761018-0.675480286213578i</v>
      </c>
      <c r="AA461" s="227" t="str">
        <f t="shared" si="180"/>
        <v>-2.37124113095302+1.2140535609389i</v>
      </c>
      <c r="AB461" s="227">
        <f t="shared" si="189"/>
        <v>8.5105709223434562</v>
      </c>
      <c r="AC461" s="227">
        <f t="shared" si="190"/>
        <v>-207.11202720385015</v>
      </c>
      <c r="AD461" s="229">
        <f t="shared" si="191"/>
        <v>-25.52720392335706</v>
      </c>
      <c r="AE461" s="229">
        <f t="shared" si="192"/>
        <v>108.13625601467723</v>
      </c>
      <c r="AF461" s="227">
        <f t="shared" si="181"/>
        <v>-17.016633001013602</v>
      </c>
      <c r="AG461" s="227">
        <f t="shared" si="182"/>
        <v>-98.975771189172917</v>
      </c>
      <c r="AH461" s="229" t="str">
        <f t="shared" si="183"/>
        <v>0.0164735807749265-0.0502931911663028i</v>
      </c>
    </row>
    <row r="462" spans="9:34" x14ac:dyDescent="0.2">
      <c r="I462" s="227">
        <v>458</v>
      </c>
      <c r="J462" s="227">
        <f t="shared" si="171"/>
        <v>5.4655561172667975</v>
      </c>
      <c r="K462" s="227">
        <f t="shared" si="169"/>
        <v>292116.5193545277</v>
      </c>
      <c r="L462" s="227">
        <f t="shared" si="184"/>
        <v>1835422.2223928096</v>
      </c>
      <c r="M462" s="227">
        <f t="shared" si="172"/>
        <v>289930.42286868603</v>
      </c>
      <c r="N462" s="227">
        <f>SQRT((ABS(AC462)-171.5+'Small Signal'!C$59)^2)</f>
        <v>108.06800595435345</v>
      </c>
      <c r="O462" s="227">
        <f t="shared" si="185"/>
        <v>101.8081691566296</v>
      </c>
      <c r="P462" s="227">
        <f t="shared" si="186"/>
        <v>16.984130008421783</v>
      </c>
      <c r="Q462" s="227">
        <f t="shared" si="170"/>
        <v>292116.5193545277</v>
      </c>
      <c r="R462" s="227" t="str">
        <f t="shared" si="173"/>
        <v>0.0945666666666667+8.6264844452462i</v>
      </c>
      <c r="S462" s="227" t="str">
        <f t="shared" si="174"/>
        <v>0.0085-0.0579610388419045i</v>
      </c>
      <c r="T462" s="227" t="str">
        <f t="shared" si="175"/>
        <v>0.00863681963004795-0.0579196673331388i</v>
      </c>
      <c r="U462" s="227" t="str">
        <f t="shared" si="176"/>
        <v>-0.0750032095080248+0.272716878275185i</v>
      </c>
      <c r="V462" s="227">
        <f t="shared" si="187"/>
        <v>-10.969101371475322</v>
      </c>
      <c r="W462" s="227">
        <f t="shared" si="188"/>
        <v>-254.62256355138348</v>
      </c>
      <c r="X462" s="227" t="str">
        <f t="shared" si="177"/>
        <v>0.393194233743615-0.247689775106766i</v>
      </c>
      <c r="Y462" s="227" t="str">
        <f t="shared" si="178"/>
        <v>0.0239294720486782-2.78367890079184i</v>
      </c>
      <c r="Z462" s="227" t="str">
        <f t="shared" si="179"/>
        <v>-0.382402543219621-0.618774742737574i</v>
      </c>
      <c r="AA462" s="227" t="str">
        <f t="shared" si="180"/>
        <v>-2.37338034348404+1.34651525085553i</v>
      </c>
      <c r="AB462" s="227">
        <f t="shared" si="189"/>
        <v>8.7192522350801482</v>
      </c>
      <c r="AC462" s="227">
        <f t="shared" si="190"/>
        <v>-209.56800595435345</v>
      </c>
      <c r="AD462" s="229">
        <f t="shared" si="191"/>
        <v>-25.703382243501931</v>
      </c>
      <c r="AE462" s="229">
        <f t="shared" si="192"/>
        <v>107.75983679772385</v>
      </c>
      <c r="AF462" s="227">
        <f t="shared" si="181"/>
        <v>-16.984130008421783</v>
      </c>
      <c r="AG462" s="227">
        <f t="shared" si="182"/>
        <v>-101.8081691566296</v>
      </c>
      <c r="AH462" s="229" t="str">
        <f t="shared" si="183"/>
        <v>0.0158186828517214-0.0493883463122177i</v>
      </c>
    </row>
    <row r="463" spans="9:34" x14ac:dyDescent="0.2">
      <c r="I463" s="227">
        <v>459</v>
      </c>
      <c r="J463" s="227">
        <f t="shared" si="171"/>
        <v>5.4753062397935812</v>
      </c>
      <c r="K463" s="227">
        <f t="shared" si="169"/>
        <v>298748.84835028485</v>
      </c>
      <c r="L463" s="227">
        <f t="shared" si="184"/>
        <v>1877094.3744913321</v>
      </c>
      <c r="M463" s="227">
        <f t="shared" si="172"/>
        <v>296713.33488523518</v>
      </c>
      <c r="N463" s="227">
        <f>SQRT((ABS(AC463)-171.5+'Small Signal'!C$59)^2)</f>
        <v>110.74295890410576</v>
      </c>
      <c r="O463" s="227">
        <f t="shared" si="185"/>
        <v>104.85276600002058</v>
      </c>
      <c r="P463" s="227">
        <f t="shared" si="186"/>
        <v>16.95370732929409</v>
      </c>
      <c r="Q463" s="227">
        <f t="shared" si="170"/>
        <v>298748.84835028485</v>
      </c>
      <c r="R463" s="227" t="str">
        <f t="shared" si="173"/>
        <v>0.0945666666666667+8.82234356010926i</v>
      </c>
      <c r="S463" s="227" t="str">
        <f t="shared" si="174"/>
        <v>0.0085-0.0566742834931956i</v>
      </c>
      <c r="T463" s="227" t="str">
        <f t="shared" si="175"/>
        <v>0.00863068007511526-0.0566338449393912i</v>
      </c>
      <c r="U463" s="227" t="str">
        <f t="shared" si="176"/>
        <v>-0.0735005391439537+0.26667846697994i</v>
      </c>
      <c r="V463" s="227">
        <f t="shared" si="187"/>
        <v>-11.162265483188758</v>
      </c>
      <c r="W463" s="227">
        <f t="shared" si="188"/>
        <v>-254.59100372703023</v>
      </c>
      <c r="X463" s="227" t="str">
        <f t="shared" si="177"/>
        <v>0.365327115444469-0.25331342172909i</v>
      </c>
      <c r="Y463" s="227" t="str">
        <f t="shared" si="178"/>
        <v>0.0228781431467703-2.72185603960852i</v>
      </c>
      <c r="Z463" s="227" t="str">
        <f t="shared" si="179"/>
        <v>-0.382990019035975-0.562382377741i</v>
      </c>
      <c r="AA463" s="227" t="str">
        <f t="shared" si="180"/>
        <v>-2.36371136854115+1.49098472082177i</v>
      </c>
      <c r="AB463" s="227">
        <f t="shared" si="189"/>
        <v>8.9266031308281857</v>
      </c>
      <c r="AC463" s="227">
        <f t="shared" si="190"/>
        <v>-212.24295890410576</v>
      </c>
      <c r="AD463" s="229">
        <f t="shared" si="191"/>
        <v>-25.880310460122274</v>
      </c>
      <c r="AE463" s="229">
        <f t="shared" si="192"/>
        <v>107.39019290408518</v>
      </c>
      <c r="AF463" s="227">
        <f t="shared" si="181"/>
        <v>-16.95370732929409</v>
      </c>
      <c r="AG463" s="227">
        <f t="shared" si="182"/>
        <v>-104.85276600002058</v>
      </c>
      <c r="AH463" s="229" t="str">
        <f t="shared" si="183"/>
        <v>0.0151871972091191-0.0484914904131892i</v>
      </c>
    </row>
    <row r="464" spans="9:34" x14ac:dyDescent="0.2">
      <c r="I464" s="227">
        <v>460</v>
      </c>
      <c r="J464" s="227">
        <f t="shared" si="171"/>
        <v>5.4850563623203641</v>
      </c>
      <c r="K464" s="227">
        <f t="shared" si="169"/>
        <v>305531.760366834</v>
      </c>
      <c r="L464" s="227">
        <f t="shared" si="184"/>
        <v>1919712.6676136057</v>
      </c>
      <c r="M464" s="227">
        <f t="shared" si="172"/>
        <v>303650.24881904235</v>
      </c>
      <c r="N464" s="227">
        <f>SQRT((ABS(AC464)-171.5+'Small Signal'!C$59)^2)</f>
        <v>113.65655310186492</v>
      </c>
      <c r="O464" s="227">
        <f t="shared" si="185"/>
        <v>108.12928854881692</v>
      </c>
      <c r="P464" s="227">
        <f t="shared" si="186"/>
        <v>16.928831639661766</v>
      </c>
      <c r="Q464" s="227">
        <f t="shared" si="170"/>
        <v>305531.760366834</v>
      </c>
      <c r="R464" s="227" t="str">
        <f t="shared" si="173"/>
        <v>0.0945666666666667+9.02264953778395i</v>
      </c>
      <c r="S464" s="227" t="str">
        <f t="shared" si="174"/>
        <v>0.0085-0.0554160945635937i</v>
      </c>
      <c r="T464" s="227" t="str">
        <f t="shared" si="175"/>
        <v>0.00862481009186724-0.0553765673088534i</v>
      </c>
      <c r="U464" s="227" t="str">
        <f t="shared" si="176"/>
        <v>-0.0720638690011063+0.260773067788032i</v>
      </c>
      <c r="V464" s="227">
        <f t="shared" si="187"/>
        <v>-11.355138732049701</v>
      </c>
      <c r="W464" s="227">
        <f t="shared" si="188"/>
        <v>-254.55201939620849</v>
      </c>
      <c r="X464" s="227" t="str">
        <f t="shared" si="177"/>
        <v>0.336180219784132-0.259064749848638i</v>
      </c>
      <c r="Y464" s="227" t="str">
        <f t="shared" si="178"/>
        <v>0.0218730305874792-2.66140724472241i</v>
      </c>
      <c r="Z464" s="227" t="str">
        <f t="shared" si="179"/>
        <v>-0.383551669259635-0.506274683029769i</v>
      </c>
      <c r="AA464" s="227" t="str">
        <f t="shared" si="180"/>
        <v>-2.33877098774408+1.64716687962097i</v>
      </c>
      <c r="AB464" s="227">
        <f t="shared" si="189"/>
        <v>9.129130003006674</v>
      </c>
      <c r="AC464" s="227">
        <f t="shared" si="190"/>
        <v>-215.15655310186492</v>
      </c>
      <c r="AD464" s="229">
        <f t="shared" si="191"/>
        <v>-26.057961642668438</v>
      </c>
      <c r="AE464" s="229">
        <f t="shared" si="192"/>
        <v>107.027264553048</v>
      </c>
      <c r="AF464" s="227">
        <f t="shared" si="181"/>
        <v>-16.928831639661766</v>
      </c>
      <c r="AG464" s="227">
        <f t="shared" si="182"/>
        <v>-108.12928854881692</v>
      </c>
      <c r="AH464" s="229" t="str">
        <f t="shared" si="183"/>
        <v>0.0145784933568311-0.0476030738278401i</v>
      </c>
    </row>
    <row r="465" spans="9:34" x14ac:dyDescent="0.2">
      <c r="I465" s="227">
        <v>461</v>
      </c>
      <c r="J465" s="227">
        <f t="shared" si="171"/>
        <v>5.4948064848471478</v>
      </c>
      <c r="K465" s="227">
        <f t="shared" si="169"/>
        <v>312468.67430064117</v>
      </c>
      <c r="L465" s="227">
        <f t="shared" si="184"/>
        <v>1963298.5833196722</v>
      </c>
      <c r="M465" s="227">
        <f t="shared" si="172"/>
        <v>310744.66119054746</v>
      </c>
      <c r="N465" s="227">
        <f>SQRT((ABS(AC465)-171.5+'Small Signal'!C$59)^2)</f>
        <v>116.82715385285181</v>
      </c>
      <c r="O465" s="227">
        <f t="shared" si="185"/>
        <v>111.65616528855131</v>
      </c>
      <c r="P465" s="227">
        <f t="shared" si="186"/>
        <v>16.913915254419152</v>
      </c>
      <c r="Q465" s="227">
        <f t="shared" si="170"/>
        <v>312468.67430064117</v>
      </c>
      <c r="R465" s="227" t="str">
        <f t="shared" si="173"/>
        <v>0.0945666666666667+9.22750334160246i</v>
      </c>
      <c r="S465" s="227" t="str">
        <f t="shared" si="174"/>
        <v>0.0085-0.0541858378685962i</v>
      </c>
      <c r="T465" s="227" t="str">
        <f t="shared" si="175"/>
        <v>0.00861919784424465-0.0541472007992738i</v>
      </c>
      <c r="U465" s="227" t="str">
        <f t="shared" si="176"/>
        <v>-0.0706902993311417+0.254997795773793i</v>
      </c>
      <c r="V465" s="227">
        <f t="shared" si="187"/>
        <v>-11.547717267260429</v>
      </c>
      <c r="W465" s="227">
        <f t="shared" si="188"/>
        <v>-254.50560186788539</v>
      </c>
      <c r="X465" s="227" t="str">
        <f t="shared" si="177"/>
        <v>0.30569477390791-0.264946658396625i</v>
      </c>
      <c r="Y465" s="227" t="str">
        <f t="shared" si="178"/>
        <v>0.020912100406026-2.60230190866509i</v>
      </c>
      <c r="Z465" s="227" t="str">
        <f t="shared" si="179"/>
        <v>-0.384088630482743-0.45042329935887i</v>
      </c>
      <c r="AA465" s="227" t="str">
        <f t="shared" si="180"/>
        <v>-2.29457895967038+1.81391564254498i</v>
      </c>
      <c r="AB465" s="227">
        <f t="shared" si="189"/>
        <v>9.3223943411904298</v>
      </c>
      <c r="AC465" s="227">
        <f t="shared" si="190"/>
        <v>-218.32715385285181</v>
      </c>
      <c r="AD465" s="229">
        <f t="shared" si="191"/>
        <v>-26.236309595609583</v>
      </c>
      <c r="AE465" s="229">
        <f t="shared" si="192"/>
        <v>106.6709885643005</v>
      </c>
      <c r="AF465" s="227">
        <f t="shared" si="181"/>
        <v>-16.913915254419152</v>
      </c>
      <c r="AG465" s="227">
        <f t="shared" si="182"/>
        <v>-111.65616528855131</v>
      </c>
      <c r="AH465" s="229" t="str">
        <f t="shared" si="183"/>
        <v>0.0139919412023046-0.0467235105628552i</v>
      </c>
    </row>
    <row r="466" spans="9:34" x14ac:dyDescent="0.2">
      <c r="I466" s="227">
        <v>462</v>
      </c>
      <c r="J466" s="227">
        <f t="shared" si="171"/>
        <v>5.5045566073739307</v>
      </c>
      <c r="K466" s="227">
        <f t="shared" si="169"/>
        <v>319563.08667214628</v>
      </c>
      <c r="L466" s="227">
        <f t="shared" si="184"/>
        <v>2007874.0908953862</v>
      </c>
      <c r="M466" s="227">
        <f t="shared" si="172"/>
        <v>318000.14790657623</v>
      </c>
      <c r="N466" s="227">
        <f>SQRT((ABS(AC466)-171.5+'Small Signal'!C$59)^2)</f>
        <v>120.27010558011526</v>
      </c>
      <c r="O466" s="227">
        <f t="shared" si="185"/>
        <v>115.44880694584684</v>
      </c>
      <c r="P466" s="227">
        <f t="shared" si="186"/>
        <v>16.914424664931389</v>
      </c>
      <c r="Q466" s="227">
        <f t="shared" si="170"/>
        <v>319563.08667214628</v>
      </c>
      <c r="R466" s="227" t="str">
        <f t="shared" si="173"/>
        <v>0.0945666666666667+9.43700822720831i</v>
      </c>
      <c r="S466" s="227" t="str">
        <f t="shared" si="174"/>
        <v>0.0085-0.0529828933028187i</v>
      </c>
      <c r="T466" s="227" t="str">
        <f t="shared" si="175"/>
        <v>0.00861383201586244-0.0529451258314774i</v>
      </c>
      <c r="U466" s="227" t="str">
        <f t="shared" si="176"/>
        <v>-0.0693770578637714+0.249349825621849i</v>
      </c>
      <c r="V466" s="227">
        <f t="shared" si="187"/>
        <v>-11.739996709567839</v>
      </c>
      <c r="W466" s="227">
        <f t="shared" si="188"/>
        <v>-254.45174020626183</v>
      </c>
      <c r="X466" s="227" t="str">
        <f t="shared" si="177"/>
        <v>0.273809305860056-0.270962112122746i</v>
      </c>
      <c r="Y466" s="227" t="str">
        <f t="shared" si="178"/>
        <v>0.0199934083489529-2.54451011015409i</v>
      </c>
      <c r="Z466" s="227" t="str">
        <f t="shared" si="179"/>
        <v>-0.384601989164761-0.394800001782434i</v>
      </c>
      <c r="AA466" s="227" t="str">
        <f t="shared" si="180"/>
        <v>-2.22680080349646+1.98890002816227i</v>
      </c>
      <c r="AB466" s="227">
        <f t="shared" si="189"/>
        <v>9.500904192101304</v>
      </c>
      <c r="AC466" s="227">
        <f t="shared" si="190"/>
        <v>-221.77010558011526</v>
      </c>
      <c r="AD466" s="229">
        <f t="shared" si="191"/>
        <v>-26.415328857032691</v>
      </c>
      <c r="AE466" s="229">
        <f t="shared" si="192"/>
        <v>106.32129863426842</v>
      </c>
      <c r="AF466" s="227">
        <f t="shared" si="181"/>
        <v>-16.914424664931389</v>
      </c>
      <c r="AG466" s="227">
        <f t="shared" si="182"/>
        <v>-115.44880694584684</v>
      </c>
      <c r="AH466" s="229" t="str">
        <f t="shared" si="183"/>
        <v>0.0134269126432927-0.0458531795715795i</v>
      </c>
    </row>
    <row r="467" spans="9:34" x14ac:dyDescent="0.2">
      <c r="I467" s="227">
        <v>463</v>
      </c>
      <c r="J467" s="227">
        <f t="shared" si="171"/>
        <v>5.5143067299007145</v>
      </c>
      <c r="K467" s="227">
        <f t="shared" si="169"/>
        <v>326818.57338817505</v>
      </c>
      <c r="L467" s="227">
        <f t="shared" si="184"/>
        <v>2053461.6584259749</v>
      </c>
      <c r="M467" s="227">
        <f t="shared" si="172"/>
        <v>325420.36606275436</v>
      </c>
      <c r="N467" s="227">
        <f>SQRT((ABS(AC467)-171.5+'Small Signal'!C$59)^2)</f>
        <v>123.99544449947291</v>
      </c>
      <c r="O467" s="227">
        <f t="shared" si="185"/>
        <v>119.51731889717031</v>
      </c>
      <c r="P467" s="227">
        <f t="shared" si="186"/>
        <v>16.936925021310579</v>
      </c>
      <c r="Q467" s="227">
        <f t="shared" si="170"/>
        <v>326818.57338817505</v>
      </c>
      <c r="R467" s="227" t="str">
        <f t="shared" si="173"/>
        <v>0.0945666666666667+9.65126979460208i</v>
      </c>
      <c r="S467" s="227" t="str">
        <f t="shared" si="174"/>
        <v>0.0085-0.051806654527433i</v>
      </c>
      <c r="T467" s="227" t="str">
        <f t="shared" si="175"/>
        <v>0.00860870178719381-0.0517697365774193i</v>
      </c>
      <c r="U467" s="227" t="str">
        <f t="shared" si="176"/>
        <v>-0.0681214941960457+0.243826390593487i</v>
      </c>
      <c r="V467" s="227">
        <f t="shared" si="187"/>
        <v>-11.93197214617571</v>
      </c>
      <c r="W467" s="227">
        <f t="shared" si="188"/>
        <v>-254.39042127321034</v>
      </c>
      <c r="X467" s="227" t="str">
        <f t="shared" si="177"/>
        <v>0.240459520629462-0.277114143089548i</v>
      </c>
      <c r="Y467" s="227" t="str">
        <f t="shared" si="178"/>
        <v>0.019115095900347-2.48800259842339i</v>
      </c>
      <c r="Z467" s="227" t="str">
        <f t="shared" si="179"/>
        <v>-0.385092783853188-0.339376685094418i</v>
      </c>
      <c r="AA467" s="227" t="str">
        <f t="shared" si="180"/>
        <v>-2.131083268251+2.16826121902209i</v>
      </c>
      <c r="AB467" s="227">
        <f t="shared" si="189"/>
        <v>9.6580696741538912</v>
      </c>
      <c r="AC467" s="227">
        <f t="shared" si="190"/>
        <v>-225.49544449947291</v>
      </c>
      <c r="AD467" s="229">
        <f t="shared" si="191"/>
        <v>-26.594994695464468</v>
      </c>
      <c r="AE467" s="229">
        <f t="shared" si="192"/>
        <v>105.9781256023026</v>
      </c>
      <c r="AF467" s="227">
        <f t="shared" si="181"/>
        <v>-16.936925021310579</v>
      </c>
      <c r="AG467" s="227">
        <f t="shared" si="182"/>
        <v>-119.51731889717031</v>
      </c>
      <c r="AH467" s="229" t="str">
        <f t="shared" si="183"/>
        <v>0.0128827830259457-0.0449924260828237i</v>
      </c>
    </row>
    <row r="468" spans="9:34" x14ac:dyDescent="0.2">
      <c r="I468" s="227">
        <v>464</v>
      </c>
      <c r="J468" s="227">
        <f t="shared" si="171"/>
        <v>5.5240568524274973</v>
      </c>
      <c r="K468" s="227">
        <f t="shared" si="169"/>
        <v>334238.79154435318</v>
      </c>
      <c r="L468" s="227">
        <f t="shared" si="184"/>
        <v>2100084.2641209406</v>
      </c>
      <c r="M468" s="227">
        <f t="shared" si="172"/>
        <v>333009.05578685738</v>
      </c>
      <c r="N468" s="227">
        <f>SQRT((ABS(AC468)-171.5+'Small Signal'!C$59)^2)</f>
        <v>128.00510014709292</v>
      </c>
      <c r="O468" s="227">
        <f t="shared" si="185"/>
        <v>123.8637024405691</v>
      </c>
      <c r="P468" s="227">
        <f t="shared" si="186"/>
        <v>16.989010477590782</v>
      </c>
      <c r="Q468" s="227">
        <f t="shared" si="170"/>
        <v>334238.79154435318</v>
      </c>
      <c r="R468" s="227" t="str">
        <f t="shared" si="173"/>
        <v>0.0945666666666667+9.87039604136842i</v>
      </c>
      <c r="S468" s="227" t="str">
        <f t="shared" si="174"/>
        <v>0.0085-0.050656528664546i</v>
      </c>
      <c r="T468" s="227" t="str">
        <f t="shared" si="175"/>
        <v>0.00860379681375594-0.0506204406551505i</v>
      </c>
      <c r="U468" s="227" t="str">
        <f t="shared" si="176"/>
        <v>-0.066921074429154+0.238424781497042i</v>
      </c>
      <c r="V468" s="227">
        <f t="shared" si="187"/>
        <v>-12.123638125081328</v>
      </c>
      <c r="W468" s="227">
        <f t="shared" si="188"/>
        <v>-254.32162977535566</v>
      </c>
      <c r="X468" s="227" t="str">
        <f t="shared" si="177"/>
        <v>0.205578170502901-0.28340585220072i</v>
      </c>
      <c r="Y468" s="227" t="str">
        <f t="shared" si="178"/>
        <v>0.0182753864855149-2.43275077793079i</v>
      </c>
      <c r="Z468" s="227" t="str">
        <f t="shared" si="179"/>
        <v>-0.38556200730517-0.2841253493515i</v>
      </c>
      <c r="AA468" s="227" t="str">
        <f t="shared" si="180"/>
        <v>-2.00360810625429+2.34634657368684i</v>
      </c>
      <c r="AB468" s="227">
        <f t="shared" si="189"/>
        <v>9.7862726274767837</v>
      </c>
      <c r="AC468" s="227">
        <f t="shared" si="190"/>
        <v>-229.50510014709292</v>
      </c>
      <c r="AD468" s="229">
        <f t="shared" si="191"/>
        <v>-26.775283105067565</v>
      </c>
      <c r="AE468" s="229">
        <f t="shared" si="192"/>
        <v>105.64139770652382</v>
      </c>
      <c r="AF468" s="227">
        <f t="shared" si="181"/>
        <v>-16.989010477590782</v>
      </c>
      <c r="AG468" s="227">
        <f t="shared" si="182"/>
        <v>-123.8637024405691</v>
      </c>
      <c r="AH468" s="229" t="str">
        <f t="shared" si="183"/>
        <v>0.0123589324731742-0.0441415629502264i</v>
      </c>
    </row>
    <row r="469" spans="9:34" x14ac:dyDescent="0.2">
      <c r="I469" s="227">
        <v>465</v>
      </c>
      <c r="J469" s="227">
        <f t="shared" si="171"/>
        <v>5.5338069749542811</v>
      </c>
      <c r="K469" s="227">
        <f t="shared" ref="K469:K504" si="193">10^(J469)</f>
        <v>341827.48126845621</v>
      </c>
      <c r="L469" s="227">
        <f t="shared" si="184"/>
        <v>2147765.4078961695</v>
      </c>
      <c r="M469" s="227">
        <f t="shared" si="172"/>
        <v>340770.04212399689</v>
      </c>
      <c r="N469" s="227">
        <f>SQRT((ABS(AC469)-171.5+'Small Signal'!C$59)^2)</f>
        <v>132.28982945057282</v>
      </c>
      <c r="O469" s="227">
        <f t="shared" si="185"/>
        <v>128.47878862137128</v>
      </c>
      <c r="P469" s="227">
        <f t="shared" si="186"/>
        <v>17.079063866083015</v>
      </c>
      <c r="Q469" s="227">
        <f t="shared" ref="Q469:Q504" si="194">K469</f>
        <v>341827.48126845621</v>
      </c>
      <c r="R469" s="227" t="str">
        <f t="shared" si="173"/>
        <v>0.0945666666666667+10.094497417112i</v>
      </c>
      <c r="S469" s="227" t="str">
        <f t="shared" si="174"/>
        <v>0.0085-0.0495319359983598i</v>
      </c>
      <c r="T469" s="227" t="str">
        <f t="shared" si="175"/>
        <v>0.00859910720525342-0.0494966588305353i</v>
      </c>
      <c r="U469" s="227" t="str">
        <f t="shared" si="176"/>
        <v>-0.0657733760417582+0.233142345663395i</v>
      </c>
      <c r="V469" s="227">
        <f t="shared" si="187"/>
        <v>-12.314988648854575</v>
      </c>
      <c r="W469" s="227">
        <f t="shared" si="188"/>
        <v>-254.24534831595491</v>
      </c>
      <c r="X469" s="227" t="str">
        <f t="shared" si="177"/>
        <v>0.169094919464271-0.289840410764103i</v>
      </c>
      <c r="Y469" s="227" t="str">
        <f t="shared" si="178"/>
        <v>0.0174725818440998-2.37872669343078i</v>
      </c>
      <c r="Z469" s="227" t="str">
        <f t="shared" si="179"/>
        <v>-0.386010608514377-0.229018085469098i</v>
      </c>
      <c r="AA469" s="227" t="str">
        <f t="shared" si="180"/>
        <v>-1.84186701068047+2.51565504859728i</v>
      </c>
      <c r="AB469" s="227">
        <f t="shared" si="189"/>
        <v>9.8771069332785437</v>
      </c>
      <c r="AC469" s="227">
        <f t="shared" si="190"/>
        <v>-233.78982945057282</v>
      </c>
      <c r="AD469" s="229">
        <f t="shared" si="191"/>
        <v>-26.956170799361558</v>
      </c>
      <c r="AE469" s="229">
        <f t="shared" si="192"/>
        <v>105.31104082920156</v>
      </c>
      <c r="AF469" s="227">
        <f t="shared" si="181"/>
        <v>-17.079063866083015</v>
      </c>
      <c r="AG469" s="227">
        <f t="shared" si="182"/>
        <v>-128.47878862137128</v>
      </c>
      <c r="AH469" s="229" t="str">
        <f t="shared" si="183"/>
        <v>0.0118547470884216-0.043300872013364i</v>
      </c>
    </row>
    <row r="470" spans="9:34" x14ac:dyDescent="0.2">
      <c r="I470" s="227">
        <v>466</v>
      </c>
      <c r="J470" s="227">
        <f t="shared" si="171"/>
        <v>5.543557097481064</v>
      </c>
      <c r="K470" s="227">
        <f t="shared" si="193"/>
        <v>349588.46760559571</v>
      </c>
      <c r="L470" s="227">
        <f t="shared" si="184"/>
        <v>2196529.1232189056</v>
      </c>
      <c r="M470" s="227">
        <f t="shared" si="172"/>
        <v>348707.23696462403</v>
      </c>
      <c r="N470" s="227">
        <f>SQRT((ABS(AC470)-171.5+'Small Signal'!C$59)^2)</f>
        <v>136.82637992881985</v>
      </c>
      <c r="O470" s="227">
        <f t="shared" si="185"/>
        <v>133.33940119721075</v>
      </c>
      <c r="P470" s="227">
        <f t="shared" si="186"/>
        <v>17.215799415003339</v>
      </c>
      <c r="Q470" s="227">
        <f t="shared" si="194"/>
        <v>349588.46760559571</v>
      </c>
      <c r="R470" s="227" t="str">
        <f t="shared" si="173"/>
        <v>0.0945666666666667+10.3236868791289i</v>
      </c>
      <c r="S470" s="227" t="str">
        <f t="shared" si="174"/>
        <v>0.0085-0.0484323096829717i</v>
      </c>
      <c r="T470" s="227" t="str">
        <f t="shared" si="175"/>
        <v>0.00859462350563723-0.04839782472558i</v>
      </c>
      <c r="U470" s="227" t="str">
        <f t="shared" si="176"/>
        <v>-0.064676082989394+0.227976485927685i</v>
      </c>
      <c r="V470" s="227">
        <f t="shared" si="187"/>
        <v>-12.506017167875461</v>
      </c>
      <c r="W470" s="227">
        <f t="shared" si="188"/>
        <v>-254.16155745175161</v>
      </c>
      <c r="X470" s="227" t="str">
        <f t="shared" si="177"/>
        <v>0.130936201366552-0.296421062090157i</v>
      </c>
      <c r="Y470" s="227" t="str">
        <f t="shared" si="178"/>
        <v>0.0167050585649203-2.32590301540386i</v>
      </c>
      <c r="Z470" s="227" t="str">
        <f t="shared" si="179"/>
        <v>-0.386439494647466-0.174027060882268i</v>
      </c>
      <c r="AA470" s="227" t="str">
        <f t="shared" si="180"/>
        <v>-1.64557301396497+2.6671557266267i</v>
      </c>
      <c r="AB470" s="227">
        <f t="shared" si="189"/>
        <v>9.921835788606499</v>
      </c>
      <c r="AC470" s="227">
        <f t="shared" si="190"/>
        <v>-238.32637992881985</v>
      </c>
      <c r="AD470" s="229">
        <f t="shared" si="191"/>
        <v>-27.13763520360984</v>
      </c>
      <c r="AE470" s="229">
        <f t="shared" si="192"/>
        <v>104.9869787316091</v>
      </c>
      <c r="AF470" s="227">
        <f t="shared" si="181"/>
        <v>-17.215799415003339</v>
      </c>
      <c r="AG470" s="227">
        <f t="shared" si="182"/>
        <v>-133.33940119721075</v>
      </c>
      <c r="AH470" s="229" t="str">
        <f t="shared" si="183"/>
        <v>0.0113696200402931-0.042470605462657i</v>
      </c>
    </row>
    <row r="471" spans="9:34" x14ac:dyDescent="0.2">
      <c r="I471" s="227">
        <v>467</v>
      </c>
      <c r="J471" s="227">
        <f t="shared" si="171"/>
        <v>5.5533072200078477</v>
      </c>
      <c r="K471" s="227">
        <f t="shared" si="193"/>
        <v>357525.66244622285</v>
      </c>
      <c r="L471" s="227">
        <f t="shared" si="184"/>
        <v>2246399.9892217559</v>
      </c>
      <c r="M471" s="227">
        <f t="shared" si="172"/>
        <v>356824.64101629809</v>
      </c>
      <c r="N471" s="227">
        <f>SQRT((ABS(AC471)-171.5+'Small Signal'!C$59)^2)</f>
        <v>141.57562690006029</v>
      </c>
      <c r="O471" s="227">
        <f t="shared" si="185"/>
        <v>138.40649362170703</v>
      </c>
      <c r="P471" s="227">
        <f t="shared" si="186"/>
        <v>17.407579723891182</v>
      </c>
      <c r="Q471" s="227">
        <f t="shared" si="194"/>
        <v>357525.66244622285</v>
      </c>
      <c r="R471" s="227" t="str">
        <f t="shared" si="173"/>
        <v>0.0945666666666667+10.5580799493423i</v>
      </c>
      <c r="S471" s="227" t="str">
        <f t="shared" si="174"/>
        <v>0.0085-0.0473570954566554i</v>
      </c>
      <c r="T471" s="227" t="str">
        <f t="shared" si="175"/>
        <v>0.00859033667403927-0.0473233845332217i</v>
      </c>
      <c r="U471" s="227" t="str">
        <f t="shared" si="176"/>
        <v>-0.0636269810199272+0.222924659618152i</v>
      </c>
      <c r="V471" s="227">
        <f t="shared" si="187"/>
        <v>-12.696716573051329</v>
      </c>
      <c r="W471" s="227">
        <f t="shared" si="188"/>
        <v>-254.07023575498835</v>
      </c>
      <c r="X471" s="227" t="str">
        <f t="shared" si="177"/>
        <v>0.091025071590325-0.303151123126751i</v>
      </c>
      <c r="Y471" s="227" t="str">
        <f t="shared" si="178"/>
        <v>0.015971264775241-2.27425302583253i</v>
      </c>
      <c r="Z471" s="227" t="str">
        <f t="shared" si="179"/>
        <v>-0.386849532894299-0.119124505262744i</v>
      </c>
      <c r="AA471" s="227" t="str">
        <f t="shared" si="180"/>
        <v>-1.41750177541207+2.791105324408i</v>
      </c>
      <c r="AB471" s="227">
        <f t="shared" si="189"/>
        <v>9.9120747221170316</v>
      </c>
      <c r="AC471" s="227">
        <f t="shared" si="190"/>
        <v>-243.07562690006029</v>
      </c>
      <c r="AD471" s="229">
        <f t="shared" si="191"/>
        <v>-27.319654446008212</v>
      </c>
      <c r="AE471" s="229">
        <f t="shared" si="192"/>
        <v>104.66913327835326</v>
      </c>
      <c r="AF471" s="227">
        <f t="shared" si="181"/>
        <v>-17.407579723891182</v>
      </c>
      <c r="AG471" s="227">
        <f t="shared" si="182"/>
        <v>-138.40649362170703</v>
      </c>
      <c r="AH471" s="229" t="str">
        <f t="shared" si="183"/>
        <v>0.0109029525337062-0.0416509872009265i</v>
      </c>
    </row>
    <row r="472" spans="9:34" x14ac:dyDescent="0.2">
      <c r="I472" s="227">
        <v>468</v>
      </c>
      <c r="J472" s="227">
        <f t="shared" si="171"/>
        <v>5.5630573425346315</v>
      </c>
      <c r="K472" s="227">
        <f t="shared" si="193"/>
        <v>365643.06649789691</v>
      </c>
      <c r="L472" s="227">
        <f t="shared" si="184"/>
        <v>2297403.1430916744</v>
      </c>
      <c r="M472" s="227">
        <f t="shared" si="172"/>
        <v>365126.34582022321</v>
      </c>
      <c r="N472" s="227">
        <f>SQRT((ABS(AC472)-171.5+'Small Signal'!C$59)^2)</f>
        <v>146.48253314758369</v>
      </c>
      <c r="O472" s="227">
        <f t="shared" si="185"/>
        <v>143.62510849635163</v>
      </c>
      <c r="P472" s="227">
        <f t="shared" si="186"/>
        <v>17.661565629665454</v>
      </c>
      <c r="Q472" s="227">
        <f t="shared" si="194"/>
        <v>365643.06649789691</v>
      </c>
      <c r="R472" s="227" t="str">
        <f t="shared" si="173"/>
        <v>0.0945666666666667+10.7977947725309i</v>
      </c>
      <c r="S472" s="227" t="str">
        <f t="shared" si="174"/>
        <v>0.0085-0.0463057513624893i</v>
      </c>
      <c r="T472" s="227" t="str">
        <f t="shared" si="175"/>
        <v>0.0085862380665438-0.046272796738434i</v>
      </c>
      <c r="U472" s="227" t="str">
        <f t="shared" si="176"/>
        <v>-0.0626239531955021+0.21798437755298i</v>
      </c>
      <c r="V472" s="227">
        <f t="shared" si="187"/>
        <v>-12.887079188035761</v>
      </c>
      <c r="W472" s="227">
        <f t="shared" si="188"/>
        <v>-253.97135988077997</v>
      </c>
      <c r="X472" s="227" t="str">
        <f t="shared" si="177"/>
        <v>0.049281051889881-0.310033986131051i</v>
      </c>
      <c r="Y472" s="227" t="str">
        <f t="shared" si="178"/>
        <v>0.0152697169775144-2.22375060431456i</v>
      </c>
      <c r="Z472" s="227" t="str">
        <f t="shared" si="179"/>
        <v>-0.38724155223568-0.0642826962839555i</v>
      </c>
      <c r="AA472" s="227" t="str">
        <f t="shared" si="180"/>
        <v>-1.16395194924994+2.87835549668583i</v>
      </c>
      <c r="AB472" s="227">
        <f t="shared" si="189"/>
        <v>9.840641718138766</v>
      </c>
      <c r="AC472" s="227">
        <f t="shared" si="190"/>
        <v>-247.98253314758369</v>
      </c>
      <c r="AD472" s="229">
        <f t="shared" si="191"/>
        <v>-27.502207347804219</v>
      </c>
      <c r="AE472" s="229">
        <f t="shared" si="192"/>
        <v>104.35742465123208</v>
      </c>
      <c r="AF472" s="227">
        <f t="shared" si="181"/>
        <v>-17.661565629665454</v>
      </c>
      <c r="AG472" s="227">
        <f t="shared" si="182"/>
        <v>-143.62510849635163</v>
      </c>
      <c r="AH472" s="229" t="str">
        <f t="shared" si="183"/>
        <v>0.0104541546733777-0.040842214195231i</v>
      </c>
    </row>
    <row r="473" spans="9:34" x14ac:dyDescent="0.2">
      <c r="I473" s="227">
        <v>469</v>
      </c>
      <c r="J473" s="227">
        <f t="shared" si="171"/>
        <v>5.5728074650614143</v>
      </c>
      <c r="K473" s="227">
        <f t="shared" si="193"/>
        <v>373944.77130182204</v>
      </c>
      <c r="L473" s="227">
        <f t="shared" si="184"/>
        <v>2349564.2927402388</v>
      </c>
      <c r="M473" s="227">
        <f t="shared" si="172"/>
        <v>373616.53581357532</v>
      </c>
      <c r="N473" s="227">
        <f>SQRT((ABS(AC473)-171.5+'Small Signal'!C$59)^2)</f>
        <v>151.4785749931832</v>
      </c>
      <c r="O473" s="227">
        <f t="shared" si="185"/>
        <v>148.92680344046715</v>
      </c>
      <c r="P473" s="227">
        <f t="shared" si="186"/>
        <v>17.982839085438822</v>
      </c>
      <c r="Q473" s="227">
        <f t="shared" si="194"/>
        <v>373944.77130182204</v>
      </c>
      <c r="R473" s="227" t="str">
        <f t="shared" si="173"/>
        <v>0.0945666666666667+11.0429521758791i</v>
      </c>
      <c r="S473" s="227" t="str">
        <f t="shared" si="174"/>
        <v>0.0085-0.0452777474751851i</v>
      </c>
      <c r="T473" s="227" t="str">
        <f t="shared" si="175"/>
        <v>0.00858231941875926-0.045245531845515i</v>
      </c>
      <c r="U473" s="227" t="str">
        <f t="shared" si="176"/>
        <v>-0.0616649756118449+0.213153203045886i</v>
      </c>
      <c r="V473" s="227">
        <f t="shared" si="187"/>
        <v>-13.077096760975168</v>
      </c>
      <c r="W473" s="227">
        <f t="shared" si="188"/>
        <v>-253.86490464005826</v>
      </c>
      <c r="X473" s="227" t="str">
        <f t="shared" si="177"/>
        <v>0.00561996811397703-0.317073120379365i</v>
      </c>
      <c r="Y473" s="227" t="str">
        <f t="shared" si="178"/>
        <v>0.0145989970268937-2.17437021450491i</v>
      </c>
      <c r="Z473" s="227" t="str">
        <f t="shared" si="179"/>
        <v>-0.387616345132429-0.00947394542569293i</v>
      </c>
      <c r="AA473" s="227" t="str">
        <f t="shared" si="180"/>
        <v>-0.894515527606786+2.92192018445496i</v>
      </c>
      <c r="AB473" s="227">
        <f t="shared" si="189"/>
        <v>9.7024343270302502</v>
      </c>
      <c r="AC473" s="227">
        <f t="shared" si="190"/>
        <v>-252.9785749931832</v>
      </c>
      <c r="AD473" s="229">
        <f t="shared" si="191"/>
        <v>-27.685273412469073</v>
      </c>
      <c r="AE473" s="229">
        <f t="shared" si="192"/>
        <v>104.05177155271606</v>
      </c>
      <c r="AF473" s="227">
        <f t="shared" si="181"/>
        <v>-17.982839085438822</v>
      </c>
      <c r="AG473" s="227">
        <f t="shared" si="182"/>
        <v>-148.92680344046715</v>
      </c>
      <c r="AH473" s="229" t="str">
        <f t="shared" si="183"/>
        <v>0.0100226462255413-0.0400444578133519i</v>
      </c>
    </row>
    <row r="474" spans="9:34" x14ac:dyDescent="0.2">
      <c r="I474" s="227">
        <v>470</v>
      </c>
      <c r="J474" s="227">
        <f t="shared" si="171"/>
        <v>5.5825575875881981</v>
      </c>
      <c r="K474" s="227">
        <f t="shared" si="193"/>
        <v>382434.96129517414</v>
      </c>
      <c r="L474" s="227">
        <f t="shared" si="184"/>
        <v>2402909.7297616317</v>
      </c>
      <c r="M474" s="227">
        <f t="shared" si="172"/>
        <v>382299.49043864635</v>
      </c>
      <c r="N474" s="227">
        <f>SQRT((ABS(AC474)-171.5+'Small Signal'!C$59)^2)</f>
        <v>156.48669846814192</v>
      </c>
      <c r="O474" s="227">
        <f t="shared" si="185"/>
        <v>154.23460706894866</v>
      </c>
      <c r="P474" s="227">
        <f t="shared" si="186"/>
        <v>18.373697412329967</v>
      </c>
      <c r="Q474" s="227">
        <f t="shared" si="194"/>
        <v>382434.96129517414</v>
      </c>
      <c r="R474" s="227" t="str">
        <f t="shared" si="173"/>
        <v>0.0945666666666667+11.2936757298797i</v>
      </c>
      <c r="S474" s="227" t="str">
        <f t="shared" si="174"/>
        <v>0.0085-0.0442725656339814i</v>
      </c>
      <c r="T474" s="227" t="str">
        <f t="shared" si="175"/>
        <v>0.00857857282915511-0.0442410721114158i</v>
      </c>
      <c r="U474" s="227" t="str">
        <f t="shared" si="176"/>
        <v>-0.0607481133062015+0.208428750921194i</v>
      </c>
      <c r="V474" s="227">
        <f t="shared" si="187"/>
        <v>-13.266760455809139</v>
      </c>
      <c r="W474" s="227">
        <f t="shared" si="188"/>
        <v>-253.75084307831435</v>
      </c>
      <c r="X474" s="227" t="str">
        <f t="shared" si="177"/>
        <v>-0.0400462195259901-0.32427207391583i</v>
      </c>
      <c r="Y474" s="227" t="str">
        <f t="shared" si="178"/>
        <v>0.0139577492432355-2.1260868908775i</v>
      </c>
      <c r="Z474" s="227" t="str">
        <f t="shared" si="179"/>
        <v>-0.387974669139316+0.0453294161897606i</v>
      </c>
      <c r="AA474" s="227" t="str">
        <f t="shared" si="180"/>
        <v>-0.621025951364915+2.91836575865083i</v>
      </c>
      <c r="AB474" s="227">
        <f t="shared" si="189"/>
        <v>9.4951354017082075</v>
      </c>
      <c r="AC474" s="227">
        <f t="shared" si="190"/>
        <v>-257.98669846814192</v>
      </c>
      <c r="AD474" s="229">
        <f t="shared" si="191"/>
        <v>-27.868832814038175</v>
      </c>
      <c r="AE474" s="229">
        <f t="shared" si="192"/>
        <v>103.75209139919328</v>
      </c>
      <c r="AF474" s="227">
        <f t="shared" si="181"/>
        <v>-18.373697412329967</v>
      </c>
      <c r="AG474" s="227">
        <f t="shared" si="182"/>
        <v>-154.23460706894866</v>
      </c>
      <c r="AH474" s="229" t="str">
        <f t="shared" si="183"/>
        <v>0.00960785728381529-0.0392578651399875i</v>
      </c>
    </row>
    <row r="475" spans="9:34" x14ac:dyDescent="0.2">
      <c r="I475" s="227">
        <v>471</v>
      </c>
      <c r="J475" s="227">
        <f t="shared" si="171"/>
        <v>5.592307710114981</v>
      </c>
      <c r="K475" s="227">
        <f t="shared" si="193"/>
        <v>391117.91592024517</v>
      </c>
      <c r="L475" s="227">
        <f t="shared" si="184"/>
        <v>2457466.3426847854</v>
      </c>
      <c r="M475" s="227">
        <f t="shared" si="172"/>
        <v>391179.58629988012</v>
      </c>
      <c r="N475" s="227">
        <f>SQRT((ABS(AC475)-171.5+'Small Signal'!C$59)^2)</f>
        <v>161.42806647364421</v>
      </c>
      <c r="O475" s="227">
        <f t="shared" si="185"/>
        <v>159.46976596949466</v>
      </c>
      <c r="P475" s="227">
        <f t="shared" si="186"/>
        <v>18.833309668406503</v>
      </c>
      <c r="Q475" s="227">
        <f t="shared" si="194"/>
        <v>391117.91592024517</v>
      </c>
      <c r="R475" s="227" t="str">
        <f t="shared" si="173"/>
        <v>0.0945666666666667+11.5500918106185i</v>
      </c>
      <c r="S475" s="227" t="str">
        <f t="shared" si="174"/>
        <v>0.0085-0.043289699181467i</v>
      </c>
      <c r="T475" s="227" t="str">
        <f t="shared" si="175"/>
        <v>0.00857499074313033-0.0432589112849806i</v>
      </c>
      <c r="U475" s="227" t="str">
        <f t="shared" si="176"/>
        <v>-0.0598715163455579+0.20380868653895i</v>
      </c>
      <c r="V475" s="227">
        <f t="shared" si="187"/>
        <v>-13.456060843157658</v>
      </c>
      <c r="W475" s="227">
        <f t="shared" si="188"/>
        <v>-253.62914656037447</v>
      </c>
      <c r="X475" s="227" t="str">
        <f t="shared" si="177"/>
        <v>-0.0878095939825401-0.331634475340777i</v>
      </c>
      <c r="Y475" s="227" t="str">
        <f t="shared" si="178"/>
        <v>0.0133446776514548-2.07887622579885i</v>
      </c>
      <c r="Z475" s="227" t="str">
        <f t="shared" si="179"/>
        <v>-0.388317248447257+0.100155051937991i</v>
      </c>
      <c r="AA475" s="227" t="str">
        <f t="shared" si="180"/>
        <v>-0.3558689488476+2.86854224623387i</v>
      </c>
      <c r="AB475" s="227">
        <f t="shared" si="189"/>
        <v>9.2195567163210832</v>
      </c>
      <c r="AC475" s="227">
        <f t="shared" si="190"/>
        <v>-262.92806647364421</v>
      </c>
      <c r="AD475" s="229">
        <f t="shared" si="191"/>
        <v>-28.052866384727587</v>
      </c>
      <c r="AE475" s="229">
        <f t="shared" si="192"/>
        <v>103.45830050414955</v>
      </c>
      <c r="AF475" s="227">
        <f t="shared" si="181"/>
        <v>-18.833309668406503</v>
      </c>
      <c r="AG475" s="227">
        <f t="shared" si="182"/>
        <v>-159.46976596949466</v>
      </c>
      <c r="AH475" s="229" t="str">
        <f t="shared" si="183"/>
        <v>0.00920922884511145-0.0384825602683768i</v>
      </c>
    </row>
    <row r="476" spans="9:34" x14ac:dyDescent="0.2">
      <c r="I476" s="227">
        <v>472</v>
      </c>
      <c r="J476" s="227">
        <f t="shared" si="171"/>
        <v>5.6020578326417656</v>
      </c>
      <c r="K476" s="227">
        <f t="shared" si="193"/>
        <v>399998.01178147894</v>
      </c>
      <c r="L476" s="227">
        <f t="shared" si="184"/>
        <v>2513261.6305264356</v>
      </c>
      <c r="M476" s="227">
        <f t="shared" si="172"/>
        <v>400261.29936987458</v>
      </c>
      <c r="N476" s="227">
        <f>SQRT((ABS(AC476)-171.5+'Small Signal'!C$59)^2)</f>
        <v>166.22919785671377</v>
      </c>
      <c r="O476" s="227">
        <f t="shared" si="185"/>
        <v>164.55888360522323</v>
      </c>
      <c r="P476" s="227">
        <f t="shared" si="186"/>
        <v>19.357836707656279</v>
      </c>
      <c r="Q476" s="227">
        <f t="shared" si="194"/>
        <v>399998.01178147894</v>
      </c>
      <c r="R476" s="227" t="str">
        <f t="shared" si="173"/>
        <v>0.0945666666666667+11.8123296634742i</v>
      </c>
      <c r="S476" s="227" t="str">
        <f t="shared" si="174"/>
        <v>0.0085-0.0423286527082025i</v>
      </c>
      <c r="T476" s="227" t="str">
        <f t="shared" si="175"/>
        <v>0.00857156593778134-0.0422985543519634i</v>
      </c>
      <c r="U476" s="227" t="str">
        <f t="shared" si="176"/>
        <v>-0.0590334160871846+0.199290724830674i</v>
      </c>
      <c r="V476" s="227">
        <f t="shared" si="187"/>
        <v>-13.644987890827538</v>
      </c>
      <c r="W476" s="227">
        <f t="shared" si="188"/>
        <v>-253.49978486145625</v>
      </c>
      <c r="X476" s="227" t="str">
        <f t="shared" si="177"/>
        <v>-0.13776646705163-0.339164035639714i</v>
      </c>
      <c r="Y476" s="227" t="str">
        <f t="shared" si="178"/>
        <v>0.0127585433445539-2.03271435690475i</v>
      </c>
      <c r="Z476" s="227" t="str">
        <f t="shared" si="179"/>
        <v>-0.38864477535691+0.155030633817611i</v>
      </c>
      <c r="AA476" s="227" t="str">
        <f t="shared" si="180"/>
        <v>-0.110133364161957+2.77737656342328i</v>
      </c>
      <c r="AB476" s="227">
        <f t="shared" si="189"/>
        <v>8.879518894272298</v>
      </c>
      <c r="AC476" s="227">
        <f t="shared" si="190"/>
        <v>-267.72919785671377</v>
      </c>
      <c r="AD476" s="229">
        <f t="shared" si="191"/>
        <v>-28.237355601928577</v>
      </c>
      <c r="AE476" s="229">
        <f t="shared" si="192"/>
        <v>103.17031425149054</v>
      </c>
      <c r="AF476" s="227">
        <f t="shared" si="181"/>
        <v>-19.357836707656279</v>
      </c>
      <c r="AG476" s="227">
        <f t="shared" si="182"/>
        <v>-164.55888360522323</v>
      </c>
      <c r="AH476" s="229" t="str">
        <f t="shared" si="183"/>
        <v>0.00882621330140706-0.0377186455636755i</v>
      </c>
    </row>
    <row r="477" spans="9:34" x14ac:dyDescent="0.2">
      <c r="I477" s="227">
        <v>473</v>
      </c>
      <c r="J477" s="227">
        <f t="shared" si="171"/>
        <v>5.6118079551685485</v>
      </c>
      <c r="K477" s="227">
        <f t="shared" si="193"/>
        <v>409079.72485147341</v>
      </c>
      <c r="L477" s="227">
        <f t="shared" si="184"/>
        <v>2570323.7166518457</v>
      </c>
      <c r="M477" s="227">
        <f t="shared" si="172"/>
        <v>409549.20724548411</v>
      </c>
      <c r="N477" s="227">
        <f>SQRT((ABS(AC477)-171.5+'Small Signal'!C$59)^2)</f>
        <v>170.8279463301073</v>
      </c>
      <c r="O477" s="227">
        <f t="shared" si="185"/>
        <v>169.43989907087268</v>
      </c>
      <c r="P477" s="227">
        <f t="shared" si="186"/>
        <v>19.940978822114147</v>
      </c>
      <c r="Q477" s="227">
        <f t="shared" si="194"/>
        <v>409079.72485147341</v>
      </c>
      <c r="R477" s="227" t="str">
        <f t="shared" si="173"/>
        <v>0.0945666666666667+12.0805214682637i</v>
      </c>
      <c r="S477" s="227" t="str">
        <f t="shared" si="174"/>
        <v>0.0085-0.0413889418030119i</v>
      </c>
      <c r="T477" s="227" t="str">
        <f t="shared" si="175"/>
        <v>0.00856829150733859-0.0413595172857004i</v>
      </c>
      <c r="U477" s="227" t="str">
        <f t="shared" si="176"/>
        <v>-0.0582321216038832+0.194872629346227i</v>
      </c>
      <c r="V477" s="227">
        <f t="shared" si="187"/>
        <v>-13.833530953975835</v>
      </c>
      <c r="W477" s="227">
        <f t="shared" si="188"/>
        <v>-253.36272626476307</v>
      </c>
      <c r="X477" s="227" t="str">
        <f t="shared" si="177"/>
        <v>-0.19001757357908-0.34686455005383i</v>
      </c>
      <c r="Y477" s="227" t="str">
        <f t="shared" si="178"/>
        <v>0.0121981619637069-1.98757795477313i</v>
      </c>
      <c r="Z477" s="227" t="str">
        <f t="shared" si="179"/>
        <v>-0.388957911686889+0.209983856567623i</v>
      </c>
      <c r="AA477" s="227" t="str">
        <f t="shared" si="180"/>
        <v>0.107844008421394+2.6528128781601i</v>
      </c>
      <c r="AB477" s="227">
        <f t="shared" si="189"/>
        <v>8.4813037525604233</v>
      </c>
      <c r="AC477" s="227">
        <f t="shared" si="190"/>
        <v>-272.3279463301073</v>
      </c>
      <c r="AD477" s="229">
        <f t="shared" si="191"/>
        <v>-28.422282574674572</v>
      </c>
      <c r="AE477" s="229">
        <f t="shared" si="192"/>
        <v>102.88804725923463</v>
      </c>
      <c r="AF477" s="227">
        <f t="shared" si="181"/>
        <v>-19.940978822114147</v>
      </c>
      <c r="AG477" s="227">
        <f t="shared" si="182"/>
        <v>-169.43989907087268</v>
      </c>
      <c r="AH477" s="229" t="str">
        <f t="shared" si="183"/>
        <v>0.0084582748530919-0.0369662028949772i</v>
      </c>
    </row>
    <row r="478" spans="9:34" x14ac:dyDescent="0.2">
      <c r="I478" s="227">
        <v>474</v>
      </c>
      <c r="J478" s="227">
        <f t="shared" si="171"/>
        <v>5.6215580776953322</v>
      </c>
      <c r="K478" s="227">
        <f t="shared" si="193"/>
        <v>418367.63272708294</v>
      </c>
      <c r="L478" s="227">
        <f t="shared" si="184"/>
        <v>2628681.3629503129</v>
      </c>
      <c r="M478" s="227">
        <f t="shared" si="172"/>
        <v>419047.99145513133</v>
      </c>
      <c r="N478" s="227">
        <f>SQRT((ABS(AC478)-171.5+'Small Signal'!C$59)^2)</f>
        <v>175.17721142063647</v>
      </c>
      <c r="O478" s="227">
        <f t="shared" si="185"/>
        <v>174.06579788680892</v>
      </c>
      <c r="P478" s="227">
        <f t="shared" si="186"/>
        <v>20.574794775228035</v>
      </c>
      <c r="Q478" s="227">
        <f t="shared" si="194"/>
        <v>418367.63272708294</v>
      </c>
      <c r="R478" s="227" t="str">
        <f t="shared" si="173"/>
        <v>0.0945666666666667+12.3548024058665i</v>
      </c>
      <c r="S478" s="227" t="str">
        <f t="shared" si="174"/>
        <v>0.0085-0.0404700928088161i</v>
      </c>
      <c r="T478" s="227" t="str">
        <f t="shared" si="175"/>
        <v>0.00856516084924261-0.0404413268033028i</v>
      </c>
      <c r="U478" s="227" t="str">
        <f t="shared" si="176"/>
        <v>-0.0574660162666643+0.190552211312176i</v>
      </c>
      <c r="V478" s="227">
        <f t="shared" si="187"/>
        <v>-14.021678764973212</v>
      </c>
      <c r="W478" s="227">
        <f t="shared" si="188"/>
        <v>-253.2179376658766</v>
      </c>
      <c r="X478" s="227" t="str">
        <f t="shared" si="177"/>
        <v>-0.24466827458604-0.354739899992976i</v>
      </c>
      <c r="Y478" s="227" t="str">
        <f t="shared" si="178"/>
        <v>0.0116624012902766-1.9434442108848i</v>
      </c>
      <c r="Z478" s="227" t="str">
        <f t="shared" si="179"/>
        <v>-0.389257290119444+0.26504245178548i</v>
      </c>
      <c r="AA478" s="227" t="str">
        <f t="shared" si="180"/>
        <v>0.293177580803673+2.50429736304647i</v>
      </c>
      <c r="AB478" s="227">
        <f t="shared" si="189"/>
        <v>8.0328352544414621</v>
      </c>
      <c r="AC478" s="227">
        <f t="shared" si="190"/>
        <v>-276.67721142063647</v>
      </c>
      <c r="AD478" s="229">
        <f t="shared" si="191"/>
        <v>-28.607630029669497</v>
      </c>
      <c r="AE478" s="229">
        <f t="shared" si="192"/>
        <v>102.61141353382753</v>
      </c>
      <c r="AF478" s="227">
        <f t="shared" si="181"/>
        <v>-20.574794775228035</v>
      </c>
      <c r="AG478" s="227">
        <f t="shared" si="182"/>
        <v>-174.06579788680892</v>
      </c>
      <c r="AH478" s="229" t="str">
        <f t="shared" si="183"/>
        <v>0.00810488984946172-0.0362252948333898i</v>
      </c>
    </row>
    <row r="479" spans="9:34" x14ac:dyDescent="0.2">
      <c r="I479" s="227">
        <v>475</v>
      </c>
      <c r="J479" s="227">
        <f t="shared" si="171"/>
        <v>5.6313082002221151</v>
      </c>
      <c r="K479" s="227">
        <f t="shared" si="193"/>
        <v>427866.41693673015</v>
      </c>
      <c r="L479" s="227">
        <f t="shared" si="184"/>
        <v>2688363.9843324376</v>
      </c>
      <c r="M479" s="227">
        <f t="shared" si="172"/>
        <v>428762.43981851247</v>
      </c>
      <c r="N479" s="227">
        <f>SQRT((ABS(AC479)-171.5+'Small Signal'!C$59)^2)</f>
        <v>179.24605871812912</v>
      </c>
      <c r="O479" s="227">
        <f t="shared" si="185"/>
        <v>178.40573210277716</v>
      </c>
      <c r="P479" s="227">
        <f t="shared" si="186"/>
        <v>21.250587384396766</v>
      </c>
      <c r="Q479" s="227">
        <f t="shared" si="194"/>
        <v>427866.41693673015</v>
      </c>
      <c r="R479" s="227" t="str">
        <f t="shared" si="173"/>
        <v>0.0945666666666667+12.6353107263625i</v>
      </c>
      <c r="S479" s="227" t="str">
        <f t="shared" si="174"/>
        <v>0.0085-0.0395716425838895i</v>
      </c>
      <c r="T479" s="227" t="str">
        <f t="shared" si="175"/>
        <v>0.00856216765083136-0.0395435201272602i</v>
      </c>
      <c r="U479" s="227" t="str">
        <f t="shared" si="176"/>
        <v>-0.0567335544779033+0.186327328702117i</v>
      </c>
      <c r="V479" s="227">
        <f t="shared" si="187"/>
        <v>-14.209419423009006</v>
      </c>
      <c r="W479" s="227">
        <f t="shared" si="188"/>
        <v>-253.06538468422536</v>
      </c>
      <c r="X479" s="227" t="str">
        <f t="shared" si="177"/>
        <v>-0.30182876972285-0.362794054992063i</v>
      </c>
      <c r="Y479" s="227" t="str">
        <f t="shared" si="178"/>
        <v>0.0111501789446088-1.90029082586503i</v>
      </c>
      <c r="Z479" s="227" t="str">
        <f t="shared" si="179"/>
        <v>-0.389543515486398+0.320234202053396i</v>
      </c>
      <c r="AA479" s="227" t="str">
        <f t="shared" si="180"/>
        <v>0.44434174603384+2.34129425352915i</v>
      </c>
      <c r="AB479" s="227">
        <f t="shared" si="189"/>
        <v>7.5427939125618142</v>
      </c>
      <c r="AC479" s="227">
        <f t="shared" si="190"/>
        <v>-280.74605871812912</v>
      </c>
      <c r="AD479" s="229">
        <f t="shared" si="191"/>
        <v>-28.793381296958582</v>
      </c>
      <c r="AE479" s="229">
        <f t="shared" si="192"/>
        <v>102.34032661535194</v>
      </c>
      <c r="AF479" s="227">
        <f t="shared" si="181"/>
        <v>-21.250587384396766</v>
      </c>
      <c r="AG479" s="227">
        <f t="shared" si="182"/>
        <v>-178.40573210277716</v>
      </c>
      <c r="AH479" s="229" t="str">
        <f t="shared" si="183"/>
        <v>0.00776554706176819-0.0354959658140613i</v>
      </c>
    </row>
    <row r="480" spans="9:34" x14ac:dyDescent="0.2">
      <c r="I480" s="227">
        <v>476</v>
      </c>
      <c r="J480" s="227">
        <f t="shared" si="171"/>
        <v>5.6410583227488988</v>
      </c>
      <c r="K480" s="227">
        <f t="shared" si="193"/>
        <v>437580.8653001113</v>
      </c>
      <c r="L480" s="227">
        <f t="shared" si="184"/>
        <v>2749401.6635565888</v>
      </c>
      <c r="M480" s="227">
        <f t="shared" si="172"/>
        <v>438697.44885987294</v>
      </c>
      <c r="N480" s="227">
        <f>SQRT((ABS(AC480)-171.5+'Small Signal'!C$59)^2)</f>
        <v>183.01865146079251</v>
      </c>
      <c r="O480" s="227">
        <f t="shared" si="185"/>
        <v>182.44395174687884</v>
      </c>
      <c r="P480" s="227">
        <f t="shared" si="186"/>
        <v>21.959681113180515</v>
      </c>
      <c r="Q480" s="227">
        <f t="shared" si="194"/>
        <v>437580.8653001113</v>
      </c>
      <c r="R480" s="227" t="str">
        <f t="shared" si="173"/>
        <v>0.0945666666666667+12.922187818716i</v>
      </c>
      <c r="S480" s="227" t="str">
        <f t="shared" si="174"/>
        <v>0.0085-0.0386931382684147i</v>
      </c>
      <c r="T480" s="227" t="str">
        <f t="shared" si="175"/>
        <v>0.008559305876612-0.0386656447523247i</v>
      </c>
      <c r="U480" s="227" t="str">
        <f t="shared" si="176"/>
        <v>-0.0560332585483243+0.182195885319187i</v>
      </c>
      <c r="V480" s="227">
        <f t="shared" si="187"/>
        <v>-14.396740383491126</v>
      </c>
      <c r="W480" s="227">
        <f t="shared" si="188"/>
        <v>-252.90503178190056</v>
      </c>
      <c r="X480" s="227" t="str">
        <f t="shared" si="177"/>
        <v>-0.36161431947942-0.371031074711896i</v>
      </c>
      <c r="Y480" s="227" t="str">
        <f t="shared" si="178"/>
        <v>0.010660460186916-1.85809599799887i</v>
      </c>
      <c r="Z480" s="227" t="str">
        <f t="shared" si="179"/>
        <v>-0.389817165998095+0.375586955080414i</v>
      </c>
      <c r="AA480" s="227" t="str">
        <f t="shared" si="180"/>
        <v>0.562519903328506+2.17218576669174i</v>
      </c>
      <c r="AB480" s="227">
        <f t="shared" si="189"/>
        <v>7.0198391821363035</v>
      </c>
      <c r="AC480" s="227">
        <f t="shared" si="190"/>
        <v>-284.51865146079251</v>
      </c>
      <c r="AD480" s="229">
        <f t="shared" si="191"/>
        <v>-28.979520295316821</v>
      </c>
      <c r="AE480" s="229">
        <f t="shared" si="192"/>
        <v>102.07469971391367</v>
      </c>
      <c r="AF480" s="227">
        <f t="shared" si="181"/>
        <v>-21.959681113180515</v>
      </c>
      <c r="AG480" s="227">
        <f t="shared" si="182"/>
        <v>-182.44395174687884</v>
      </c>
      <c r="AH480" s="229" t="str">
        <f t="shared" si="183"/>
        <v>0.00743974789404491-0.0347782432604861i</v>
      </c>
    </row>
    <row r="481" spans="9:34" x14ac:dyDescent="0.2">
      <c r="I481" s="227">
        <v>477</v>
      </c>
      <c r="J481" s="227">
        <f t="shared" si="171"/>
        <v>5.6508084452756817</v>
      </c>
      <c r="K481" s="227">
        <f t="shared" si="193"/>
        <v>447515.87434147176</v>
      </c>
      <c r="L481" s="227">
        <f t="shared" si="184"/>
        <v>2811825.1663919613</v>
      </c>
      <c r="M481" s="227">
        <f t="shared" si="172"/>
        <v>448858.02627608657</v>
      </c>
      <c r="N481" s="227">
        <f>SQRT((ABS(AC481)-171.5+'Small Signal'!C$59)^2)</f>
        <v>186.49178799747915</v>
      </c>
      <c r="O481" s="227">
        <f t="shared" si="185"/>
        <v>186.177342159977</v>
      </c>
      <c r="P481" s="227">
        <f t="shared" si="186"/>
        <v>22.693992819861489</v>
      </c>
      <c r="Q481" s="227">
        <f t="shared" si="194"/>
        <v>447515.87434147176</v>
      </c>
      <c r="R481" s="227" t="str">
        <f t="shared" si="173"/>
        <v>0.0945666666666667+13.2155782820422i</v>
      </c>
      <c r="S481" s="227" t="str">
        <f t="shared" si="174"/>
        <v>0.0085-0.0378341370562208i</v>
      </c>
      <c r="T481" s="227" t="str">
        <f t="shared" si="175"/>
        <v>0.00855656975609152-0.0378072582175653i</v>
      </c>
      <c r="U481" s="227" t="str">
        <f t="shared" si="176"/>
        <v>-0.0553637157114718+0.178155829891109i</v>
      </c>
      <c r="V481" s="227">
        <f t="shared" si="187"/>
        <v>-14.583628447291886</v>
      </c>
      <c r="W481" s="227">
        <f t="shared" si="188"/>
        <v>-252.73684239010197</v>
      </c>
      <c r="X481" s="227" t="str">
        <f t="shared" si="177"/>
        <v>-0.42414547760079-0.37945511098542i</v>
      </c>
      <c r="Y481" s="227" t="str">
        <f t="shared" si="178"/>
        <v>0.0101922558156312-1.8168384120132i</v>
      </c>
      <c r="Z481" s="227" t="str">
        <f t="shared" si="179"/>
        <v>-0.390078794417829+0.431128637868629i</v>
      </c>
      <c r="AA481" s="227" t="str">
        <f t="shared" si="180"/>
        <v>0.650717788447404+2.00368054059544i</v>
      </c>
      <c r="AB481" s="227">
        <f t="shared" si="189"/>
        <v>6.4720386975647131</v>
      </c>
      <c r="AC481" s="227">
        <f t="shared" si="190"/>
        <v>-287.99178799747915</v>
      </c>
      <c r="AD481" s="229">
        <f t="shared" si="191"/>
        <v>-29.166031517426202</v>
      </c>
      <c r="AE481" s="229">
        <f t="shared" si="192"/>
        <v>101.81444583750216</v>
      </c>
      <c r="AF481" s="227">
        <f t="shared" si="181"/>
        <v>-22.693992819861489</v>
      </c>
      <c r="AG481" s="227">
        <f t="shared" si="182"/>
        <v>-186.177342159977</v>
      </c>
      <c r="AH481" s="229" t="str">
        <f t="shared" si="183"/>
        <v>0.00712700653672721-0.0340721386698114i</v>
      </c>
    </row>
    <row r="482" spans="9:34" x14ac:dyDescent="0.2">
      <c r="I482" s="227">
        <v>478</v>
      </c>
      <c r="J482" s="227">
        <f t="shared" si="171"/>
        <v>5.6605585678024655</v>
      </c>
      <c r="K482" s="227">
        <f t="shared" si="193"/>
        <v>457676.4517576854</v>
      </c>
      <c r="L482" s="227">
        <f t="shared" si="184"/>
        <v>2875665.9571259758</v>
      </c>
      <c r="M482" s="227">
        <f t="shared" si="172"/>
        <v>459249.29346075241</v>
      </c>
      <c r="N482" s="227">
        <f>SQRT((ABS(AC482)-171.5+'Small Signal'!C$59)^2)</f>
        <v>189.67186972680389</v>
      </c>
      <c r="O482" s="227">
        <f t="shared" si="185"/>
        <v>189.61239181517527</v>
      </c>
      <c r="P482" s="227">
        <f t="shared" si="186"/>
        <v>23.446374577442938</v>
      </c>
      <c r="Q482" s="227">
        <f t="shared" si="194"/>
        <v>457676.4517576854</v>
      </c>
      <c r="R482" s="227" t="str">
        <f t="shared" si="173"/>
        <v>0.0945666666666667+13.5156299984921i</v>
      </c>
      <c r="S482" s="227" t="str">
        <f t="shared" si="174"/>
        <v>0.0085-0.0369942059715887i</v>
      </c>
      <c r="T482" s="227" t="str">
        <f t="shared" si="175"/>
        <v>0.0085539537721417-0.0369679278834751i</v>
      </c>
      <c r="U482" s="227" t="str">
        <f t="shared" si="176"/>
        <v>-0.0547235752695979+0.174205155177982i</v>
      </c>
      <c r="V482" s="227">
        <f t="shared" si="187"/>
        <v>-14.770069749899303</v>
      </c>
      <c r="W482" s="227">
        <f t="shared" si="188"/>
        <v>-252.56077904349539</v>
      </c>
      <c r="X482" s="227" t="str">
        <f t="shared" si="177"/>
        <v>-0.48954833417602-0.388070409910444i</v>
      </c>
      <c r="Y482" s="227" t="str">
        <f t="shared" si="178"/>
        <v>0.00974462015891184-1.77649722811888i</v>
      </c>
      <c r="Z482" s="227" t="str">
        <f t="shared" si="179"/>
        <v>-0.390328929184255+0.486887270910727i</v>
      </c>
      <c r="AA482" s="227" t="str">
        <f t="shared" si="180"/>
        <v>0.712908967963628+1.84066895348495i</v>
      </c>
      <c r="AB482" s="227">
        <f t="shared" si="189"/>
        <v>5.9065254374613971</v>
      </c>
      <c r="AC482" s="227">
        <f t="shared" si="190"/>
        <v>-291.17186972680389</v>
      </c>
      <c r="AD482" s="229">
        <f t="shared" si="191"/>
        <v>-29.352900014904336</v>
      </c>
      <c r="AE482" s="229">
        <f t="shared" si="192"/>
        <v>101.5594779116286</v>
      </c>
      <c r="AF482" s="227">
        <f t="shared" si="181"/>
        <v>-23.446374577442938</v>
      </c>
      <c r="AG482" s="227">
        <f t="shared" si="182"/>
        <v>-189.61239181517527</v>
      </c>
      <c r="AH482" s="229" t="str">
        <f t="shared" si="183"/>
        <v>0.00682685006786996-0.0333776486582342i</v>
      </c>
    </row>
    <row r="483" spans="9:34" x14ac:dyDescent="0.2">
      <c r="I483" s="227">
        <v>479</v>
      </c>
      <c r="J483" s="227">
        <f t="shared" si="171"/>
        <v>5.6703086903292483</v>
      </c>
      <c r="K483" s="227">
        <f t="shared" si="193"/>
        <v>468067.71894235123</v>
      </c>
      <c r="L483" s="227">
        <f t="shared" si="184"/>
        <v>2940956.2144236453</v>
      </c>
      <c r="M483" s="227">
        <f t="shared" si="172"/>
        <v>469876.48808561848</v>
      </c>
      <c r="N483" s="227">
        <f>SQRT((ABS(AC483)-171.5+'Small Signal'!C$59)^2)</f>
        <v>192.57192605923404</v>
      </c>
      <c r="O483" s="227">
        <f t="shared" si="185"/>
        <v>192.76221716818142</v>
      </c>
      <c r="P483" s="227">
        <f t="shared" si="186"/>
        <v>24.210760289910333</v>
      </c>
      <c r="Q483" s="227">
        <f t="shared" si="194"/>
        <v>468067.71894235123</v>
      </c>
      <c r="R483" s="227" t="str">
        <f t="shared" si="173"/>
        <v>0.0945666666666667+13.8224942077911i</v>
      </c>
      <c r="S483" s="227" t="str">
        <f t="shared" si="174"/>
        <v>0.0085-0.0361729216510123i</v>
      </c>
      <c r="T483" s="227" t="str">
        <f t="shared" si="175"/>
        <v>0.00855145264987481-0.0361472307140216i</v>
      </c>
      <c r="U483" s="227" t="str">
        <f t="shared" si="176"/>
        <v>-0.0541115458651663+0.170341897093005i</v>
      </c>
      <c r="V483" s="227">
        <f t="shared" si="187"/>
        <v>-14.956049750537865</v>
      </c>
      <c r="W483" s="227">
        <f t="shared" si="188"/>
        <v>-252.37680352276226</v>
      </c>
      <c r="X483" s="227" t="str">
        <f t="shared" si="177"/>
        <v>-0.55795476989082-0.396881313989855i</v>
      </c>
      <c r="Y483" s="227" t="str">
        <f t="shared" si="178"/>
        <v>0.00931664915508368-1.73705207130658i</v>
      </c>
      <c r="Z483" s="227" t="str">
        <f t="shared" si="179"/>
        <v>-0.390568075484069+0.542890982426851i</v>
      </c>
      <c r="AA483" s="227" t="str">
        <f t="shared" si="180"/>
        <v>0.753361300220595+1.68637662100453i</v>
      </c>
      <c r="AB483" s="227">
        <f t="shared" si="189"/>
        <v>5.3293510933325692</v>
      </c>
      <c r="AC483" s="227">
        <f t="shared" si="190"/>
        <v>-294.07192605923404</v>
      </c>
      <c r="AD483" s="229">
        <f t="shared" si="191"/>
        <v>-29.540111383242902</v>
      </c>
      <c r="AE483" s="229">
        <f t="shared" si="192"/>
        <v>101.30970889105262</v>
      </c>
      <c r="AF483" s="227">
        <f t="shared" si="181"/>
        <v>-24.210760289910333</v>
      </c>
      <c r="AG483" s="227">
        <f t="shared" si="182"/>
        <v>-192.76221716818142</v>
      </c>
      <c r="AH483" s="229" t="str">
        <f t="shared" si="183"/>
        <v>0.00653881850654269-0.0326947559658945i</v>
      </c>
    </row>
    <row r="484" spans="9:34" x14ac:dyDescent="0.2">
      <c r="I484" s="227">
        <v>480</v>
      </c>
      <c r="J484" s="227">
        <f t="shared" si="171"/>
        <v>5.6800588128560321</v>
      </c>
      <c r="K484" s="227">
        <f t="shared" si="193"/>
        <v>478694.9135672173</v>
      </c>
      <c r="L484" s="227">
        <f t="shared" si="184"/>
        <v>3007728.8475471418</v>
      </c>
      <c r="M484" s="227">
        <f t="shared" si="172"/>
        <v>480744.96674060391</v>
      </c>
      <c r="N484" s="227">
        <f>SQRT((ABS(AC484)-171.5+'Small Signal'!C$59)^2)</f>
        <v>195.20905894807265</v>
      </c>
      <c r="O484" s="227">
        <f t="shared" si="185"/>
        <v>195.64400708416213</v>
      </c>
      <c r="P484" s="227">
        <f t="shared" si="186"/>
        <v>24.982170402447078</v>
      </c>
      <c r="Q484" s="227">
        <f t="shared" si="194"/>
        <v>478694.9135672173</v>
      </c>
      <c r="R484" s="227" t="str">
        <f t="shared" si="173"/>
        <v>0.0945666666666667+14.1363255834716i</v>
      </c>
      <c r="S484" s="227" t="str">
        <f t="shared" si="174"/>
        <v>0.0085-0.035369870129803i</v>
      </c>
      <c r="T484" s="227" t="str">
        <f t="shared" si="175"/>
        <v>0.00854906134600775-0.0353447530635288i</v>
      </c>
      <c r="U484" s="227" t="str">
        <f t="shared" si="176"/>
        <v>-0.0535263928724325+0.166564133836318i</v>
      </c>
      <c r="V484" s="227">
        <f t="shared" si="187"/>
        <v>-15.141553221326555</v>
      </c>
      <c r="W484" s="227">
        <f t="shared" si="188"/>
        <v>-252.1848770056215</v>
      </c>
      <c r="X484" s="227" t="str">
        <f t="shared" si="177"/>
        <v>-0.62950272195645-0.405892264320447i</v>
      </c>
      <c r="Y484" s="227" t="str">
        <f t="shared" si="178"/>
        <v>0.00890747851809466-1.69848302088979i</v>
      </c>
      <c r="Z484" s="227" t="str">
        <f t="shared" si="179"/>
        <v>-0.390796716277196+0.599168022648268i</v>
      </c>
      <c r="AA484" s="227" t="str">
        <f t="shared" si="180"/>
        <v>0.776185184884344+1.54266478051014i</v>
      </c>
      <c r="AB484" s="227">
        <f t="shared" si="189"/>
        <v>4.7454813442628749</v>
      </c>
      <c r="AC484" s="227">
        <f t="shared" si="190"/>
        <v>-296.70905894807265</v>
      </c>
      <c r="AD484" s="229">
        <f t="shared" si="191"/>
        <v>-29.727651746709952</v>
      </c>
      <c r="AE484" s="229">
        <f t="shared" si="192"/>
        <v>101.06505186391053</v>
      </c>
      <c r="AF484" s="227">
        <f t="shared" si="181"/>
        <v>-24.982170402447078</v>
      </c>
      <c r="AG484" s="227">
        <f t="shared" si="182"/>
        <v>-195.64400708416213</v>
      </c>
      <c r="AH484" s="229" t="str">
        <f t="shared" si="183"/>
        <v>0.00626246482275118-0.0320234304209564i</v>
      </c>
    </row>
    <row r="485" spans="9:34" x14ac:dyDescent="0.2">
      <c r="I485" s="227">
        <v>481</v>
      </c>
      <c r="J485" s="227">
        <f t="shared" si="171"/>
        <v>5.6898089353828158</v>
      </c>
      <c r="K485" s="227">
        <f t="shared" si="193"/>
        <v>489563.39222220273</v>
      </c>
      <c r="L485" s="227">
        <f t="shared" si="184"/>
        <v>3076017.5129435412</v>
      </c>
      <c r="M485" s="227">
        <f t="shared" si="172"/>
        <v>491860.2076337614</v>
      </c>
      <c r="N485" s="227">
        <f>SQRT((ABS(AC485)-171.5+'Small Signal'!C$59)^2)</f>
        <v>197.60244574591991</v>
      </c>
      <c r="O485" s="227">
        <f t="shared" si="185"/>
        <v>198.27702559736065</v>
      </c>
      <c r="P485" s="227">
        <f t="shared" si="186"/>
        <v>25.75662934106025</v>
      </c>
      <c r="Q485" s="227">
        <f t="shared" si="194"/>
        <v>489563.39222220273</v>
      </c>
      <c r="R485" s="227" t="str">
        <f t="shared" si="173"/>
        <v>0.0945666666666667+14.4572823108346i</v>
      </c>
      <c r="S485" s="227" t="str">
        <f t="shared" si="174"/>
        <v>0.0085-0.0345846466334331i</v>
      </c>
      <c r="T485" s="227" t="str">
        <f t="shared" si="175"/>
        <v>0.00854677503869317-0.0345600904682852i</v>
      </c>
      <c r="U485" s="227" t="str">
        <f t="shared" si="176"/>
        <v>-0.0529669359038053+0.162869985042066i</v>
      </c>
      <c r="V485" s="227">
        <f t="shared" si="187"/>
        <v>-15.326564236549489</v>
      </c>
      <c r="W485" s="227">
        <f t="shared" si="188"/>
        <v>-251.98496022659378</v>
      </c>
      <c r="X485" s="227" t="str">
        <f t="shared" si="177"/>
        <v>-0.70433646225146-0.41510780283143i</v>
      </c>
      <c r="Y485" s="227" t="str">
        <f t="shared" si="178"/>
        <v>0.00851628198415274-1.66077060028909i</v>
      </c>
      <c r="Z485" s="227" t="str">
        <f t="shared" si="179"/>
        <v>-0.391015313276593+0.655746778155896i</v>
      </c>
      <c r="AA485" s="227" t="str">
        <f t="shared" si="180"/>
        <v>0.785078511970097+1.41036601930495i</v>
      </c>
      <c r="AB485" s="227">
        <f t="shared" si="189"/>
        <v>4.1588784022035421</v>
      </c>
      <c r="AC485" s="227">
        <f t="shared" si="190"/>
        <v>-299.10244574591991</v>
      </c>
      <c r="AD485" s="229">
        <f t="shared" si="191"/>
        <v>-29.915507743263792</v>
      </c>
      <c r="AE485" s="229">
        <f t="shared" si="192"/>
        <v>100.82542014855926</v>
      </c>
      <c r="AF485" s="227">
        <f t="shared" si="181"/>
        <v>-25.75662934106025</v>
      </c>
      <c r="AG485" s="227">
        <f t="shared" si="182"/>
        <v>-198.27702559736065</v>
      </c>
      <c r="AH485" s="229" t="str">
        <f t="shared" si="183"/>
        <v>0.00599735490800283-0.0313636298628278i</v>
      </c>
    </row>
    <row r="486" spans="9:34" x14ac:dyDescent="0.2">
      <c r="I486" s="227">
        <v>482</v>
      </c>
      <c r="J486" s="227">
        <f t="shared" si="171"/>
        <v>5.6995590579095987</v>
      </c>
      <c r="K486" s="227">
        <f t="shared" si="193"/>
        <v>500678.63311536022</v>
      </c>
      <c r="L486" s="227">
        <f t="shared" si="184"/>
        <v>3145856.63120919</v>
      </c>
      <c r="M486" s="227">
        <f t="shared" si="172"/>
        <v>503227.81335254968</v>
      </c>
      <c r="N486" s="227">
        <f>SQRT((ABS(AC486)-171.5+'Small Signal'!C$59)^2)</f>
        <v>199.77189348150046</v>
      </c>
      <c r="O486" s="227">
        <f t="shared" si="185"/>
        <v>200.68116609804804</v>
      </c>
      <c r="P486" s="227">
        <f t="shared" si="186"/>
        <v>26.531039467025227</v>
      </c>
      <c r="Q486" s="227">
        <f t="shared" si="194"/>
        <v>500678.63311536022</v>
      </c>
      <c r="R486" s="227" t="str">
        <f t="shared" si="173"/>
        <v>0.0945666666666667+14.7855261666832i</v>
      </c>
      <c r="S486" s="227" t="str">
        <f t="shared" si="174"/>
        <v>0.0085-0.0338168553735118i</v>
      </c>
      <c r="T486" s="227" t="str">
        <f t="shared" si="175"/>
        <v>0.00854458911779709-0.0337928474427749i</v>
      </c>
      <c r="U486" s="227" t="str">
        <f t="shared" si="176"/>
        <v>-0.0524320464259294+0.159257610938813i</v>
      </c>
      <c r="V486" s="227">
        <f t="shared" si="187"/>
        <v>-15.511066162117867</v>
      </c>
      <c r="W486" s="227">
        <f t="shared" si="188"/>
        <v>-251.77701364577479</v>
      </c>
      <c r="X486" s="227" t="str">
        <f t="shared" si="177"/>
        <v>-0.78260688823655-0.424532574573772i</v>
      </c>
      <c r="Y486" s="227" t="str">
        <f t="shared" si="178"/>
        <v>0.00814226963595435-1.62389576705155i</v>
      </c>
      <c r="Z486" s="227" t="str">
        <f t="shared" si="179"/>
        <v>-0.391224307884686+0.712655786280756i</v>
      </c>
      <c r="AA486" s="227" t="str">
        <f t="shared" si="180"/>
        <v>0.783217336332996+1.28959088670173i</v>
      </c>
      <c r="AB486" s="227">
        <f t="shared" si="189"/>
        <v>3.5726270424966886</v>
      </c>
      <c r="AC486" s="227">
        <f t="shared" si="190"/>
        <v>-301.27189348150046</v>
      </c>
      <c r="AD486" s="229">
        <f t="shared" si="191"/>
        <v>-30.103666509521915</v>
      </c>
      <c r="AE486" s="229">
        <f t="shared" si="192"/>
        <v>100.5907273834524</v>
      </c>
      <c r="AF486" s="227">
        <f t="shared" si="181"/>
        <v>-26.531039467025227</v>
      </c>
      <c r="AG486" s="227">
        <f t="shared" si="182"/>
        <v>-200.68116609804804</v>
      </c>
      <c r="AH486" s="229" t="str">
        <f t="shared" si="183"/>
        <v>0.00574306751040183-0.0307153010246923i</v>
      </c>
    </row>
    <row r="487" spans="9:34" x14ac:dyDescent="0.2">
      <c r="I487" s="227">
        <v>483</v>
      </c>
      <c r="J487" s="227">
        <f t="shared" si="171"/>
        <v>5.7093091804363825</v>
      </c>
      <c r="K487" s="227">
        <f t="shared" si="193"/>
        <v>512046.23883414851</v>
      </c>
      <c r="L487" s="227">
        <f t="shared" si="184"/>
        <v>3217281.404439291</v>
      </c>
      <c r="M487" s="227">
        <f t="shared" si="172"/>
        <v>514853.51368778455</v>
      </c>
      <c r="N487" s="227">
        <f>SQRT((ABS(AC487)-171.5+'Small Signal'!C$59)^2)</f>
        <v>201.73686425545395</v>
      </c>
      <c r="O487" s="227">
        <f t="shared" si="185"/>
        <v>202.87597664509599</v>
      </c>
      <c r="P487" s="227">
        <f t="shared" si="186"/>
        <v>27.303041671281733</v>
      </c>
      <c r="Q487" s="227">
        <f t="shared" si="194"/>
        <v>512046.23883414851</v>
      </c>
      <c r="R487" s="227" t="str">
        <f t="shared" si="173"/>
        <v>0.0945666666666667+15.1212226008647i</v>
      </c>
      <c r="S487" s="227" t="str">
        <f t="shared" si="174"/>
        <v>0.0085-0.0330661093482884i</v>
      </c>
      <c r="T487" s="227" t="str">
        <f t="shared" si="175"/>
        <v>0.00854249917560324-0.0330426372804246i</v>
      </c>
      <c r="U487" s="227" t="str">
        <f t="shared" si="176"/>
        <v>-0.0519206454806458+0.155725211523328i</v>
      </c>
      <c r="V487" s="227">
        <f t="shared" si="187"/>
        <v>-15.695041645311692</v>
      </c>
      <c r="W487" s="227">
        <f t="shared" si="188"/>
        <v>-251.56099762686654</v>
      </c>
      <c r="X487" s="227" t="str">
        <f t="shared" si="177"/>
        <v>-0.86447182722984-0.434171330061515i</v>
      </c>
      <c r="Y487" s="227" t="str">
        <f t="shared" si="178"/>
        <v>0.00778468630102871-1.58783990309978i</v>
      </c>
      <c r="Z487" s="227" t="str">
        <f t="shared" si="179"/>
        <v>-0.391424122088428+0.769923749574782i</v>
      </c>
      <c r="AA487" s="227" t="str">
        <f t="shared" si="180"/>
        <v>0.77324065427207+1.17997789054721i</v>
      </c>
      <c r="AB487" s="227">
        <f t="shared" si="189"/>
        <v>2.9890739945430251</v>
      </c>
      <c r="AC487" s="227">
        <f t="shared" si="190"/>
        <v>-303.23686425545395</v>
      </c>
      <c r="AD487" s="229">
        <f t="shared" si="191"/>
        <v>-30.29211566582476</v>
      </c>
      <c r="AE487" s="229">
        <f t="shared" si="192"/>
        <v>100.36088761035798</v>
      </c>
      <c r="AF487" s="227">
        <f t="shared" si="181"/>
        <v>-27.303041671281733</v>
      </c>
      <c r="AG487" s="227">
        <f t="shared" si="182"/>
        <v>-202.87597664509599</v>
      </c>
      <c r="AH487" s="229" t="str">
        <f t="shared" si="183"/>
        <v>0.00549919413792564-0.0300783803757214i</v>
      </c>
    </row>
    <row r="488" spans="9:34" x14ac:dyDescent="0.2">
      <c r="I488" s="227">
        <v>484</v>
      </c>
      <c r="J488" s="227">
        <f t="shared" si="171"/>
        <v>5.7190593029631653</v>
      </c>
      <c r="K488" s="227">
        <f t="shared" si="193"/>
        <v>523671.93916938337</v>
      </c>
      <c r="L488" s="227">
        <f t="shared" si="184"/>
        <v>3290327.8339713118</v>
      </c>
      <c r="M488" s="227">
        <f t="shared" si="172"/>
        <v>526743.16852172522</v>
      </c>
      <c r="N488" s="227">
        <f>SQRT((ABS(AC488)-171.5+'Small Signal'!C$59)^2)</f>
        <v>203.51586803926244</v>
      </c>
      <c r="O488" s="227">
        <f t="shared" si="185"/>
        <v>204.88005268803397</v>
      </c>
      <c r="P488" s="227">
        <f t="shared" si="186"/>
        <v>28.070880730983653</v>
      </c>
      <c r="Q488" s="227">
        <f t="shared" si="194"/>
        <v>523671.93916938337</v>
      </c>
      <c r="R488" s="227" t="str">
        <f t="shared" si="173"/>
        <v>0.0945666666666667+15.4645408196652i</v>
      </c>
      <c r="S488" s="227" t="str">
        <f t="shared" si="174"/>
        <v>0.0085-0.0323320301475868i</v>
      </c>
      <c r="T488" s="227" t="str">
        <f t="shared" si="175"/>
        <v>0.00854050099792568-0.0323090818587726i</v>
      </c>
      <c r="U488" s="227" t="str">
        <f t="shared" si="176"/>
        <v>-0.051431701506217+0.152271025747851i</v>
      </c>
      <c r="V488" s="227">
        <f t="shared" si="187"/>
        <v>-15.878472604890391</v>
      </c>
      <c r="W488" s="227">
        <f t="shared" si="188"/>
        <v>-251.33687262470627</v>
      </c>
      <c r="X488" s="227" t="str">
        <f t="shared" si="177"/>
        <v>-0.95009635465545-0.444028927666251i</v>
      </c>
      <c r="Y488" s="227" t="str">
        <f t="shared" si="178"/>
        <v>0.00744281002091244-1.55258480520467i</v>
      </c>
      <c r="Z488" s="227" t="str">
        <f t="shared" si="179"/>
        <v>-0.39161515931474+0.827579550358927i</v>
      </c>
      <c r="AA488" s="227" t="str">
        <f t="shared" si="180"/>
        <v>0.75728813690591+1.08088229675639i</v>
      </c>
      <c r="AB488" s="227">
        <f t="shared" si="189"/>
        <v>2.4099625704448426</v>
      </c>
      <c r="AC488" s="227">
        <f t="shared" si="190"/>
        <v>-305.01586803926244</v>
      </c>
      <c r="AD488" s="229">
        <f t="shared" si="191"/>
        <v>-30.480843301428497</v>
      </c>
      <c r="AE488" s="229">
        <f t="shared" si="192"/>
        <v>100.13581535122849</v>
      </c>
      <c r="AF488" s="227">
        <f t="shared" si="181"/>
        <v>-28.070880730983653</v>
      </c>
      <c r="AG488" s="227">
        <f t="shared" si="182"/>
        <v>-204.88005268803397</v>
      </c>
      <c r="AH488" s="229" t="str">
        <f t="shared" si="183"/>
        <v>0.00526533893330984-0.029452794923509i</v>
      </c>
    </row>
    <row r="489" spans="9:34" x14ac:dyDescent="0.2">
      <c r="I489" s="227">
        <v>485</v>
      </c>
      <c r="J489" s="227">
        <f t="shared" si="171"/>
        <v>5.7288094254899491</v>
      </c>
      <c r="K489" s="227">
        <f t="shared" si="193"/>
        <v>535561.59400332405</v>
      </c>
      <c r="L489" s="227">
        <f t="shared" si="184"/>
        <v>3365032.7385313646</v>
      </c>
      <c r="M489" s="227">
        <f t="shared" si="172"/>
        <v>538902.77078170888</v>
      </c>
      <c r="N489" s="227">
        <f>SQRT((ABS(AC489)-171.5+'Small Signal'!C$59)^2)</f>
        <v>205.12612359686773</v>
      </c>
      <c r="O489" s="227">
        <f t="shared" si="185"/>
        <v>206.710697917841</v>
      </c>
      <c r="P489" s="227">
        <f t="shared" si="186"/>
        <v>28.833284719211491</v>
      </c>
      <c r="Q489" s="227">
        <f t="shared" si="194"/>
        <v>535561.59400332405</v>
      </c>
      <c r="R489" s="227" t="str">
        <f t="shared" si="173"/>
        <v>0.0945666666666667+15.8156538710974i</v>
      </c>
      <c r="S489" s="227" t="str">
        <f t="shared" si="174"/>
        <v>0.0085-0.0316142477620691i</v>
      </c>
      <c r="T489" s="227" t="str">
        <f t="shared" si="175"/>
        <v>0.00853859055561155-0.0315918114489574i</v>
      </c>
      <c r="U489" s="227" t="str">
        <f t="shared" si="176"/>
        <v>-0.050964228254386+0.1488933307208i</v>
      </c>
      <c r="V489" s="227">
        <f t="shared" si="187"/>
        <v>-16.061340221674079</v>
      </c>
      <c r="W489" s="227">
        <f t="shared" si="188"/>
        <v>-251.10459938250813</v>
      </c>
      <c r="X489" s="227" t="str">
        <f t="shared" si="177"/>
        <v>-1.0396531269076-0.454110336065965i</v>
      </c>
      <c r="Y489" s="227" t="str">
        <f t="shared" si="178"/>
        <v>0.00711595058795956-1.51811267567655i</v>
      </c>
      <c r="Z489" s="227" t="str">
        <f t="shared" si="179"/>
        <v>-0.391797805248131+0.885652265356791i</v>
      </c>
      <c r="AA489" s="227" t="str">
        <f t="shared" si="180"/>
        <v>0.737062390883596+0.991510577328457i</v>
      </c>
      <c r="AB489" s="227">
        <f t="shared" si="189"/>
        <v>1.8365532406480014</v>
      </c>
      <c r="AC489" s="227">
        <f t="shared" si="190"/>
        <v>-306.62612359686773</v>
      </c>
      <c r="AD489" s="229">
        <f t="shared" si="191"/>
        <v>-30.669837959859493</v>
      </c>
      <c r="AE489" s="229">
        <f t="shared" si="192"/>
        <v>99.91542567902674</v>
      </c>
      <c r="AF489" s="227">
        <f t="shared" si="181"/>
        <v>-28.833284719211491</v>
      </c>
      <c r="AG489" s="227">
        <f t="shared" si="182"/>
        <v>-206.710697917841</v>
      </c>
      <c r="AH489" s="229" t="str">
        <f t="shared" si="183"/>
        <v>0.00504111852374241-0.0288384629774096i</v>
      </c>
    </row>
    <row r="490" spans="9:34" x14ac:dyDescent="0.2">
      <c r="I490" s="227">
        <v>486</v>
      </c>
      <c r="J490" s="227">
        <f t="shared" si="171"/>
        <v>5.738559548016732</v>
      </c>
      <c r="K490" s="227">
        <f t="shared" si="193"/>
        <v>547721.19626330771</v>
      </c>
      <c r="L490" s="227">
        <f t="shared" si="184"/>
        <v>3441433.7727924413</v>
      </c>
      <c r="M490" s="227">
        <f t="shared" si="172"/>
        <v>551338.44946086931</v>
      </c>
      <c r="N490" s="227">
        <f>SQRT((ABS(AC490)-171.5+'Small Signal'!C$59)^2)</f>
        <v>206.58340468858688</v>
      </c>
      <c r="O490" s="227">
        <f t="shared" si="185"/>
        <v>208.38377040578166</v>
      </c>
      <c r="P490" s="227">
        <f t="shared" si="186"/>
        <v>29.5893620145354</v>
      </c>
      <c r="Q490" s="227">
        <f t="shared" si="194"/>
        <v>547721.19626330771</v>
      </c>
      <c r="R490" s="227" t="str">
        <f t="shared" si="173"/>
        <v>0.0945666666666667+16.1747387321245i</v>
      </c>
      <c r="S490" s="227" t="str">
        <f t="shared" si="174"/>
        <v>0.0085-0.0309124003967345i</v>
      </c>
      <c r="T490" s="227" t="str">
        <f t="shared" si="175"/>
        <v>0.00853676399641689-0.0308904645294324i</v>
      </c>
      <c r="U490" s="227" t="str">
        <f t="shared" si="176"/>
        <v>-0.0505172827990579+0.145590440920967i</v>
      </c>
      <c r="V490" s="227">
        <f t="shared" si="187"/>
        <v>-16.243624929698115</v>
      </c>
      <c r="W490" s="227">
        <f t="shared" si="188"/>
        <v>-250.86413913901185</v>
      </c>
      <c r="X490" s="227" t="str">
        <f t="shared" si="177"/>
        <v>-1.13332272950121-0.464420636749466i</v>
      </c>
      <c r="Y490" s="227" t="str">
        <f t="shared" si="178"/>
        <v>0.00680344814685823-1.48440611326955i</v>
      </c>
      <c r="Z490" s="227" t="str">
        <f t="shared" si="179"/>
        <v>-0.391972428612218+0.944171180421298i</v>
      </c>
      <c r="AA490" s="227" t="str">
        <f t="shared" si="180"/>
        <v>0.713898174562261+0.911011390304284i</v>
      </c>
      <c r="AB490" s="227">
        <f t="shared" si="189"/>
        <v>1.2697266099206153</v>
      </c>
      <c r="AC490" s="227">
        <f t="shared" si="190"/>
        <v>-308.08340468858688</v>
      </c>
      <c r="AD490" s="229">
        <f t="shared" si="191"/>
        <v>-30.859088624456014</v>
      </c>
      <c r="AE490" s="229">
        <f t="shared" si="192"/>
        <v>99.699634282805221</v>
      </c>
      <c r="AF490" s="227">
        <f t="shared" si="181"/>
        <v>-29.5893620145354</v>
      </c>
      <c r="AG490" s="227">
        <f t="shared" si="182"/>
        <v>-208.38377040578166</v>
      </c>
      <c r="AH490" s="229" t="str">
        <f t="shared" si="183"/>
        <v>0.0048261618483537-0.0282352948735962i</v>
      </c>
    </row>
    <row r="491" spans="9:34" x14ac:dyDescent="0.2">
      <c r="I491" s="227">
        <v>487</v>
      </c>
      <c r="J491" s="227">
        <f t="shared" si="171"/>
        <v>5.7483096705435157</v>
      </c>
      <c r="K491" s="227">
        <f t="shared" si="193"/>
        <v>560156.87494246813</v>
      </c>
      <c r="L491" s="227">
        <f t="shared" si="184"/>
        <v>3519569.4463541489</v>
      </c>
      <c r="M491" s="227">
        <f t="shared" si="172"/>
        <v>564056.47270742338</v>
      </c>
      <c r="N491" s="227">
        <f>SQRT((ABS(AC491)-171.5+'Small Signal'!C$59)^2)</f>
        <v>207.90200789394299</v>
      </c>
      <c r="O491" s="227">
        <f t="shared" si="185"/>
        <v>209.91365036661279</v>
      </c>
      <c r="P491" s="227">
        <f t="shared" si="186"/>
        <v>30.338516108902763</v>
      </c>
      <c r="Q491" s="227">
        <f t="shared" si="194"/>
        <v>560156.87494246813</v>
      </c>
      <c r="R491" s="227" t="str">
        <f t="shared" si="173"/>
        <v>0.0945666666666667+16.5419763978645i</v>
      </c>
      <c r="S491" s="227" t="str">
        <f t="shared" si="174"/>
        <v>0.0085-0.0302261342885574i</v>
      </c>
      <c r="T491" s="227" t="str">
        <f t="shared" si="175"/>
        <v>0.00853501763723918-0.030204687603812i</v>
      </c>
      <c r="U491" s="227" t="str">
        <f t="shared" si="176"/>
        <v>-0.0500899636325626+0.142360707425147i</v>
      </c>
      <c r="V491" s="227">
        <f t="shared" si="187"/>
        <v>-16.42530640805473</v>
      </c>
      <c r="W491" s="227">
        <f t="shared" si="188"/>
        <v>-250.61545384570178</v>
      </c>
      <c r="X491" s="227" t="str">
        <f t="shared" si="177"/>
        <v>-1.23129404121111-0.474965026577701i</v>
      </c>
      <c r="Y491" s="227" t="str">
        <f t="shared" si="178"/>
        <v>0.00650467185789487-1.45144810429389i</v>
      </c>
      <c r="Z491" s="227" t="str">
        <f t="shared" si="179"/>
        <v>-0.392139381916722+1.00316580536223i</v>
      </c>
      <c r="AA491" s="227" t="str">
        <f t="shared" si="180"/>
        <v>0.688828859491911+0.838534063621373i</v>
      </c>
      <c r="AB491" s="227">
        <f t="shared" si="189"/>
        <v>0.71006859522115007</v>
      </c>
      <c r="AC491" s="227">
        <f t="shared" si="190"/>
        <v>-309.40200789394299</v>
      </c>
      <c r="AD491" s="229">
        <f t="shared" si="191"/>
        <v>-31.048584704123911</v>
      </c>
      <c r="AE491" s="229">
        <f t="shared" si="192"/>
        <v>99.488357527330223</v>
      </c>
      <c r="AF491" s="227">
        <f t="shared" si="181"/>
        <v>-30.338516108902763</v>
      </c>
      <c r="AG491" s="227">
        <f t="shared" si="182"/>
        <v>-209.91365036661279</v>
      </c>
      <c r="AH491" s="229" t="str">
        <f t="shared" si="183"/>
        <v>0.00462010996627498-0.0276431936627434i</v>
      </c>
    </row>
    <row r="492" spans="9:34" x14ac:dyDescent="0.2">
      <c r="I492" s="227">
        <v>488</v>
      </c>
      <c r="J492" s="227">
        <f t="shared" si="171"/>
        <v>5.7580597930702986</v>
      </c>
      <c r="K492" s="227">
        <f t="shared" si="193"/>
        <v>572874.89818902221</v>
      </c>
      <c r="L492" s="227">
        <f t="shared" si="184"/>
        <v>3599479.1431532656</v>
      </c>
      <c r="M492" s="227">
        <f t="shared" si="172"/>
        <v>577063.25098410656</v>
      </c>
      <c r="N492" s="227">
        <f>SQRT((ABS(AC492)-171.5+'Small Signal'!C$59)^2)</f>
        <v>209.09479582967703</v>
      </c>
      <c r="O492" s="227">
        <f t="shared" si="185"/>
        <v>211.31328332214014</v>
      </c>
      <c r="P492" s="227">
        <f t="shared" si="186"/>
        <v>31.080376697407996</v>
      </c>
      <c r="Q492" s="227">
        <f t="shared" si="194"/>
        <v>572874.89818902221</v>
      </c>
      <c r="R492" s="227" t="str">
        <f t="shared" si="173"/>
        <v>0.0945666666666667+16.9175519728203i</v>
      </c>
      <c r="S492" s="227" t="str">
        <f t="shared" si="174"/>
        <v>0.0085-0.0295551035281758i</v>
      </c>
      <c r="T492" s="227" t="str">
        <f t="shared" si="175"/>
        <v>0.00853334795669087-0.0295341350227593i</v>
      </c>
      <c r="U492" s="227" t="str">
        <f t="shared" si="176"/>
        <v>-0.0496814088456334+0.139202517149187i</v>
      </c>
      <c r="V492" s="227">
        <f t="shared" si="187"/>
        <v>-16.60636357353917</v>
      </c>
      <c r="W492" s="227">
        <f t="shared" si="188"/>
        <v>-250.35850639423347</v>
      </c>
      <c r="X492" s="227" t="str">
        <f t="shared" si="177"/>
        <v>-1.33376461493393-0.4857488204032i</v>
      </c>
      <c r="Y492" s="227" t="str">
        <f t="shared" si="178"/>
        <v>0.00621901861926267-1.41922201393102i</v>
      </c>
      <c r="Z492" s="227" t="str">
        <f t="shared" si="179"/>
        <v>-0.392299002171415+1.06266588888216i</v>
      </c>
      <c r="AA492" s="227" t="str">
        <f t="shared" si="180"/>
        <v>0.662645536304201+0.773263946100266i</v>
      </c>
      <c r="AB492" s="227">
        <f t="shared" si="189"/>
        <v>0.15793932191695173</v>
      </c>
      <c r="AC492" s="227">
        <f t="shared" si="190"/>
        <v>-310.59479582967703</v>
      </c>
      <c r="AD492" s="229">
        <f t="shared" si="191"/>
        <v>-31.238316019324948</v>
      </c>
      <c r="AE492" s="229">
        <f t="shared" si="192"/>
        <v>99.281512507536888</v>
      </c>
      <c r="AF492" s="227">
        <f t="shared" si="181"/>
        <v>-31.080376697407996</v>
      </c>
      <c r="AG492" s="227">
        <f t="shared" si="182"/>
        <v>-211.31328332214014</v>
      </c>
      <c r="AH492" s="229" t="str">
        <f t="shared" si="183"/>
        <v>0.00442261584784032-0.0270620557613423i</v>
      </c>
    </row>
    <row r="493" spans="9:34" x14ac:dyDescent="0.2">
      <c r="I493" s="227">
        <v>489</v>
      </c>
      <c r="J493" s="227">
        <f t="shared" si="171"/>
        <v>5.7678099155970832</v>
      </c>
      <c r="K493" s="227">
        <f t="shared" si="193"/>
        <v>585881.67646570539</v>
      </c>
      <c r="L493" s="227">
        <f t="shared" si="184"/>
        <v>3681203.1413150639</v>
      </c>
      <c r="M493" s="227">
        <f t="shared" si="172"/>
        <v>590365.34029932844</v>
      </c>
      <c r="N493" s="227">
        <f>SQRT((ABS(AC493)-171.5+'Small Signal'!C$59)^2)</f>
        <v>210.17328364122534</v>
      </c>
      <c r="O493" s="227">
        <f t="shared" si="185"/>
        <v>212.59426654313668</v>
      </c>
      <c r="P493" s="227">
        <f t="shared" si="186"/>
        <v>31.814744829723338</v>
      </c>
      <c r="Q493" s="227">
        <f t="shared" si="194"/>
        <v>585881.67646570539</v>
      </c>
      <c r="R493" s="227" t="str">
        <f t="shared" si="173"/>
        <v>0.0945666666666667+17.3016547641808i</v>
      </c>
      <c r="S493" s="227" t="str">
        <f t="shared" si="174"/>
        <v>0.0085-0.0288989698855359i</v>
      </c>
      <c r="T493" s="227" t="str">
        <f t="shared" si="175"/>
        <v>0.00853175158799906-0.0288784688098236i</v>
      </c>
      <c r="U493" s="227" t="str">
        <f t="shared" si="176"/>
        <v>-0.0492907943874298+0.13611429210238i</v>
      </c>
      <c r="V493" s="227">
        <f t="shared" si="187"/>
        <v>-16.786774574226587</v>
      </c>
      <c r="W493" s="227">
        <f t="shared" si="188"/>
        <v>-250.09326085415336</v>
      </c>
      <c r="X493" s="227" t="str">
        <f t="shared" si="177"/>
        <v>-1.440941076041-0.49677745374901i</v>
      </c>
      <c r="Y493" s="227" t="str">
        <f t="shared" si="178"/>
        <v>0.00594591184579903-1.38771157774693i</v>
      </c>
      <c r="Z493" s="227" t="str">
        <f t="shared" si="179"/>
        <v>-0.392451611568601+1.12270143362897i</v>
      </c>
      <c r="AA493" s="227" t="str">
        <f t="shared" si="180"/>
        <v>0.635947202005326+0.714441930774786i</v>
      </c>
      <c r="AB493" s="227">
        <f t="shared" si="189"/>
        <v>-0.3864720414053468</v>
      </c>
      <c r="AC493" s="227">
        <f t="shared" si="190"/>
        <v>-311.67328364122534</v>
      </c>
      <c r="AD493" s="229">
        <f t="shared" si="191"/>
        <v>-31.42827278831799</v>
      </c>
      <c r="AE493" s="229">
        <f t="shared" si="192"/>
        <v>99.079017098088656</v>
      </c>
      <c r="AF493" s="227">
        <f t="shared" si="181"/>
        <v>-31.814744829723338</v>
      </c>
      <c r="AG493" s="227">
        <f t="shared" si="182"/>
        <v>-212.59426654313668</v>
      </c>
      <c r="AH493" s="229" t="str">
        <f t="shared" si="183"/>
        <v>0.00423334415130662-0.0264917715677093i</v>
      </c>
    </row>
    <row r="494" spans="9:34" x14ac:dyDescent="0.2">
      <c r="I494" s="227">
        <v>490</v>
      </c>
      <c r="J494" s="227">
        <f t="shared" si="171"/>
        <v>5.7775600381238661</v>
      </c>
      <c r="K494" s="227">
        <f t="shared" si="193"/>
        <v>599183.76578092726</v>
      </c>
      <c r="L494" s="227">
        <f t="shared" si="184"/>
        <v>3764782.6334552569</v>
      </c>
      <c r="M494" s="227">
        <f t="shared" si="172"/>
        <v>603969.44551171735</v>
      </c>
      <c r="N494" s="227">
        <f>SQRT((ABS(AC494)-171.5+'Small Signal'!C$59)^2)</f>
        <v>211.14774727805212</v>
      </c>
      <c r="O494" s="227">
        <f t="shared" si="185"/>
        <v>213.76695727974152</v>
      </c>
      <c r="P494" s="227">
        <f t="shared" si="186"/>
        <v>32.541549771430951</v>
      </c>
      <c r="Q494" s="227">
        <f t="shared" si="194"/>
        <v>599183.76578092726</v>
      </c>
      <c r="R494" s="227" t="str">
        <f t="shared" si="173"/>
        <v>0.0945666666666667+17.6944783772397i</v>
      </c>
      <c r="S494" s="227" t="str">
        <f t="shared" si="174"/>
        <v>0.0085-0.0282574026394102i</v>
      </c>
      <c r="T494" s="227" t="str">
        <f t="shared" si="175"/>
        <v>0.00853022531221682-0.0282373584911424i</v>
      </c>
      <c r="U494" s="227" t="str">
        <f t="shared" si="176"/>
        <v>-0.0489173324020627+0.13309448865517i</v>
      </c>
      <c r="V494" s="227">
        <f t="shared" si="187"/>
        <v>-16.96651678411002</v>
      </c>
      <c r="W494" s="227">
        <f t="shared" si="188"/>
        <v>-249.81968272097316</v>
      </c>
      <c r="X494" s="227" t="str">
        <f t="shared" si="177"/>
        <v>-1.55303953902517-0.508056485548436i</v>
      </c>
      <c r="Y494" s="227" t="str">
        <f t="shared" si="178"/>
        <v>0.00568480030161758-1.35690089339878i</v>
      </c>
      <c r="Z494" s="227" t="str">
        <f t="shared" si="179"/>
        <v>-0.39259751813543+1.1833027113725i</v>
      </c>
      <c r="AA494" s="227" t="str">
        <f t="shared" si="180"/>
        <v>0.609182112035862+0.661373534256794i</v>
      </c>
      <c r="AB494" s="227">
        <f t="shared" si="189"/>
        <v>-0.92310415776350374</v>
      </c>
      <c r="AC494" s="227">
        <f t="shared" si="190"/>
        <v>-312.64774727805212</v>
      </c>
      <c r="AD494" s="229">
        <f t="shared" si="191"/>
        <v>-31.618445613667447</v>
      </c>
      <c r="AE494" s="229">
        <f t="shared" si="192"/>
        <v>98.88078999831059</v>
      </c>
      <c r="AF494" s="227">
        <f t="shared" si="181"/>
        <v>-32.541549771430951</v>
      </c>
      <c r="AG494" s="227">
        <f t="shared" si="182"/>
        <v>-213.76695727974152</v>
      </c>
      <c r="AH494" s="229" t="str">
        <f t="shared" si="183"/>
        <v>0.00405197098728555-0.0259322260438141i</v>
      </c>
    </row>
    <row r="495" spans="9:34" x14ac:dyDescent="0.2">
      <c r="I495" s="227">
        <v>491</v>
      </c>
      <c r="J495" s="227">
        <f t="shared" si="171"/>
        <v>5.7873101606506498</v>
      </c>
      <c r="K495" s="227">
        <f t="shared" si="193"/>
        <v>612787.87099331617</v>
      </c>
      <c r="L495" s="227">
        <f t="shared" si="184"/>
        <v>3850259.7474430641</v>
      </c>
      <c r="M495" s="227">
        <f t="shared" si="172"/>
        <v>617882.42370965483</v>
      </c>
      <c r="N495" s="227">
        <f>SQRT((ABS(AC495)-171.5+'Small Signal'!C$59)^2)</f>
        <v>212.02733970786528</v>
      </c>
      <c r="O495" s="227">
        <f t="shared" si="185"/>
        <v>214.84058893511059</v>
      </c>
      <c r="P495" s="227">
        <f t="shared" si="186"/>
        <v>33.260815382581427</v>
      </c>
      <c r="Q495" s="227">
        <f t="shared" si="194"/>
        <v>612787.87099331617</v>
      </c>
      <c r="R495" s="227" t="str">
        <f t="shared" si="173"/>
        <v>0.0945666666666667+18.0962208129824i</v>
      </c>
      <c r="S495" s="227" t="str">
        <f t="shared" si="174"/>
        <v>0.0085-0.0276300784106975i</v>
      </c>
      <c r="T495" s="227" t="str">
        <f t="shared" si="175"/>
        <v>0.00852876605173264-0.0276104809289203i</v>
      </c>
      <c r="U495" s="227" t="str">
        <f t="shared" si="176"/>
        <v>-0.0485602696382693+0.130141596820035i</v>
      </c>
      <c r="V495" s="227">
        <f t="shared" si="187"/>
        <v>-17.145566798940731</v>
      </c>
      <c r="W495" s="227">
        <f t="shared" si="188"/>
        <v>-249.53773917458551</v>
      </c>
      <c r="X495" s="227" t="str">
        <f t="shared" si="177"/>
        <v>-1.67028604328193-0.519591600947014i</v>
      </c>
      <c r="Y495" s="227" t="str">
        <f t="shared" si="178"/>
        <v>0.00543515698428194-1.32677441253025i</v>
      </c>
      <c r="Z495" s="227" t="str">
        <f t="shared" si="179"/>
        <v>-0.392737016357468+1.24450027831342i</v>
      </c>
      <c r="AA495" s="227" t="str">
        <f t="shared" si="180"/>
        <v>0.582681165141193+0.61343134267344i</v>
      </c>
      <c r="AB495" s="227">
        <f t="shared" si="189"/>
        <v>-1.451989913548648</v>
      </c>
      <c r="AC495" s="227">
        <f t="shared" si="190"/>
        <v>-313.52733970786528</v>
      </c>
      <c r="AD495" s="229">
        <f t="shared" si="191"/>
        <v>-31.808825469032776</v>
      </c>
      <c r="AE495" s="229">
        <f t="shared" si="192"/>
        <v>98.686750772754692</v>
      </c>
      <c r="AF495" s="227">
        <f t="shared" si="181"/>
        <v>-33.260815382581427</v>
      </c>
      <c r="AG495" s="227">
        <f t="shared" si="182"/>
        <v>-214.84058893511059</v>
      </c>
      <c r="AH495" s="229" t="str">
        <f t="shared" si="183"/>
        <v>0.00387818367290122-0.0253832992640883i</v>
      </c>
    </row>
    <row r="496" spans="9:34" x14ac:dyDescent="0.2">
      <c r="I496" s="227">
        <v>492</v>
      </c>
      <c r="J496" s="227">
        <f t="shared" si="171"/>
        <v>5.7970602831774327</v>
      </c>
      <c r="K496" s="227">
        <f t="shared" si="193"/>
        <v>626700.84919125366</v>
      </c>
      <c r="L496" s="227">
        <f t="shared" si="184"/>
        <v>3937677.5676354547</v>
      </c>
      <c r="M496" s="227">
        <f t="shared" si="172"/>
        <v>632111.28766757518</v>
      </c>
      <c r="N496" s="227">
        <f>SQRT((ABS(AC496)-171.5+'Small Signal'!C$59)^2)</f>
        <v>212.82020652977519</v>
      </c>
      <c r="O496" s="227">
        <f t="shared" si="185"/>
        <v>215.82338664212693</v>
      </c>
      <c r="P496" s="227">
        <f t="shared" si="186"/>
        <v>33.972634102847259</v>
      </c>
      <c r="Q496" s="227">
        <f t="shared" si="194"/>
        <v>626700.84919125366</v>
      </c>
      <c r="R496" s="227" t="str">
        <f t="shared" si="173"/>
        <v>0.0945666666666667+18.5070845678866i</v>
      </c>
      <c r="S496" s="227" t="str">
        <f t="shared" si="174"/>
        <v>0.0085-0.0270166809994264i</v>
      </c>
      <c r="T496" s="227" t="str">
        <f t="shared" si="175"/>
        <v>0.00852737086406483-0.0269975201586037i</v>
      </c>
      <c r="U496" s="227" t="str">
        <f t="shared" si="176"/>
        <v>-0.0482188859290021+0.12725413954551i</v>
      </c>
      <c r="V496" s="227">
        <f t="shared" si="187"/>
        <v>-17.323900433412923</v>
      </c>
      <c r="W496" s="227">
        <f t="shared" si="188"/>
        <v>-249.24739934797969</v>
      </c>
      <c r="X496" s="227" t="str">
        <f t="shared" si="177"/>
        <v>-1.79291700890339-0.531388614168064i</v>
      </c>
      <c r="Y496" s="227" t="str">
        <f t="shared" si="178"/>
        <v>0.0051964780581833-1.29731693285112i</v>
      </c>
      <c r="Z496" s="227" t="str">
        <f t="shared" si="179"/>
        <v>-0.392870387774692+1.3063249905321i</v>
      </c>
      <c r="AA496" s="227" t="str">
        <f t="shared" si="180"/>
        <v>0.556684477048665+0.570053437666351i</v>
      </c>
      <c r="AB496" s="227">
        <f t="shared" si="189"/>
        <v>-1.9732304165979622</v>
      </c>
      <c r="AC496" s="227">
        <f t="shared" si="190"/>
        <v>-314.32020652977519</v>
      </c>
      <c r="AD496" s="229">
        <f t="shared" si="191"/>
        <v>-31.999403686249298</v>
      </c>
      <c r="AE496" s="229">
        <f t="shared" si="192"/>
        <v>98.496819887648257</v>
      </c>
      <c r="AF496" s="227">
        <f t="shared" si="181"/>
        <v>-33.972634102847259</v>
      </c>
      <c r="AG496" s="227">
        <f t="shared" si="182"/>
        <v>-215.82338664212693</v>
      </c>
      <c r="AH496" s="229" t="str">
        <f t="shared" si="183"/>
        <v>0.00371168047752178-0.0248448669324081i</v>
      </c>
    </row>
    <row r="497" spans="9:34" x14ac:dyDescent="0.2">
      <c r="I497" s="227">
        <v>493</v>
      </c>
      <c r="J497" s="227">
        <f t="shared" si="171"/>
        <v>5.8068104057042165</v>
      </c>
      <c r="K497" s="227">
        <f t="shared" si="193"/>
        <v>640929.713149174</v>
      </c>
      <c r="L497" s="227">
        <f t="shared" si="184"/>
        <v>4027080.1565937167</v>
      </c>
      <c r="M497" s="227">
        <f t="shared" si="172"/>
        <v>646663.20938071248</v>
      </c>
      <c r="N497" s="227">
        <f>SQRT((ABS(AC497)-171.5+'Small Signal'!C$59)^2)</f>
        <v>213.53359602147339</v>
      </c>
      <c r="O497" s="227">
        <f t="shared" si="185"/>
        <v>216.72267727800954</v>
      </c>
      <c r="P497" s="227">
        <f t="shared" si="186"/>
        <v>34.677146945057544</v>
      </c>
      <c r="Q497" s="227">
        <f t="shared" si="194"/>
        <v>640929.713149174</v>
      </c>
      <c r="R497" s="227" t="str">
        <f t="shared" si="173"/>
        <v>0.0945666666666667+18.9272767359905i</v>
      </c>
      <c r="S497" s="227" t="str">
        <f t="shared" si="174"/>
        <v>0.0085-0.0264169012253751i</v>
      </c>
      <c r="T497" s="227" t="str">
        <f t="shared" si="175"/>
        <v>0.0085260369359284-0.0263981672296654i</v>
      </c>
      <c r="U497" s="227" t="str">
        <f t="shared" si="176"/>
        <v>-0.0478924927378645+0.124430672023191i</v>
      </c>
      <c r="V497" s="227">
        <f t="shared" si="187"/>
        <v>-17.501492719846905</v>
      </c>
      <c r="W497" s="227">
        <f t="shared" si="188"/>
        <v>-248.94863460612811</v>
      </c>
      <c r="X497" s="227" t="str">
        <f t="shared" si="177"/>
        <v>-1.92117971340432-0.543453471443338i</v>
      </c>
      <c r="Y497" s="227" t="str">
        <f t="shared" si="178"/>
        <v>0.00496828183501131-1.2685135903966i</v>
      </c>
      <c r="Z497" s="227" t="str">
        <f t="shared" si="179"/>
        <v>-0.392997901551219+1.36880801958549i</v>
      </c>
      <c r="AA497" s="227" t="str">
        <f t="shared" si="180"/>
        <v>0.531362322168463+0.530739546781012i</v>
      </c>
      <c r="AB497" s="227">
        <f t="shared" si="189"/>
        <v>-2.4869750023473798</v>
      </c>
      <c r="AC497" s="227">
        <f t="shared" si="190"/>
        <v>-315.03359602147339</v>
      </c>
      <c r="AD497" s="229">
        <f t="shared" si="191"/>
        <v>-32.190171942710165</v>
      </c>
      <c r="AE497" s="229">
        <f t="shared" si="192"/>
        <v>98.310918743463844</v>
      </c>
      <c r="AF497" s="227">
        <f t="shared" si="181"/>
        <v>-34.677146945057544</v>
      </c>
      <c r="AG497" s="227">
        <f t="shared" si="182"/>
        <v>-216.72267727800954</v>
      </c>
      <c r="AH497" s="229" t="str">
        <f t="shared" si="183"/>
        <v>0.00355217036175183-0.0243168008684585i</v>
      </c>
    </row>
    <row r="498" spans="9:34" x14ac:dyDescent="0.2">
      <c r="I498" s="227">
        <v>494</v>
      </c>
      <c r="J498" s="227">
        <f t="shared" si="171"/>
        <v>5.8165605282310002</v>
      </c>
      <c r="K498" s="227">
        <f t="shared" si="193"/>
        <v>655481.6348623113</v>
      </c>
      <c r="L498" s="227">
        <f t="shared" si="184"/>
        <v>4118512.5772929289</v>
      </c>
      <c r="M498" s="227">
        <f t="shared" si="172"/>
        <v>661545.52368012071</v>
      </c>
      <c r="N498" s="227">
        <f>SQRT((ABS(AC498)-171.5+'Small Signal'!C$59)^2)</f>
        <v>214.17396100006994</v>
      </c>
      <c r="O498" s="227">
        <f t="shared" si="185"/>
        <v>217.54499129622582</v>
      </c>
      <c r="P498" s="227">
        <f t="shared" si="186"/>
        <v>35.374528195079044</v>
      </c>
      <c r="Q498" s="227">
        <f t="shared" si="194"/>
        <v>655481.6348623113</v>
      </c>
      <c r="R498" s="227" t="str">
        <f t="shared" si="173"/>
        <v>0.0945666666666667+19.3570091132768i</v>
      </c>
      <c r="S498" s="227" t="str">
        <f t="shared" si="174"/>
        <v>0.0085-0.0258304367722313i</v>
      </c>
      <c r="T498" s="227" t="str">
        <f t="shared" si="175"/>
        <v>0.0085247615775624-0.025812120049925i</v>
      </c>
      <c r="U498" s="227" t="str">
        <f t="shared" si="176"/>
        <v>-0.0475804317694471+0.121669781007659i</v>
      </c>
      <c r="V498" s="227">
        <f t="shared" si="187"/>
        <v>-17.678317908524448</v>
      </c>
      <c r="W498" s="227">
        <f t="shared" si="188"/>
        <v>-248.64141883486656</v>
      </c>
      <c r="X498" s="227" t="str">
        <f t="shared" si="177"/>
        <v>-2.05533279034148-0.55579225401018i</v>
      </c>
      <c r="Y498" s="227" t="str">
        <f t="shared" si="178"/>
        <v>0.00475010779915515-1.24034985196257i</v>
      </c>
      <c r="Z498" s="227" t="str">
        <f t="shared" si="179"/>
        <v>-0.393119815019951+1.43198086826044i</v>
      </c>
      <c r="AA498" s="227" t="str">
        <f t="shared" si="180"/>
        <v>0.506831519561969+0.495046051942427i</v>
      </c>
      <c r="AB498" s="227">
        <f t="shared" si="189"/>
        <v>-2.9934059460239046</v>
      </c>
      <c r="AC498" s="227">
        <f t="shared" si="190"/>
        <v>-315.67396100006994</v>
      </c>
      <c r="AD498" s="229">
        <f t="shared" si="191"/>
        <v>-32.381122249055139</v>
      </c>
      <c r="AE498" s="229">
        <f t="shared" si="192"/>
        <v>98.128969703844135</v>
      </c>
      <c r="AF498" s="227">
        <f t="shared" si="181"/>
        <v>-35.374528195079044</v>
      </c>
      <c r="AG498" s="227">
        <f t="shared" si="182"/>
        <v>-217.54499129622582</v>
      </c>
      <c r="AH498" s="229" t="str">
        <f t="shared" si="183"/>
        <v>0.00339937271122586-0.0237989694647027i</v>
      </c>
    </row>
    <row r="499" spans="9:34" x14ac:dyDescent="0.2">
      <c r="I499" s="227">
        <v>495</v>
      </c>
      <c r="J499" s="227">
        <f t="shared" si="171"/>
        <v>5.8263106507577831</v>
      </c>
      <c r="K499" s="227">
        <f t="shared" si="193"/>
        <v>670363.94916171953</v>
      </c>
      <c r="L499" s="227">
        <f t="shared" si="184"/>
        <v>4212020.9158357996</v>
      </c>
      <c r="M499" s="227">
        <f t="shared" si="172"/>
        <v>676765.73192975949</v>
      </c>
      <c r="N499" s="227">
        <f>SQRT((ABS(AC499)-171.5+'Small Signal'!C$59)^2)</f>
        <v>214.74705137024722</v>
      </c>
      <c r="O499" s="227">
        <f t="shared" si="185"/>
        <v>218.29615524914487</v>
      </c>
      <c r="P499" s="227">
        <f t="shared" si="186"/>
        <v>36.064973775968483</v>
      </c>
      <c r="Q499" s="227">
        <f t="shared" si="194"/>
        <v>670363.94916171953</v>
      </c>
      <c r="R499" s="227" t="str">
        <f t="shared" si="173"/>
        <v>0.0945666666666667+19.7964983044283i</v>
      </c>
      <c r="S499" s="227" t="str">
        <f t="shared" si="174"/>
        <v>0.0085-0.0252569920352104i</v>
      </c>
      <c r="T499" s="227" t="str">
        <f t="shared" si="175"/>
        <v>0.00852354221730637-0.0252390832333197i</v>
      </c>
      <c r="U499" s="227" t="str">
        <f t="shared" si="176"/>
        <v>-0.0472820736407521+0.118970084149149i</v>
      </c>
      <c r="V499" s="227">
        <f t="shared" si="187"/>
        <v>-17.85434946984142</v>
      </c>
      <c r="W499" s="227">
        <f t="shared" si="188"/>
        <v>-248.32572873949897</v>
      </c>
      <c r="X499" s="227" t="str">
        <f t="shared" si="177"/>
        <v>-2.19564675083164-0.568411181176756i</v>
      </c>
      <c r="Y499" s="227" t="str">
        <f t="shared" si="178"/>
        <v>0.00454151567610427-1.21281150771188i</v>
      </c>
      <c r="Z499" s="227" t="str">
        <f t="shared" si="179"/>
        <v>-0.39323637420311+1.49587538649088i</v>
      </c>
      <c r="AA499" s="227" t="str">
        <f t="shared" si="180"/>
        <v>0.48316818825017+0.462580571372589i</v>
      </c>
      <c r="AB499" s="227">
        <f t="shared" si="189"/>
        <v>-3.4927268387959569</v>
      </c>
      <c r="AC499" s="227">
        <f t="shared" si="190"/>
        <v>-316.24705137024722</v>
      </c>
      <c r="AD499" s="229">
        <f t="shared" si="191"/>
        <v>-32.572246937172523</v>
      </c>
      <c r="AE499" s="229">
        <f t="shared" si="192"/>
        <v>97.95089612110236</v>
      </c>
      <c r="AF499" s="227">
        <f t="shared" si="181"/>
        <v>-36.064973775968483</v>
      </c>
      <c r="AG499" s="227">
        <f t="shared" si="182"/>
        <v>-218.29615524914487</v>
      </c>
      <c r="AH499" s="229" t="str">
        <f t="shared" si="183"/>
        <v>0.00325301706659978-0.0232912381151739i</v>
      </c>
    </row>
    <row r="500" spans="9:34" x14ac:dyDescent="0.2">
      <c r="I500" s="227">
        <v>496</v>
      </c>
      <c r="J500" s="227">
        <f t="shared" si="171"/>
        <v>5.8360607732845668</v>
      </c>
      <c r="K500" s="227">
        <f t="shared" si="193"/>
        <v>685584.15741135832</v>
      </c>
      <c r="L500" s="227">
        <f t="shared" si="184"/>
        <v>4307652.304682143</v>
      </c>
      <c r="M500" s="227">
        <f t="shared" si="172"/>
        <v>692331.50580751768</v>
      </c>
      <c r="N500" s="227">
        <f>SQRT((ABS(AC500)-171.5+'Small Signal'!C$59)^2)</f>
        <v>215.25799715302327</v>
      </c>
      <c r="O500" s="227">
        <f t="shared" si="185"/>
        <v>218.9813747945125</v>
      </c>
      <c r="P500" s="227">
        <f t="shared" si="186"/>
        <v>36.748692452470209</v>
      </c>
      <c r="Q500" s="227">
        <f t="shared" si="194"/>
        <v>685584.15741135832</v>
      </c>
      <c r="R500" s="227" t="str">
        <f t="shared" si="173"/>
        <v>0.0945666666666667+20.2459658320061i</v>
      </c>
      <c r="S500" s="227" t="str">
        <f t="shared" si="174"/>
        <v>0.0085-0.0246962779720575i</v>
      </c>
      <c r="T500" s="227" t="str">
        <f t="shared" si="175"/>
        <v>0.0085223763964149-0.0246787679510553i</v>
      </c>
      <c r="U500" s="227" t="str">
        <f t="shared" si="176"/>
        <v>-0.0469968166110178+0.11633022933887i</v>
      </c>
      <c r="V500" s="227">
        <f t="shared" si="187"/>
        <v>-18.02956009844215</v>
      </c>
      <c r="W500" s="227">
        <f t="shared" si="188"/>
        <v>-248.00154415278789</v>
      </c>
      <c r="X500" s="227" t="str">
        <f t="shared" si="177"/>
        <v>-2.34240452902002-0.581316613456866i</v>
      </c>
      <c r="Y500" s="227" t="str">
        <f t="shared" si="178"/>
        <v>0.00434208454190727-1.18588466394839i</v>
      </c>
      <c r="Z500" s="227" t="str">
        <f t="shared" si="179"/>
        <v>-0.393347814309898+1.56052378744778i</v>
      </c>
      <c r="AA500" s="227" t="str">
        <f t="shared" si="180"/>
        <v>0.460417638586121+0.432996549667674i</v>
      </c>
      <c r="AB500" s="227">
        <f t="shared" si="189"/>
        <v>-3.9851538039528087</v>
      </c>
      <c r="AC500" s="227">
        <f t="shared" si="190"/>
        <v>-316.75799715302327</v>
      </c>
      <c r="AD500" s="229">
        <f t="shared" si="191"/>
        <v>-32.763538648517404</v>
      </c>
      <c r="AE500" s="229">
        <f t="shared" si="192"/>
        <v>97.776622358510764</v>
      </c>
      <c r="AF500" s="227">
        <f t="shared" si="181"/>
        <v>-36.748692452470209</v>
      </c>
      <c r="AG500" s="227">
        <f t="shared" si="182"/>
        <v>-218.9813747945125</v>
      </c>
      <c r="AH500" s="229" t="str">
        <f t="shared" si="183"/>
        <v>0.0031128428510068-0.0227934696173062i</v>
      </c>
    </row>
    <row r="501" spans="9:34" x14ac:dyDescent="0.2">
      <c r="I501" s="227">
        <v>497</v>
      </c>
      <c r="J501" s="227">
        <f t="shared" si="171"/>
        <v>5.8458108958113497</v>
      </c>
      <c r="K501" s="227">
        <f t="shared" si="193"/>
        <v>701149.9312891165</v>
      </c>
      <c r="L501" s="227">
        <f t="shared" si="184"/>
        <v>4405454.9464057535</v>
      </c>
      <c r="M501" s="227">
        <f t="shared" si="172"/>
        <v>708250.69117210212</v>
      </c>
      <c r="N501" s="227">
        <f>SQRT((ABS(AC501)-171.5+'Small Signal'!C$59)^2)</f>
        <v>215.71138232781288</v>
      </c>
      <c r="O501" s="227">
        <f t="shared" si="185"/>
        <v>219.60530851823148</v>
      </c>
      <c r="P501" s="227">
        <f t="shared" si="186"/>
        <v>37.425899229873522</v>
      </c>
      <c r="Q501" s="227">
        <f t="shared" si="194"/>
        <v>701149.9312891165</v>
      </c>
      <c r="R501" s="227" t="str">
        <f t="shared" si="173"/>
        <v>0.0945666666666667+20.705638248107i</v>
      </c>
      <c r="S501" s="227" t="str">
        <f t="shared" si="174"/>
        <v>0.0085-0.0241480119573571i</v>
      </c>
      <c r="T501" s="227" t="str">
        <f t="shared" si="175"/>
        <v>0.00852126176409986-0.024130891786059i</v>
      </c>
      <c r="U501" s="227" t="str">
        <f t="shared" si="176"/>
        <v>-0.0467240853673729+0.113748894066826i</v>
      </c>
      <c r="V501" s="227">
        <f t="shared" si="187"/>
        <v>-18.203921719506784</v>
      </c>
      <c r="W501" s="227">
        <f t="shared" si="188"/>
        <v>-247.6688483518958</v>
      </c>
      <c r="X501" s="227" t="str">
        <f t="shared" si="177"/>
        <v>-2.49590205259899-0.594515055775924i</v>
      </c>
      <c r="Y501" s="227" t="str">
        <f t="shared" si="178"/>
        <v>0.00415141197189791-1.15955573605438i</v>
      </c>
      <c r="Z501" s="227" t="str">
        <f t="shared" si="179"/>
        <v>-0.393454360212189+1.6259586638098i</v>
      </c>
      <c r="AA501" s="227" t="str">
        <f t="shared" si="180"/>
        <v>0.438602020409261+0.405988106134695i</v>
      </c>
      <c r="AB501" s="227">
        <f t="shared" si="189"/>
        <v>-4.4709089071253381</v>
      </c>
      <c r="AC501" s="227">
        <f t="shared" si="190"/>
        <v>-317.21138232781288</v>
      </c>
      <c r="AD501" s="229">
        <f t="shared" si="191"/>
        <v>-32.954990322748181</v>
      </c>
      <c r="AE501" s="229">
        <f t="shared" si="192"/>
        <v>97.606073809581417</v>
      </c>
      <c r="AF501" s="227">
        <f t="shared" si="181"/>
        <v>-37.425899229873522</v>
      </c>
      <c r="AG501" s="227">
        <f t="shared" si="182"/>
        <v>-219.60530851823148</v>
      </c>
      <c r="AH501" s="229" t="str">
        <f t="shared" si="183"/>
        <v>0.00297859909612087-0.022305524548008i</v>
      </c>
    </row>
    <row r="502" spans="9:34" x14ac:dyDescent="0.2">
      <c r="I502" s="227">
        <v>498</v>
      </c>
      <c r="J502" s="227">
        <f t="shared" si="171"/>
        <v>5.8555610183381335</v>
      </c>
      <c r="K502" s="227">
        <f t="shared" si="193"/>
        <v>717069.11665370094</v>
      </c>
      <c r="L502" s="227">
        <f t="shared" si="184"/>
        <v>4505478.1379907783</v>
      </c>
      <c r="M502" s="227">
        <f t="shared" si="172"/>
        <v>724531.31201769016</v>
      </c>
      <c r="N502" s="227">
        <f>SQRT((ABS(AC502)-171.5+'Small Signal'!C$59)^2)</f>
        <v>216.11131011341178</v>
      </c>
      <c r="O502" s="227">
        <f t="shared" si="185"/>
        <v>220.1721331988806</v>
      </c>
      <c r="P502" s="227">
        <f t="shared" si="186"/>
        <v>38.096810443703198</v>
      </c>
      <c r="Q502" s="227">
        <f t="shared" si="194"/>
        <v>717069.11665370094</v>
      </c>
      <c r="R502" s="227" t="str">
        <f t="shared" si="173"/>
        <v>0.0945666666666667+21.1757472485567i</v>
      </c>
      <c r="S502" s="227" t="str">
        <f t="shared" si="174"/>
        <v>0.0085-0.0236119176400767i</v>
      </c>
      <c r="T502" s="227" t="str">
        <f t="shared" si="175"/>
        <v>0.00852019607279028-0.0235951785906613i</v>
      </c>
      <c r="U502" s="227" t="str">
        <f t="shared" si="176"/>
        <v>-0.0464633298638653+0.111224784791979i</v>
      </c>
      <c r="V502" s="227">
        <f t="shared" si="187"/>
        <v>-18.377405497366091</v>
      </c>
      <c r="W502" s="227">
        <f t="shared" si="188"/>
        <v>-247.32762838374492</v>
      </c>
      <c r="X502" s="227" t="str">
        <f t="shared" si="177"/>
        <v>-2.65644883952726-0.608013160749752i</v>
      </c>
      <c r="Y502" s="227" t="str">
        <f t="shared" si="178"/>
        <v>0.00396911322693428-1.1338114415876i</v>
      </c>
      <c r="Z502" s="227" t="str">
        <f t="shared" si="179"/>
        <v>-0.393556226899253+1.69221300422283i</v>
      </c>
      <c r="AA502" s="227" t="str">
        <f t="shared" si="180"/>
        <v>0.417726222664256+0.381285272484713i</v>
      </c>
      <c r="AB502" s="227">
        <f t="shared" si="189"/>
        <v>-4.9502152570195079</v>
      </c>
      <c r="AC502" s="227">
        <f t="shared" si="190"/>
        <v>-317.61131011341178</v>
      </c>
      <c r="AD502" s="229">
        <f t="shared" si="191"/>
        <v>-33.14659518668369</v>
      </c>
      <c r="AE502" s="229">
        <f t="shared" si="192"/>
        <v>97.43917691453116</v>
      </c>
      <c r="AF502" s="227">
        <f t="shared" si="181"/>
        <v>-38.096810443703198</v>
      </c>
      <c r="AG502" s="227">
        <f t="shared" si="182"/>
        <v>-220.1721331988806</v>
      </c>
      <c r="AH502" s="229" t="str">
        <f t="shared" si="183"/>
        <v>0.00285004416785403-0.0218272616151603i</v>
      </c>
    </row>
    <row r="503" spans="9:34" x14ac:dyDescent="0.2">
      <c r="I503" s="227">
        <v>499</v>
      </c>
      <c r="J503" s="227">
        <f t="shared" si="171"/>
        <v>5.8653111408649163</v>
      </c>
      <c r="K503" s="227">
        <f t="shared" si="193"/>
        <v>733349.73749928898</v>
      </c>
      <c r="L503" s="227">
        <f t="shared" si="184"/>
        <v>4607772.2956795385</v>
      </c>
      <c r="M503" s="227">
        <f t="shared" si="172"/>
        <v>741181.57451840164</v>
      </c>
      <c r="N503" s="227">
        <f>SQRT((ABS(AC503)-171.5+'Small Signal'!C$59)^2)</f>
        <v>216.46146045023909</v>
      </c>
      <c r="O503" s="227">
        <f t="shared" si="185"/>
        <v>220.68560127612122</v>
      </c>
      <c r="P503" s="227">
        <f t="shared" si="186"/>
        <v>38.761640149323696</v>
      </c>
      <c r="Q503" s="227">
        <f t="shared" si="194"/>
        <v>733349.73749928898</v>
      </c>
      <c r="R503" s="227" t="str">
        <f t="shared" si="173"/>
        <v>0.0945666666666667+21.6565297896938i</v>
      </c>
      <c r="S503" s="227" t="str">
        <f t="shared" si="174"/>
        <v>0.0085-0.0230877248042734i</v>
      </c>
      <c r="T503" s="227" t="str">
        <f t="shared" si="175"/>
        <v>0.00851917717360045-0.0230713583474361i</v>
      </c>
      <c r="U503" s="227" t="str">
        <f t="shared" si="176"/>
        <v>-0.046214024211517+0.10875663632463i</v>
      </c>
      <c r="V503" s="227">
        <f t="shared" si="187"/>
        <v>-18.549981846617662</v>
      </c>
      <c r="W503" s="227">
        <f t="shared" si="188"/>
        <v>-246.97787539816633</v>
      </c>
      <c r="X503" s="227" t="str">
        <f t="shared" si="177"/>
        <v>-2.82436862215306-0.621817732037787i</v>
      </c>
      <c r="Y503" s="227" t="str">
        <f t="shared" si="178"/>
        <v>0.00379482047550211-1.10863879353439i</v>
      </c>
      <c r="Z503" s="227" t="str">
        <f t="shared" si="179"/>
        <v>-0.393653619912485+1.75932020995733i</v>
      </c>
      <c r="AA503" s="227" t="str">
        <f t="shared" si="180"/>
        <v>0.39778241454105+0.358649676085619i</v>
      </c>
      <c r="AB503" s="227">
        <f t="shared" si="189"/>
        <v>-5.4232934057450111</v>
      </c>
      <c r="AC503" s="227">
        <f t="shared" si="190"/>
        <v>-317.96146045023909</v>
      </c>
      <c r="AD503" s="229">
        <f t="shared" si="191"/>
        <v>-33.338346743578683</v>
      </c>
      <c r="AE503" s="229">
        <f t="shared" si="192"/>
        <v>97.275859174117869</v>
      </c>
      <c r="AF503" s="227">
        <f t="shared" si="181"/>
        <v>-38.761640149323696</v>
      </c>
      <c r="AG503" s="227">
        <f t="shared" si="182"/>
        <v>-220.68560127612122</v>
      </c>
      <c r="AH503" s="229" t="str">
        <f t="shared" si="183"/>
        <v>0.00272694549260971-0.0213585379857095i</v>
      </c>
    </row>
    <row r="504" spans="9:34" x14ac:dyDescent="0.2">
      <c r="I504" s="227">
        <v>500</v>
      </c>
      <c r="J504" s="227">
        <f t="shared" si="171"/>
        <v>5.8750612633917001</v>
      </c>
      <c r="K504" s="227">
        <f t="shared" si="193"/>
        <v>750000.00000000047</v>
      </c>
      <c r="L504" s="227">
        <f>2*PI()*K504</f>
        <v>4712388.9803846925</v>
      </c>
      <c r="M504" s="227">
        <f t="shared" si="172"/>
        <v>8818.4254815988115</v>
      </c>
      <c r="N504" s="227">
        <f>SQRT((ABS(AC504)-171.5+'Small Signal'!C$59)^2)</f>
        <v>216.63231781226506</v>
      </c>
      <c r="O504" s="227">
        <f t="shared" si="185"/>
        <v>221.01626865124203</v>
      </c>
      <c r="P504" s="227">
        <f t="shared" si="186"/>
        <v>39.431430219724447</v>
      </c>
      <c r="Q504" s="227">
        <f t="shared" si="194"/>
        <v>750000.00000000047</v>
      </c>
      <c r="R504" s="227" t="str">
        <f>IMSUM(COMPLEX(DCRss,Lss*L504),COMPLEX(Rdsonss,0),COMPLEX(Risense,0))</f>
        <v>0.0329+22.1482282078081i</v>
      </c>
      <c r="S504" s="227" t="str">
        <f t="shared" si="174"/>
        <v>0.0085-0.0225751692328929i</v>
      </c>
      <c r="T504" s="227" t="str">
        <f t="shared" si="175"/>
        <v>0.00851820301199683-0.0225591670331288i</v>
      </c>
      <c r="U504" s="227" t="str">
        <f t="shared" si="176"/>
        <v>-0.0459810908133308+0.106357370878277i</v>
      </c>
      <c r="V504" s="227">
        <f t="shared" si="187"/>
        <v>-18.720484710414421</v>
      </c>
      <c r="W504" s="227">
        <f t="shared" si="188"/>
        <v>-246.61990110812704</v>
      </c>
      <c r="X504" s="227" t="str">
        <f t="shared" si="177"/>
        <v>-3-0.635935727772444i</v>
      </c>
      <c r="Y504" s="227" t="str">
        <f t="shared" si="178"/>
        <v>0.00060985110843877-1.08403973015564i</v>
      </c>
      <c r="Z504" s="227" t="str">
        <f t="shared" si="179"/>
        <v>-0.388660431790988+1.82841809847879i</v>
      </c>
      <c r="AA504" s="227" t="str">
        <f t="shared" si="180"/>
        <v>0.377498171966074+0.338325584419634i</v>
      </c>
      <c r="AB504" s="227">
        <f t="shared" si="189"/>
        <v>-5.9011914570054742</v>
      </c>
      <c r="AC504" s="227">
        <f t="shared" si="190"/>
        <v>-318.13231781226506</v>
      </c>
      <c r="AD504" s="229">
        <f t="shared" si="191"/>
        <v>-33.530238762718973</v>
      </c>
      <c r="AE504" s="229">
        <f t="shared" si="192"/>
        <v>97.116049161023028</v>
      </c>
      <c r="AF504" s="227">
        <f t="shared" si="181"/>
        <v>-39.431430219724447</v>
      </c>
      <c r="AG504" s="227">
        <f t="shared" si="182"/>
        <v>-221.01626865124203</v>
      </c>
      <c r="AH504" s="229" t="str">
        <f t="shared" si="183"/>
        <v>0.00260907928491162-0.0208992095914871i</v>
      </c>
    </row>
    <row r="505" spans="9:34" x14ac:dyDescent="0.2">
      <c r="AF505" s="231" t="s">
        <v>121</v>
      </c>
    </row>
    <row r="507" spans="9:34" x14ac:dyDescent="0.2">
      <c r="I507" s="227" t="s">
        <v>175</v>
      </c>
      <c r="M507" s="227" t="s">
        <v>173</v>
      </c>
      <c r="Q507" s="227" t="s">
        <v>174</v>
      </c>
    </row>
    <row r="508" spans="9:34" ht="15" x14ac:dyDescent="0.25">
      <c r="I508" s="227" t="s">
        <v>329</v>
      </c>
      <c r="M508" s="227" t="s">
        <v>329</v>
      </c>
      <c r="N508" s="232"/>
      <c r="O508" s="232"/>
      <c r="P508" s="232"/>
      <c r="Q508" s="232" t="s">
        <v>169</v>
      </c>
    </row>
    <row r="509" spans="9:34" ht="15" x14ac:dyDescent="0.25">
      <c r="I509" s="227" t="s">
        <v>331</v>
      </c>
      <c r="M509" s="227" t="s">
        <v>330</v>
      </c>
      <c r="N509" s="232"/>
      <c r="O509" s="232"/>
      <c r="P509" s="232"/>
      <c r="Q509" s="232" t="s">
        <v>327</v>
      </c>
    </row>
    <row r="510" spans="9:34" ht="15" x14ac:dyDescent="0.25">
      <c r="I510" s="227" t="s">
        <v>170</v>
      </c>
      <c r="J510" s="227" t="s">
        <v>171</v>
      </c>
      <c r="K510" s="227" t="s">
        <v>172</v>
      </c>
      <c r="M510" s="227" t="s">
        <v>170</v>
      </c>
      <c r="N510" s="232" t="s">
        <v>171</v>
      </c>
      <c r="O510" s="232" t="s">
        <v>172</v>
      </c>
      <c r="P510" s="232"/>
      <c r="Q510" s="232" t="s">
        <v>170</v>
      </c>
      <c r="R510" s="227" t="s">
        <v>171</v>
      </c>
      <c r="S510" s="227" t="s">
        <v>172</v>
      </c>
    </row>
    <row r="511" spans="9:34" ht="15" x14ac:dyDescent="0.25">
      <c r="I511" s="227">
        <v>10</v>
      </c>
      <c r="J511" s="227">
        <v>37.660600000000002</v>
      </c>
      <c r="K511" s="227">
        <v>174.03</v>
      </c>
      <c r="M511" s="227">
        <v>10</v>
      </c>
      <c r="N511" s="232">
        <v>18.21</v>
      </c>
      <c r="O511" s="232">
        <v>0.85629999999999995</v>
      </c>
      <c r="P511" s="232"/>
      <c r="Q511" s="232"/>
    </row>
    <row r="512" spans="9:34" ht="15" x14ac:dyDescent="0.25">
      <c r="I512" s="227">
        <v>12.59</v>
      </c>
      <c r="J512" s="227">
        <v>40.938000000000002</v>
      </c>
      <c r="K512" s="227">
        <v>10.471</v>
      </c>
      <c r="M512" s="227">
        <v>12.59</v>
      </c>
      <c r="N512" s="232">
        <v>18.2605</v>
      </c>
      <c r="O512" s="232">
        <v>0.83806000000000003</v>
      </c>
      <c r="P512" s="232"/>
      <c r="Q512" s="232"/>
    </row>
    <row r="513" spans="9:17" ht="15" x14ac:dyDescent="0.25">
      <c r="I513" s="227">
        <v>15.85</v>
      </c>
      <c r="J513" s="227">
        <v>45.019300000000001</v>
      </c>
      <c r="K513" s="227">
        <v>156.11000000000001</v>
      </c>
      <c r="M513" s="227">
        <v>15.85</v>
      </c>
      <c r="N513" s="232">
        <v>18.195399999999999</v>
      </c>
      <c r="O513" s="232">
        <v>-1.2109000000000001</v>
      </c>
      <c r="P513" s="232"/>
      <c r="Q513" s="232"/>
    </row>
    <row r="514" spans="9:17" ht="15" x14ac:dyDescent="0.25">
      <c r="I514" s="227">
        <v>19.95</v>
      </c>
      <c r="J514" s="227">
        <v>41.562100000000001</v>
      </c>
      <c r="K514" s="227">
        <v>-168.2</v>
      </c>
      <c r="M514" s="227">
        <v>19.95</v>
      </c>
      <c r="N514" s="232">
        <v>18.6417</v>
      </c>
      <c r="O514" s="232">
        <v>-0.48448999999999998</v>
      </c>
      <c r="P514" s="232"/>
      <c r="Q514" s="232"/>
    </row>
    <row r="515" spans="9:17" ht="15" x14ac:dyDescent="0.25">
      <c r="I515" s="227">
        <v>25.12</v>
      </c>
      <c r="J515" s="227">
        <v>43.169699999999999</v>
      </c>
      <c r="K515" s="227">
        <v>173.51</v>
      </c>
      <c r="M515" s="227">
        <v>25.12</v>
      </c>
      <c r="N515" s="232">
        <v>18.401</v>
      </c>
      <c r="O515" s="232">
        <v>-0.98385999999999996</v>
      </c>
      <c r="P515" s="232"/>
      <c r="Q515" s="232"/>
    </row>
    <row r="516" spans="9:17" ht="15" x14ac:dyDescent="0.25">
      <c r="I516" s="227">
        <v>31.62</v>
      </c>
      <c r="J516" s="227">
        <v>42.245800000000003</v>
      </c>
      <c r="K516" s="227">
        <v>139.72999999999999</v>
      </c>
      <c r="M516" s="227">
        <v>31.62</v>
      </c>
      <c r="N516" s="232">
        <v>18.456</v>
      </c>
      <c r="O516" s="232">
        <v>0.32150000000000001</v>
      </c>
      <c r="P516" s="232"/>
      <c r="Q516" s="232"/>
    </row>
    <row r="517" spans="9:17" ht="15" x14ac:dyDescent="0.25">
      <c r="I517" s="227">
        <v>39.81</v>
      </c>
      <c r="J517" s="227">
        <v>41.420299999999997</v>
      </c>
      <c r="K517" s="227">
        <v>136.25</v>
      </c>
      <c r="M517" s="227">
        <v>39.81</v>
      </c>
      <c r="N517" s="232">
        <v>18.449200000000001</v>
      </c>
      <c r="O517" s="232">
        <v>-0.60572000000000004</v>
      </c>
      <c r="P517" s="232"/>
      <c r="Q517" s="232"/>
    </row>
    <row r="518" spans="9:17" ht="15" x14ac:dyDescent="0.25">
      <c r="I518" s="227">
        <v>50.12</v>
      </c>
      <c r="J518" s="227">
        <v>41.924500000000002</v>
      </c>
      <c r="K518" s="227">
        <v>127.18</v>
      </c>
      <c r="M518" s="227">
        <v>50.12</v>
      </c>
      <c r="N518" s="232">
        <v>18.566299999999998</v>
      </c>
      <c r="O518" s="232">
        <v>-1.2511000000000001</v>
      </c>
      <c r="P518" s="232"/>
      <c r="Q518" s="232"/>
    </row>
    <row r="519" spans="9:17" ht="15" x14ac:dyDescent="0.25">
      <c r="I519" s="227">
        <v>63.1</v>
      </c>
      <c r="J519" s="227">
        <v>40.187199999999997</v>
      </c>
      <c r="K519" s="227">
        <v>123.47</v>
      </c>
      <c r="M519" s="227">
        <v>63.1</v>
      </c>
      <c r="N519" s="232">
        <v>18.429400000000001</v>
      </c>
      <c r="O519" s="232">
        <v>-0.94950999999999997</v>
      </c>
      <c r="P519" s="232"/>
      <c r="Q519" s="232"/>
    </row>
    <row r="520" spans="9:17" ht="15" x14ac:dyDescent="0.25">
      <c r="I520" s="227">
        <v>79.44</v>
      </c>
      <c r="J520" s="227">
        <v>38.4514</v>
      </c>
      <c r="K520" s="227">
        <v>118.43</v>
      </c>
      <c r="M520" s="227">
        <v>79.44</v>
      </c>
      <c r="N520" s="232">
        <v>18.380700000000001</v>
      </c>
      <c r="O520" s="232">
        <v>-1.4977</v>
      </c>
      <c r="P520" s="232"/>
      <c r="Q520" s="232"/>
    </row>
    <row r="521" spans="9:17" ht="15" x14ac:dyDescent="0.25">
      <c r="I521" s="227">
        <v>100</v>
      </c>
      <c r="J521" s="227">
        <v>36.996499999999997</v>
      </c>
      <c r="K521" s="227">
        <v>113.19</v>
      </c>
      <c r="M521" s="227">
        <v>100</v>
      </c>
      <c r="N521" s="232">
        <v>18.421800000000001</v>
      </c>
      <c r="O521" s="232">
        <v>-2.1703000000000001</v>
      </c>
      <c r="P521" s="232"/>
      <c r="Q521" s="232"/>
    </row>
    <row r="522" spans="9:17" ht="15" x14ac:dyDescent="0.25">
      <c r="I522" s="227">
        <v>125.9</v>
      </c>
      <c r="J522" s="227">
        <v>35.101599999999998</v>
      </c>
      <c r="K522" s="227">
        <v>107.02</v>
      </c>
      <c r="M522" s="227">
        <v>125.9</v>
      </c>
      <c r="N522" s="232">
        <v>18.415299999999998</v>
      </c>
      <c r="O522" s="232">
        <v>-2.3035999999999999</v>
      </c>
      <c r="P522" s="232"/>
      <c r="Q522" s="232"/>
    </row>
    <row r="523" spans="9:17" ht="15" x14ac:dyDescent="0.25">
      <c r="I523" s="227">
        <v>158.5</v>
      </c>
      <c r="J523" s="227">
        <v>33.128500000000003</v>
      </c>
      <c r="K523" s="227">
        <v>106.26</v>
      </c>
      <c r="M523" s="227">
        <v>158.5</v>
      </c>
      <c r="N523" s="232">
        <v>18.372299999999999</v>
      </c>
      <c r="O523" s="232">
        <v>-3.1655000000000002</v>
      </c>
      <c r="P523" s="232"/>
      <c r="Q523" s="232"/>
    </row>
    <row r="524" spans="9:17" ht="15" x14ac:dyDescent="0.25">
      <c r="I524" s="227">
        <v>199.5</v>
      </c>
      <c r="J524" s="227">
        <v>31.1892</v>
      </c>
      <c r="K524" s="227">
        <v>104.03</v>
      </c>
      <c r="M524" s="227">
        <v>199.5</v>
      </c>
      <c r="N524" s="232">
        <v>18.3811</v>
      </c>
      <c r="O524" s="232">
        <v>-3.6356999999999999</v>
      </c>
      <c r="P524" s="232"/>
      <c r="Q524" s="232"/>
    </row>
    <row r="525" spans="9:17" ht="15" x14ac:dyDescent="0.25">
      <c r="I525" s="227">
        <v>251.2</v>
      </c>
      <c r="J525" s="227">
        <v>29.313400000000001</v>
      </c>
      <c r="K525" s="227">
        <v>103.26</v>
      </c>
      <c r="M525" s="227">
        <v>251.2</v>
      </c>
      <c r="N525" s="232">
        <v>18.360399999999998</v>
      </c>
      <c r="O525" s="232">
        <v>-4.6921999999999997</v>
      </c>
      <c r="P525" s="232"/>
      <c r="Q525" s="232"/>
    </row>
    <row r="526" spans="9:17" ht="15" x14ac:dyDescent="0.25">
      <c r="I526" s="227">
        <v>316.2</v>
      </c>
      <c r="J526" s="227">
        <v>27.4208</v>
      </c>
      <c r="K526" s="227">
        <v>103.39</v>
      </c>
      <c r="M526" s="227">
        <v>316.2</v>
      </c>
      <c r="N526" s="232">
        <v>18.352900000000002</v>
      </c>
      <c r="O526" s="232">
        <v>-5.5035999999999996</v>
      </c>
      <c r="P526" s="232"/>
      <c r="Q526" s="232"/>
    </row>
    <row r="527" spans="9:17" ht="15" x14ac:dyDescent="0.25">
      <c r="I527" s="227">
        <v>398.1</v>
      </c>
      <c r="J527" s="227">
        <v>25.543299999999999</v>
      </c>
      <c r="K527" s="227">
        <v>103.34</v>
      </c>
      <c r="M527" s="227">
        <v>398.1</v>
      </c>
      <c r="N527" s="232">
        <v>18.329999999999998</v>
      </c>
      <c r="O527" s="232">
        <v>-6.8949999999999996</v>
      </c>
      <c r="P527" s="232"/>
      <c r="Q527" s="232"/>
    </row>
    <row r="528" spans="9:17" ht="15" x14ac:dyDescent="0.25">
      <c r="I528" s="227">
        <v>501.2</v>
      </c>
      <c r="J528" s="227">
        <v>23.7925</v>
      </c>
      <c r="K528" s="227">
        <v>104.35</v>
      </c>
      <c r="M528" s="227">
        <v>501.2</v>
      </c>
      <c r="N528" s="232">
        <v>18.350000000000001</v>
      </c>
      <c r="O528" s="232">
        <v>-8.4138999999999999</v>
      </c>
      <c r="P528" s="232"/>
      <c r="Q528" s="232"/>
    </row>
    <row r="529" spans="9:17" ht="15" x14ac:dyDescent="0.25">
      <c r="I529" s="227">
        <v>631</v>
      </c>
      <c r="J529" s="227">
        <v>22.151800000000001</v>
      </c>
      <c r="K529" s="227">
        <v>105.57</v>
      </c>
      <c r="M529" s="227">
        <v>631</v>
      </c>
      <c r="N529" s="232">
        <v>18.415500000000002</v>
      </c>
      <c r="O529" s="232">
        <v>-10.231999999999999</v>
      </c>
      <c r="P529" s="232"/>
      <c r="Q529" s="232"/>
    </row>
    <row r="530" spans="9:17" ht="15" x14ac:dyDescent="0.25">
      <c r="I530" s="227">
        <v>794.4</v>
      </c>
      <c r="J530" s="227">
        <v>20.708300000000001</v>
      </c>
      <c r="K530" s="227">
        <v>106.78</v>
      </c>
      <c r="M530" s="227">
        <v>794.4</v>
      </c>
      <c r="N530" s="232">
        <v>18.587599999999998</v>
      </c>
      <c r="O530" s="232">
        <v>-13.294</v>
      </c>
      <c r="P530" s="232"/>
      <c r="Q530" s="232"/>
    </row>
    <row r="531" spans="9:17" ht="15" x14ac:dyDescent="0.25">
      <c r="I531" s="227">
        <v>1000</v>
      </c>
      <c r="J531" s="227">
        <v>19.408200000000001</v>
      </c>
      <c r="K531" s="227">
        <v>106.81</v>
      </c>
      <c r="M531" s="227">
        <v>1000</v>
      </c>
      <c r="N531" s="232">
        <v>18.744800000000001</v>
      </c>
      <c r="O531" s="232">
        <v>-18.077000000000002</v>
      </c>
      <c r="P531" s="232"/>
      <c r="Q531" s="232"/>
    </row>
    <row r="532" spans="9:17" ht="15" x14ac:dyDescent="0.25">
      <c r="I532" s="227">
        <v>1259</v>
      </c>
      <c r="J532" s="227">
        <v>18.206299999999999</v>
      </c>
      <c r="K532" s="227">
        <v>105.07</v>
      </c>
      <c r="M532" s="227">
        <v>1259</v>
      </c>
      <c r="N532" s="232">
        <v>18.844999999999999</v>
      </c>
      <c r="O532" s="232">
        <v>-25.614000000000001</v>
      </c>
      <c r="P532" s="232"/>
      <c r="Q532" s="232"/>
    </row>
    <row r="533" spans="9:17" ht="15" x14ac:dyDescent="0.25">
      <c r="I533" s="227">
        <v>1585</v>
      </c>
      <c r="J533" s="227">
        <v>16.799600000000002</v>
      </c>
      <c r="K533" s="227">
        <v>101.35</v>
      </c>
      <c r="M533" s="227">
        <v>1585</v>
      </c>
      <c r="N533" s="232">
        <v>18.576599999999999</v>
      </c>
      <c r="O533" s="232">
        <v>-35.216999999999999</v>
      </c>
      <c r="P533" s="232"/>
      <c r="Q533" s="232"/>
    </row>
    <row r="534" spans="9:17" ht="15" x14ac:dyDescent="0.25">
      <c r="I534" s="227">
        <v>1995</v>
      </c>
      <c r="J534" s="227">
        <v>15.136699999999999</v>
      </c>
      <c r="K534" s="227">
        <v>96.534999999999997</v>
      </c>
      <c r="M534" s="227">
        <v>1995</v>
      </c>
      <c r="N534" s="232">
        <v>17.8185</v>
      </c>
      <c r="O534" s="232">
        <v>-46.118000000000002</v>
      </c>
      <c r="P534" s="232"/>
      <c r="Q534" s="232"/>
    </row>
    <row r="535" spans="9:17" ht="15" x14ac:dyDescent="0.25">
      <c r="I535" s="227">
        <v>2512</v>
      </c>
      <c r="J535" s="227">
        <v>13.201000000000001</v>
      </c>
      <c r="K535" s="227">
        <v>92.039000000000001</v>
      </c>
      <c r="M535" s="227">
        <v>2512</v>
      </c>
      <c r="N535" s="232">
        <v>16.533100000000001</v>
      </c>
      <c r="O535" s="232">
        <v>-56.924999999999997</v>
      </c>
      <c r="P535" s="232"/>
      <c r="Q535" s="232"/>
    </row>
    <row r="536" spans="9:17" ht="15" x14ac:dyDescent="0.25">
      <c r="I536" s="227">
        <v>3162</v>
      </c>
      <c r="J536" s="227">
        <v>11.1213</v>
      </c>
      <c r="K536" s="227">
        <v>88.516999999999996</v>
      </c>
      <c r="M536" s="227">
        <v>3162</v>
      </c>
      <c r="N536" s="232">
        <v>14.869</v>
      </c>
      <c r="O536" s="232">
        <v>-65.897000000000006</v>
      </c>
      <c r="P536" s="232"/>
      <c r="Q536" s="232"/>
    </row>
    <row r="537" spans="9:17" ht="15" x14ac:dyDescent="0.25">
      <c r="I537" s="227">
        <v>3981</v>
      </c>
      <c r="J537" s="227">
        <v>9.0173299999999994</v>
      </c>
      <c r="K537" s="227">
        <v>85.623999999999995</v>
      </c>
      <c r="M537" s="227">
        <v>3981</v>
      </c>
      <c r="N537" s="232">
        <v>13.0419</v>
      </c>
      <c r="O537" s="232">
        <v>-73.241</v>
      </c>
      <c r="P537" s="232"/>
      <c r="Q537" s="232"/>
    </row>
    <row r="538" spans="9:17" ht="15" x14ac:dyDescent="0.25">
      <c r="I538" s="227">
        <v>5012</v>
      </c>
      <c r="J538" s="227">
        <v>6.94102</v>
      </c>
      <c r="K538" s="227">
        <v>83.033000000000001</v>
      </c>
      <c r="M538" s="227">
        <v>5012</v>
      </c>
      <c r="N538" s="232">
        <v>11.1648</v>
      </c>
      <c r="O538" s="232">
        <v>-79.396000000000001</v>
      </c>
      <c r="P538" s="232"/>
      <c r="Q538" s="232"/>
    </row>
    <row r="539" spans="9:17" ht="15" x14ac:dyDescent="0.25">
      <c r="I539" s="227">
        <v>6310</v>
      </c>
      <c r="J539" s="227">
        <v>4.9103399999999997</v>
      </c>
      <c r="K539" s="227">
        <v>80.275000000000006</v>
      </c>
      <c r="M539" s="227">
        <v>6310</v>
      </c>
      <c r="N539" s="232">
        <v>9.2243700000000004</v>
      </c>
      <c r="O539" s="232">
        <v>-84.641000000000005</v>
      </c>
      <c r="P539" s="232"/>
      <c r="Q539" s="232"/>
    </row>
    <row r="540" spans="9:17" ht="15" x14ac:dyDescent="0.25">
      <c r="I540" s="227">
        <v>7944</v>
      </c>
      <c r="J540" s="227">
        <v>2.9131499999999999</v>
      </c>
      <c r="K540" s="227">
        <v>77.093000000000004</v>
      </c>
      <c r="M540" s="227">
        <v>7944</v>
      </c>
      <c r="N540" s="232">
        <v>7.2900400000000003</v>
      </c>
      <c r="O540" s="232">
        <v>-89.700999999999993</v>
      </c>
      <c r="P540" s="232"/>
      <c r="Q540" s="232"/>
    </row>
    <row r="541" spans="9:17" ht="15" x14ac:dyDescent="0.25">
      <c r="I541" s="227">
        <v>10000</v>
      </c>
      <c r="J541" s="227">
        <v>0.95159800000000005</v>
      </c>
      <c r="K541" s="227">
        <v>73.228999999999999</v>
      </c>
      <c r="M541" s="227">
        <v>10000</v>
      </c>
      <c r="N541" s="232">
        <v>5.4023700000000003</v>
      </c>
      <c r="O541" s="232">
        <v>-94.709000000000003</v>
      </c>
      <c r="P541" s="232"/>
      <c r="Q541" s="232"/>
    </row>
    <row r="542" spans="9:17" ht="15" x14ac:dyDescent="0.25">
      <c r="I542" s="227">
        <v>12590</v>
      </c>
      <c r="J542" s="227">
        <v>-0.97999400000000003</v>
      </c>
      <c r="K542" s="227">
        <v>68.453999999999994</v>
      </c>
      <c r="M542" s="227">
        <v>12590</v>
      </c>
      <c r="N542" s="232">
        <v>3.5295200000000002</v>
      </c>
      <c r="O542" s="232">
        <v>-99.733000000000004</v>
      </c>
      <c r="P542" s="232"/>
      <c r="Q542" s="232"/>
    </row>
    <row r="543" spans="9:17" ht="15" x14ac:dyDescent="0.25">
      <c r="I543" s="227">
        <v>15850</v>
      </c>
      <c r="J543" s="227">
        <v>-3.0378500000000002</v>
      </c>
      <c r="K543" s="227">
        <v>63.189</v>
      </c>
      <c r="M543" s="227">
        <v>15850</v>
      </c>
      <c r="N543" s="232">
        <v>1.69167</v>
      </c>
      <c r="O543" s="232">
        <v>-105.45</v>
      </c>
      <c r="P543" s="232"/>
      <c r="Q543" s="232"/>
    </row>
    <row r="544" spans="9:17" ht="15" x14ac:dyDescent="0.25">
      <c r="I544" s="227">
        <v>19950</v>
      </c>
      <c r="J544" s="227">
        <v>-5.0957600000000003</v>
      </c>
      <c r="K544" s="227">
        <v>56.701000000000001</v>
      </c>
      <c r="M544" s="227">
        <v>19950</v>
      </c>
      <c r="N544" s="232">
        <v>-7.7088799999999999E-2</v>
      </c>
      <c r="O544" s="232">
        <v>-111.88</v>
      </c>
      <c r="P544" s="232"/>
      <c r="Q544" s="232"/>
    </row>
    <row r="545" spans="9:17" ht="15" x14ac:dyDescent="0.25">
      <c r="I545" s="227">
        <v>25120</v>
      </c>
      <c r="J545" s="227">
        <v>-6.9738800000000003</v>
      </c>
      <c r="K545" s="227">
        <v>48.667000000000002</v>
      </c>
      <c r="M545" s="227">
        <v>25120</v>
      </c>
      <c r="N545" s="232">
        <v>-1.73281</v>
      </c>
      <c r="O545" s="232">
        <v>-118.42</v>
      </c>
      <c r="P545" s="232"/>
      <c r="Q545" s="232"/>
    </row>
    <row r="546" spans="9:17" ht="15" x14ac:dyDescent="0.25">
      <c r="I546" s="227">
        <v>31620</v>
      </c>
      <c r="J546" s="227">
        <v>-8.6015200000000007</v>
      </c>
      <c r="K546" s="227">
        <v>39.034999999999997</v>
      </c>
      <c r="M546" s="227">
        <v>31620</v>
      </c>
      <c r="N546" s="232">
        <v>-3.2250700000000001</v>
      </c>
      <c r="O546" s="232">
        <v>-126.06</v>
      </c>
      <c r="P546" s="232"/>
      <c r="Q546" s="232"/>
    </row>
    <row r="547" spans="9:17" ht="15" x14ac:dyDescent="0.25">
      <c r="I547" s="227">
        <v>39810</v>
      </c>
      <c r="J547" s="227">
        <v>-9.9493500000000008</v>
      </c>
      <c r="K547" s="227">
        <v>27.765000000000001</v>
      </c>
      <c r="M547" s="227">
        <v>39810</v>
      </c>
      <c r="N547" s="232">
        <v>-4.5564999999999998</v>
      </c>
      <c r="O547" s="232">
        <v>-133.94999999999999</v>
      </c>
      <c r="P547" s="232"/>
      <c r="Q547" s="232"/>
    </row>
    <row r="548" spans="9:17" ht="15" x14ac:dyDescent="0.25">
      <c r="I548" s="227">
        <v>50120</v>
      </c>
      <c r="J548" s="227">
        <v>-10.9834</v>
      </c>
      <c r="K548" s="227">
        <v>15.042999999999999</v>
      </c>
      <c r="M548" s="227">
        <v>50120</v>
      </c>
      <c r="N548" s="232">
        <v>-5.5935600000000001</v>
      </c>
      <c r="O548" s="232">
        <v>-142.86000000000001</v>
      </c>
      <c r="P548" s="232"/>
      <c r="Q548" s="232"/>
    </row>
    <row r="549" spans="9:17" ht="15" x14ac:dyDescent="0.25">
      <c r="I549" s="227">
        <v>63100</v>
      </c>
      <c r="J549" s="227">
        <v>-11.75</v>
      </c>
      <c r="K549" s="227">
        <v>-1.2692000000000001</v>
      </c>
      <c r="M549" s="227">
        <v>63100</v>
      </c>
      <c r="N549" s="232">
        <v>-6.4191700000000003</v>
      </c>
      <c r="O549" s="232">
        <v>-151.83000000000001</v>
      </c>
      <c r="P549" s="232"/>
      <c r="Q549" s="232"/>
    </row>
    <row r="550" spans="9:17" ht="15" x14ac:dyDescent="0.25">
      <c r="I550" s="227">
        <v>79440</v>
      </c>
      <c r="J550" s="227">
        <v>-12.6732</v>
      </c>
      <c r="K550" s="227">
        <v>-16.631</v>
      </c>
      <c r="M550" s="227">
        <v>79440</v>
      </c>
      <c r="N550" s="232">
        <v>-6.9911099999999999</v>
      </c>
      <c r="O550" s="232">
        <v>-161.02000000000001</v>
      </c>
      <c r="P550" s="232"/>
      <c r="Q550" s="232"/>
    </row>
    <row r="551" spans="9:17" ht="15" x14ac:dyDescent="0.25">
      <c r="I551" s="227">
        <v>100000</v>
      </c>
      <c r="J551" s="227">
        <v>-13.494400000000001</v>
      </c>
      <c r="K551" s="227">
        <v>-32.988999999999997</v>
      </c>
      <c r="M551" s="227">
        <v>100000</v>
      </c>
      <c r="N551" s="232">
        <v>-7.3113000000000001</v>
      </c>
      <c r="O551" s="232">
        <v>-169.62</v>
      </c>
      <c r="P551" s="232"/>
      <c r="Q551" s="232"/>
    </row>
    <row r="552" spans="9:17" ht="15" x14ac:dyDescent="0.25">
      <c r="I552" s="227">
        <v>125900</v>
      </c>
      <c r="J552" s="227">
        <v>-14.252599999999999</v>
      </c>
      <c r="K552" s="227">
        <v>-50.472999999999999</v>
      </c>
      <c r="M552" s="227">
        <v>125900</v>
      </c>
      <c r="N552" s="232">
        <v>-7.4893900000000002</v>
      </c>
      <c r="O552" s="232">
        <v>-179.77</v>
      </c>
      <c r="P552" s="232"/>
      <c r="Q552" s="232"/>
    </row>
    <row r="553" spans="9:17" ht="15" x14ac:dyDescent="0.25">
      <c r="I553" s="227">
        <v>158500</v>
      </c>
      <c r="J553" s="227">
        <v>-14.984500000000001</v>
      </c>
      <c r="K553" s="227">
        <v>-69.144000000000005</v>
      </c>
      <c r="M553" s="227">
        <v>158500</v>
      </c>
      <c r="N553" s="232">
        <v>-7.4759000000000002</v>
      </c>
      <c r="O553" s="232">
        <v>169.67</v>
      </c>
      <c r="P553" s="232"/>
      <c r="Q553" s="232"/>
    </row>
    <row r="554" spans="9:17" ht="15" x14ac:dyDescent="0.25">
      <c r="I554" s="227">
        <v>199500</v>
      </c>
      <c r="J554" s="227">
        <v>-15.6913</v>
      </c>
      <c r="K554" s="227">
        <v>-89.822000000000003</v>
      </c>
      <c r="M554" s="227">
        <v>199500</v>
      </c>
      <c r="N554" s="232">
        <v>-7.1994300000000004</v>
      </c>
      <c r="O554" s="232">
        <v>156.46</v>
      </c>
      <c r="P554" s="232"/>
      <c r="Q554" s="232"/>
    </row>
    <row r="555" spans="9:17" ht="15" x14ac:dyDescent="0.25">
      <c r="I555" s="227">
        <v>251200</v>
      </c>
      <c r="J555" s="227">
        <v>-16.584</v>
      </c>
      <c r="K555" s="227">
        <v>-113.72</v>
      </c>
      <c r="M555" s="227">
        <v>251200</v>
      </c>
      <c r="N555" s="232">
        <v>-6.92408</v>
      </c>
      <c r="O555" s="232">
        <v>139.71</v>
      </c>
      <c r="P555" s="232"/>
      <c r="Q555" s="232"/>
    </row>
    <row r="556" spans="9:17" ht="15" x14ac:dyDescent="0.25">
      <c r="I556" s="227">
        <v>316200</v>
      </c>
      <c r="J556" s="227">
        <v>-18.080200000000001</v>
      </c>
      <c r="K556" s="227">
        <v>-145.29</v>
      </c>
      <c r="M556" s="227">
        <v>316200</v>
      </c>
      <c r="N556" s="232">
        <v>-6.6042899999999998</v>
      </c>
      <c r="O556" s="232">
        <v>112.86</v>
      </c>
      <c r="P556" s="232"/>
      <c r="Q556" s="232"/>
    </row>
    <row r="557" spans="9:17" ht="15" x14ac:dyDescent="0.25">
      <c r="I557" s="227">
        <v>398100</v>
      </c>
      <c r="J557" s="227">
        <v>-23.304200000000002</v>
      </c>
      <c r="K557" s="227">
        <v>176.66</v>
      </c>
      <c r="M557" s="227">
        <v>398100</v>
      </c>
      <c r="N557" s="232">
        <v>-8.0669299999999993</v>
      </c>
      <c r="O557" s="232">
        <v>73.507000000000005</v>
      </c>
      <c r="P557" s="232"/>
      <c r="Q557" s="232"/>
    </row>
    <row r="558" spans="9:17" ht="15" x14ac:dyDescent="0.25">
      <c r="I558" s="227">
        <v>501200</v>
      </c>
      <c r="J558" s="227">
        <v>-38.991999999999997</v>
      </c>
      <c r="K558" s="227">
        <v>-165.65</v>
      </c>
      <c r="M558" s="227">
        <v>501200</v>
      </c>
      <c r="N558" s="232">
        <v>-13.757400000000001</v>
      </c>
      <c r="O558" s="232">
        <v>30.117999999999999</v>
      </c>
      <c r="P558" s="232"/>
      <c r="Q558" s="232"/>
    </row>
    <row r="559" spans="9:17" ht="15" x14ac:dyDescent="0.25">
      <c r="I559" s="227">
        <v>631000</v>
      </c>
      <c r="J559" s="227">
        <v>-30.333600000000001</v>
      </c>
      <c r="K559" s="227">
        <v>-88.369</v>
      </c>
      <c r="M559" s="227">
        <v>631000</v>
      </c>
      <c r="N559" s="232">
        <v>-23.852499999999999</v>
      </c>
      <c r="O559" s="232">
        <v>-3.9874999999999998</v>
      </c>
      <c r="P559" s="232"/>
      <c r="Q559" s="232"/>
    </row>
    <row r="560" spans="9:17" ht="15" x14ac:dyDescent="0.25">
      <c r="I560" s="227">
        <v>794400</v>
      </c>
      <c r="J560" s="227">
        <v>-25.927700000000002</v>
      </c>
      <c r="K560" s="227">
        <v>-95.198999999999998</v>
      </c>
      <c r="M560" s="227">
        <v>794400</v>
      </c>
      <c r="N560" s="232">
        <v>-23.9956</v>
      </c>
      <c r="O560" s="232">
        <v>159.97</v>
      </c>
      <c r="P560" s="232"/>
      <c r="Q560" s="232"/>
    </row>
    <row r="561" spans="9:17" ht="15" x14ac:dyDescent="0.25">
      <c r="I561" s="233">
        <v>1000000</v>
      </c>
      <c r="J561" s="227">
        <v>-25.588000000000001</v>
      </c>
      <c r="K561" s="227">
        <v>-97.18</v>
      </c>
      <c r="M561" s="233">
        <v>1000000</v>
      </c>
      <c r="N561" s="232">
        <v>-14.6715</v>
      </c>
      <c r="O561" s="232">
        <v>91.450999999999993</v>
      </c>
      <c r="P561" s="232"/>
      <c r="Q561" s="234"/>
    </row>
    <row r="562" spans="9:17" ht="15" x14ac:dyDescent="0.25">
      <c r="N562" s="232"/>
      <c r="O562" s="232"/>
      <c r="P562" s="232"/>
      <c r="Q562" s="232"/>
    </row>
    <row r="563" spans="9:17" ht="15" x14ac:dyDescent="0.25">
      <c r="K563" s="233"/>
      <c r="L563" s="233"/>
      <c r="N563" s="232"/>
      <c r="O563" s="232"/>
      <c r="P563" s="232"/>
      <c r="Q563" s="232"/>
    </row>
    <row r="564" spans="9:17" ht="15" x14ac:dyDescent="0.25">
      <c r="N564" s="232"/>
      <c r="O564" s="232"/>
      <c r="P564" s="232"/>
      <c r="Q564" s="232"/>
    </row>
    <row r="565" spans="9:17" ht="15" x14ac:dyDescent="0.25">
      <c r="N565" s="232"/>
      <c r="O565" s="232"/>
      <c r="P565" s="232"/>
      <c r="Q565" s="232"/>
    </row>
    <row r="566" spans="9:17" ht="15" x14ac:dyDescent="0.25">
      <c r="N566" s="232"/>
      <c r="O566" s="232"/>
      <c r="P566" s="232"/>
      <c r="Q566" s="232"/>
    </row>
    <row r="567" spans="9:17" ht="15" x14ac:dyDescent="0.25">
      <c r="N567" s="232"/>
      <c r="O567" s="232"/>
      <c r="P567" s="232"/>
      <c r="Q567" s="232"/>
    </row>
    <row r="568" spans="9:17" ht="15" x14ac:dyDescent="0.25">
      <c r="N568" s="232"/>
      <c r="O568" s="232"/>
      <c r="P568" s="232"/>
      <c r="Q568" s="232"/>
    </row>
    <row r="569" spans="9:17" ht="15" x14ac:dyDescent="0.25">
      <c r="N569" s="232"/>
      <c r="O569" s="232"/>
      <c r="P569" s="232"/>
      <c r="Q569" s="232"/>
    </row>
    <row r="570" spans="9:17" ht="15" x14ac:dyDescent="0.25">
      <c r="N570" s="232"/>
      <c r="O570" s="232"/>
      <c r="P570" s="232"/>
      <c r="Q570" s="232"/>
    </row>
    <row r="571" spans="9:17" ht="15" x14ac:dyDescent="0.25">
      <c r="N571" s="232"/>
      <c r="O571" s="232"/>
      <c r="P571" s="232"/>
      <c r="Q571" s="232"/>
    </row>
    <row r="572" spans="9:17" ht="15" x14ac:dyDescent="0.25">
      <c r="N572" s="232"/>
      <c r="O572" s="232"/>
      <c r="P572" s="232"/>
      <c r="Q572" s="232"/>
    </row>
    <row r="573" spans="9:17" ht="15" x14ac:dyDescent="0.25">
      <c r="N573" s="232"/>
      <c r="O573" s="232"/>
      <c r="P573" s="232"/>
      <c r="Q573" s="232"/>
    </row>
    <row r="574" spans="9:17" ht="15" x14ac:dyDescent="0.25">
      <c r="N574" s="232"/>
      <c r="O574" s="232"/>
      <c r="P574" s="232"/>
      <c r="Q574" s="232"/>
    </row>
    <row r="575" spans="9:17" ht="15" x14ac:dyDescent="0.25">
      <c r="N575" s="232"/>
      <c r="O575" s="232"/>
      <c r="P575" s="232"/>
      <c r="Q575" s="232"/>
    </row>
    <row r="576" spans="9:17" ht="15" x14ac:dyDescent="0.25">
      <c r="N576" s="232"/>
      <c r="O576" s="232"/>
      <c r="P576" s="232"/>
      <c r="Q576" s="232"/>
    </row>
    <row r="577" spans="14:17" ht="15" x14ac:dyDescent="0.25">
      <c r="N577" s="232"/>
      <c r="O577" s="232"/>
      <c r="P577" s="232"/>
      <c r="Q577" s="232"/>
    </row>
    <row r="578" spans="14:17" ht="15" x14ac:dyDescent="0.25">
      <c r="N578" s="232"/>
      <c r="O578" s="232"/>
      <c r="P578" s="232"/>
      <c r="Q578" s="232"/>
    </row>
    <row r="579" spans="14:17" ht="15" x14ac:dyDescent="0.25">
      <c r="N579" s="232"/>
      <c r="O579" s="232"/>
      <c r="P579" s="232"/>
      <c r="Q579" s="232"/>
    </row>
    <row r="580" spans="14:17" ht="15" x14ac:dyDescent="0.25">
      <c r="N580" s="232"/>
      <c r="O580" s="232"/>
      <c r="P580" s="232"/>
      <c r="Q580" s="232"/>
    </row>
    <row r="581" spans="14:17" ht="15" x14ac:dyDescent="0.25">
      <c r="N581" s="232"/>
      <c r="O581" s="232"/>
      <c r="P581" s="232"/>
      <c r="Q581" s="232"/>
    </row>
    <row r="582" spans="14:17" ht="15" x14ac:dyDescent="0.25">
      <c r="N582" s="232"/>
      <c r="O582" s="232"/>
      <c r="P582" s="232"/>
      <c r="Q582" s="232"/>
    </row>
    <row r="583" spans="14:17" ht="15" x14ac:dyDescent="0.25">
      <c r="N583" s="232"/>
      <c r="O583" s="232"/>
      <c r="P583" s="232"/>
      <c r="Q583" s="232"/>
    </row>
    <row r="584" spans="14:17" ht="15" x14ac:dyDescent="0.25">
      <c r="N584" s="232"/>
      <c r="O584" s="232"/>
      <c r="P584" s="232"/>
      <c r="Q584" s="232"/>
    </row>
    <row r="585" spans="14:17" ht="15" x14ac:dyDescent="0.25">
      <c r="N585" s="232"/>
      <c r="O585" s="232"/>
      <c r="P585" s="232"/>
      <c r="Q585" s="232"/>
    </row>
    <row r="586" spans="14:17" ht="15" x14ac:dyDescent="0.25">
      <c r="N586" s="232"/>
      <c r="O586" s="232"/>
      <c r="P586" s="232"/>
      <c r="Q586" s="232"/>
    </row>
    <row r="587" spans="14:17" ht="15" x14ac:dyDescent="0.25">
      <c r="N587" s="232"/>
      <c r="O587" s="232"/>
      <c r="P587" s="232"/>
      <c r="Q587" s="232"/>
    </row>
    <row r="588" spans="14:17" ht="15" x14ac:dyDescent="0.25">
      <c r="N588" s="232"/>
      <c r="O588" s="232"/>
      <c r="P588" s="232"/>
      <c r="Q588" s="232"/>
    </row>
    <row r="589" spans="14:17" ht="15" x14ac:dyDescent="0.25">
      <c r="N589" s="232"/>
      <c r="O589" s="232"/>
      <c r="P589" s="232"/>
      <c r="Q589" s="232"/>
    </row>
    <row r="590" spans="14:17" ht="15" x14ac:dyDescent="0.25">
      <c r="N590" s="232"/>
      <c r="O590" s="232"/>
      <c r="P590" s="232"/>
      <c r="Q590" s="232"/>
    </row>
    <row r="591" spans="14:17" ht="15" x14ac:dyDescent="0.25">
      <c r="N591" s="232"/>
      <c r="O591" s="232"/>
      <c r="P591" s="232"/>
      <c r="Q591" s="232"/>
    </row>
    <row r="592" spans="14:17" ht="15" x14ac:dyDescent="0.25">
      <c r="N592" s="232"/>
      <c r="O592" s="232"/>
      <c r="P592" s="232"/>
      <c r="Q592" s="232"/>
    </row>
    <row r="593" spans="14:17" ht="15" x14ac:dyDescent="0.25">
      <c r="N593" s="232"/>
      <c r="O593" s="232"/>
      <c r="P593" s="232"/>
      <c r="Q593" s="232"/>
    </row>
    <row r="612" spans="9:17" x14ac:dyDescent="0.2">
      <c r="I612" s="233"/>
      <c r="M612" s="233"/>
      <c r="Q612" s="233"/>
    </row>
  </sheetData>
  <sheetProtection sheet="1"/>
  <mergeCells count="5">
    <mergeCell ref="C20:D20"/>
    <mergeCell ref="B2:D2"/>
    <mergeCell ref="E2:G2"/>
    <mergeCell ref="E26:G26"/>
    <mergeCell ref="E21:G21"/>
  </mergeCells>
  <phoneticPr fontId="0" type="noConversion"/>
  <conditionalFormatting sqref="F23">
    <cfRule type="cellIs" dxfId="1" priority="1" stopIfTrue="1" operator="lessThan">
      <formula>60</formula>
    </cfRule>
  </conditionalFormatting>
  <conditionalFormatting sqref="F24">
    <cfRule type="cellIs" dxfId="0" priority="2" stopIfTrue="1" operator="greaterThan">
      <formula>-10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D64-F6B9-41E4-9047-93D90D515103}">
  <sheetPr>
    <pageSetUpPr fitToPage="1"/>
  </sheetPr>
  <dimension ref="A1:L146"/>
  <sheetViews>
    <sheetView zoomScaleNormal="100" workbookViewId="0">
      <selection activeCell="B42" sqref="B42"/>
    </sheetView>
  </sheetViews>
  <sheetFormatPr defaultRowHeight="12.75" x14ac:dyDescent="0.2"/>
  <cols>
    <col min="1" max="1" width="9.140625" style="10" customWidth="1"/>
    <col min="2" max="2" width="19.28515625" style="10" bestFit="1" customWidth="1"/>
    <col min="3" max="3" width="12.42578125" style="10" bestFit="1" customWidth="1"/>
    <col min="4" max="4" width="7.7109375" style="10" customWidth="1"/>
    <col min="5" max="8" width="8.7109375" style="3" customWidth="1"/>
    <col min="9" max="9" width="8.7109375" style="5" customWidth="1"/>
    <col min="10" max="11" width="9.140625" style="36" customWidth="1"/>
    <col min="12" max="12" width="4.7109375" style="36" bestFit="1" customWidth="1"/>
    <col min="13" max="17" width="9.140625" style="3" customWidth="1"/>
    <col min="18" max="16384" width="9.140625" style="3"/>
  </cols>
  <sheetData>
    <row r="1" spans="1:12" ht="18" x14ac:dyDescent="0.25">
      <c r="A1" s="4" t="s">
        <v>102</v>
      </c>
    </row>
    <row r="2" spans="1:12" ht="18.75" thickBot="1" x14ac:dyDescent="0.3">
      <c r="A2" s="2"/>
      <c r="B2" s="3"/>
      <c r="C2" s="3"/>
      <c r="D2" s="3"/>
      <c r="E2" s="4" t="s">
        <v>70</v>
      </c>
      <c r="J2" s="4" t="s">
        <v>71</v>
      </c>
      <c r="K2" s="10"/>
      <c r="L2" s="10"/>
    </row>
    <row r="3" spans="1:12" ht="13.5" thickBot="1" x14ac:dyDescent="0.25">
      <c r="A3" s="3"/>
      <c r="B3" s="6" t="s">
        <v>72</v>
      </c>
      <c r="C3" s="7">
        <v>100</v>
      </c>
      <c r="D3" s="28">
        <f>(IF((10^(LOG(C3)-INT(LOG(C3)))*100)-VLOOKUP((10^(LOG(C3)-INT(LOG(C3)))*100),E96_s:E96_f,1)&lt;VLOOKUP((10^(LOG(C3)-INT(LOG(C3)))*100),E96_s:E96_f,2)-(10^(LOG(C3)-INT(LOG(C3)))*100),VLOOKUP((10^(LOG(C3)-INT(LOG(C3)))*100),E96_s:E96_f,1),VLOOKUP((10^(LOG(C3)-INT(LOG(C3)))*100),E96_s:E96_f,2)))*10^INT(LOG(C3))/100</f>
        <v>100</v>
      </c>
      <c r="E3" s="271" t="s">
        <v>73</v>
      </c>
      <c r="F3" s="272"/>
      <c r="G3" s="273" t="s">
        <v>74</v>
      </c>
      <c r="H3" s="274"/>
      <c r="J3" s="8" t="s">
        <v>75</v>
      </c>
      <c r="K3" s="47">
        <v>6.8999999999999994E-11</v>
      </c>
      <c r="L3" s="9" t="s">
        <v>7</v>
      </c>
    </row>
    <row r="4" spans="1:12" ht="13.5" thickBot="1" x14ac:dyDescent="0.25">
      <c r="B4" s="3"/>
      <c r="E4" s="11">
        <v>100</v>
      </c>
      <c r="F4" s="12">
        <v>150</v>
      </c>
      <c r="G4" s="13">
        <v>100</v>
      </c>
      <c r="H4" s="14">
        <v>102</v>
      </c>
      <c r="J4" s="8"/>
      <c r="K4" s="46">
        <f>IF(K3*10^12&lt;10000,IF((10^(LOG(K3*10^12)-INT(LOG(K3*10^12))))-VLOOKUP((10^(LOG(K3*10^12)-INT(LOG(K3*10^12)))),c_s1:C_f1,1)&lt;VLOOKUP((10^(LOG(K3*10^12)-INT(LOG(K3*10^12)))),c_s1:C_f1,2)-(10^(LOG(K3*10^12)-INT(LOG(K3*10^12)))),VLOOKUP((10^(LOG(K3*10^12)-INT(LOG(K3*10^12)))),c_s1:C_f1,1),VLOOKUP((10^(LOG(K3*10^12)-INT(LOG(K3*10^12)))),c_s1:C_f1,2))*10^INT(LOG(K3*10^12)),IF((10^(LOG(K3*10^12)-INT(LOG(K3*10^12))))-VLOOKUP((10^(LOG(K3*10^12)-INT(LOG(K3*10^12)))),C_s2:C_f2,1)&lt;VLOOKUP((10^(LOG(K3*10^12)-INT(LOG(K3*10^12)))),C_s2:C_f2,2)-(10^(LOG(K3*10^12)-INT(LOG(K3*10^12)))),VLOOKUP((10^(LOG(K3*10^12)-INT(LOG(K3*10^12)))),C_s2:C_f2,1),VLOOKUP((10^(LOG(K3*10^12)-INT(LOG(K3*10^12)))),C_s2:C_f2,2))*10^INT(LOG(K3*10^12)))*10^-12</f>
        <v>6.7999999999999998E-11</v>
      </c>
      <c r="L4" s="15" t="s">
        <v>7</v>
      </c>
    </row>
    <row r="5" spans="1:12" ht="13.5" thickBot="1" x14ac:dyDescent="0.25">
      <c r="B5" s="16" t="s">
        <v>76</v>
      </c>
      <c r="C5" s="17">
        <f>(IF((10^(LOG(C3)-INT(LOG(C3)))*100)-VLOOKUP((10^(LOG(C3)-INT(LOG(C3)))*100),E6_s:E6_f,1)&lt;VLOOKUP((10^(LOG(C3)-INT(LOG(C3)))*100),E6_s:E6_f,2)-(10^(LOG(C3)-INT(LOG(C3)))*100),VLOOKUP((10^(LOG(C3)-INT(LOG(C3)))*100),E6_s:E6_f,1),VLOOKUP((10^(LOG(C3)-INT(LOG(C3)))*100),E6_s:E6_f,2)))*10^INT(LOG(C3))/100</f>
        <v>100</v>
      </c>
      <c r="E5" s="12">
        <v>150</v>
      </c>
      <c r="F5" s="11">
        <v>220</v>
      </c>
      <c r="G5" s="14">
        <v>102</v>
      </c>
      <c r="H5" s="13">
        <v>105</v>
      </c>
      <c r="J5" s="18"/>
      <c r="K5" s="19"/>
      <c r="L5" s="20"/>
    </row>
    <row r="6" spans="1:12" ht="13.5" thickBot="1" x14ac:dyDescent="0.25">
      <c r="B6" s="21" t="s">
        <v>77</v>
      </c>
      <c r="C6" s="22">
        <f>(IF((10^(LOG(C3)-INT(LOG(C3)))*100)-VLOOKUP((10^(LOG(C3)-INT(LOG(C3)))*100),E12_s:E12_f,1)&lt;VLOOKUP((10^(LOG(C3)-INT(LOG(C3)))*100),E12_s:E12_f,2)-(10^(LOG(C3)-INT(LOG(C3)))*100),VLOOKUP((10^(LOG(C3)-INT(LOG(C3)))*100),E12_s:E12_f,1),VLOOKUP((10^(LOG(C3)-INT(LOG(C3)))*100),E12_s:E12_f,2)))*10^INT(LOG(C3))/100</f>
        <v>100</v>
      </c>
      <c r="E6" s="11">
        <v>220</v>
      </c>
      <c r="F6" s="12">
        <v>330</v>
      </c>
      <c r="G6" s="13">
        <v>105</v>
      </c>
      <c r="H6" s="14">
        <v>107</v>
      </c>
      <c r="J6" s="23" t="s">
        <v>78</v>
      </c>
      <c r="K6" s="24"/>
      <c r="L6" s="3"/>
    </row>
    <row r="7" spans="1:12" ht="13.5" thickBot="1" x14ac:dyDescent="0.25">
      <c r="B7" s="21" t="s">
        <v>79</v>
      </c>
      <c r="C7" s="22">
        <f>(IF((10^(LOG(C3)-INT(LOG(C3)))*100)-VLOOKUP((10^(LOG(C3)-INT(LOG(C3)))*100),E24_s:E24_f,1)&lt;VLOOKUP((10^(LOG(C3)-INT(LOG(C3)))*100),E24_s:E24_f,2)-(10^(LOG(C3)-INT(LOG(C3)))*100),VLOOKUP((10^(LOG(C3)-INT(LOG(C3)))*100),E24_s:E24_f,1),VLOOKUP((10^(LOG(C3)-INT(LOG(C3)))*100),E24_s:E24_f,2)))*10^INT(LOG(C3))/100</f>
        <v>100</v>
      </c>
      <c r="E7" s="12">
        <v>330</v>
      </c>
      <c r="F7" s="11">
        <v>470</v>
      </c>
      <c r="G7" s="14">
        <v>107</v>
      </c>
      <c r="H7" s="13">
        <v>110</v>
      </c>
      <c r="J7" s="24">
        <v>1</v>
      </c>
      <c r="K7" s="24">
        <v>1.2</v>
      </c>
      <c r="L7" s="25">
        <f>IF((10^(LOG(K3)-INT(LOG(K3))))-VLOOKUP((10^(LOG(K3)-INT(LOG(K3)))),c_s1:C_f1,1)&lt;VLOOKUP((10^(LOG(K3)-INT(LOG(K3)))),c_s1:C_f1,2)-(10^(LOG(K3)-INT(LOG(K3)))),VLOOKUP((10^(LOG(K3)-INT(LOG(K3)))),c_s1:C_f1,1),VLOOKUP((10^(LOG(K3)-INT(LOG(K3)))),c_s1:C_f1,2))</f>
        <v>6.8</v>
      </c>
    </row>
    <row r="8" spans="1:12" ht="13.5" thickBot="1" x14ac:dyDescent="0.25">
      <c r="B8" s="21" t="s">
        <v>80</v>
      </c>
      <c r="C8" s="22">
        <f>(IF((10^(LOG(C3)-INT(LOG(C3)))*100)-VLOOKUP((10^(LOG(C3)-INT(LOG(C3)))*100),E48_s:E48_f,1)&lt;VLOOKUP((10^(LOG(C3)-INT(LOG(C3)))*100),E48_s:E48_f,2)-(10^(LOG(C3)-INT(LOG(C3)))*100),VLOOKUP((10^(LOG(C3)-INT(LOG(C3)))*100),E48_s:E48_f,1),VLOOKUP((10^(LOG(C3)-INT(LOG(C3)))*100),E48_s:E48_f,2)))*10^INT(LOG(C3))/100</f>
        <v>100</v>
      </c>
      <c r="E8" s="11">
        <v>470</v>
      </c>
      <c r="F8" s="12">
        <v>680</v>
      </c>
      <c r="G8" s="13">
        <v>110</v>
      </c>
      <c r="H8" s="14">
        <v>113</v>
      </c>
      <c r="J8" s="24">
        <v>1.2</v>
      </c>
      <c r="K8" s="24">
        <v>1.5</v>
      </c>
      <c r="L8" s="26"/>
    </row>
    <row r="9" spans="1:12" ht="13.5" thickBot="1" x14ac:dyDescent="0.25">
      <c r="B9" s="27" t="s">
        <v>81</v>
      </c>
      <c r="D9" s="3"/>
      <c r="E9" s="12">
        <v>680</v>
      </c>
      <c r="F9" s="12">
        <v>1000</v>
      </c>
      <c r="G9" s="14">
        <v>113</v>
      </c>
      <c r="H9" s="13">
        <v>115</v>
      </c>
      <c r="J9" s="24">
        <v>1.5</v>
      </c>
      <c r="K9" s="24">
        <v>1.8</v>
      </c>
      <c r="L9" s="26"/>
    </row>
    <row r="10" spans="1:12" ht="13.5" thickBot="1" x14ac:dyDescent="0.25">
      <c r="E10" s="275" t="s">
        <v>82</v>
      </c>
      <c r="F10" s="276"/>
      <c r="G10" s="13">
        <v>115</v>
      </c>
      <c r="H10" s="14">
        <v>118</v>
      </c>
      <c r="J10" s="24">
        <v>1.8</v>
      </c>
      <c r="K10" s="24">
        <v>2.2000000000000002</v>
      </c>
      <c r="L10" s="3"/>
    </row>
    <row r="11" spans="1:12" ht="13.5" thickBot="1" x14ac:dyDescent="0.25">
      <c r="B11" s="3"/>
      <c r="C11" s="3"/>
      <c r="E11" s="30">
        <v>100</v>
      </c>
      <c r="F11" s="31">
        <v>120</v>
      </c>
      <c r="G11" s="14">
        <v>118</v>
      </c>
      <c r="H11" s="13">
        <v>121</v>
      </c>
      <c r="J11" s="24">
        <v>2.2000000000000002</v>
      </c>
      <c r="K11" s="24">
        <v>2.7</v>
      </c>
      <c r="L11" s="3"/>
    </row>
    <row r="12" spans="1:12" ht="13.5" thickBot="1" x14ac:dyDescent="0.25">
      <c r="E12" s="31">
        <v>120</v>
      </c>
      <c r="F12" s="31">
        <v>150</v>
      </c>
      <c r="G12" s="13">
        <v>121</v>
      </c>
      <c r="H12" s="14">
        <v>124</v>
      </c>
      <c r="J12" s="24">
        <v>2.7</v>
      </c>
      <c r="K12" s="24">
        <v>3.3</v>
      </c>
      <c r="L12" s="3"/>
    </row>
    <row r="13" spans="1:12" ht="13.5" thickBot="1" x14ac:dyDescent="0.25">
      <c r="E13" s="31">
        <v>150</v>
      </c>
      <c r="F13" s="31">
        <v>180</v>
      </c>
      <c r="G13" s="14">
        <v>124</v>
      </c>
      <c r="H13" s="13">
        <v>127</v>
      </c>
      <c r="J13" s="24">
        <v>3.3</v>
      </c>
      <c r="K13" s="24">
        <v>3.9</v>
      </c>
      <c r="L13" s="3"/>
    </row>
    <row r="14" spans="1:12" ht="13.5" thickBot="1" x14ac:dyDescent="0.25">
      <c r="E14" s="31">
        <v>180</v>
      </c>
      <c r="F14" s="30">
        <v>220</v>
      </c>
      <c r="G14" s="13">
        <v>127</v>
      </c>
      <c r="H14" s="14">
        <v>130</v>
      </c>
      <c r="J14" s="24">
        <v>3.9</v>
      </c>
      <c r="K14" s="24">
        <v>4.7</v>
      </c>
      <c r="L14" s="3"/>
    </row>
    <row r="15" spans="1:12" ht="13.5" thickBot="1" x14ac:dyDescent="0.25">
      <c r="D15" s="32"/>
      <c r="E15" s="30">
        <v>220</v>
      </c>
      <c r="F15" s="31">
        <v>270</v>
      </c>
      <c r="G15" s="14">
        <v>130</v>
      </c>
      <c r="H15" s="13">
        <v>133</v>
      </c>
      <c r="J15" s="24">
        <v>4.7</v>
      </c>
      <c r="K15" s="24">
        <v>5.6</v>
      </c>
      <c r="L15" s="3"/>
    </row>
    <row r="16" spans="1:12" ht="13.5" thickBot="1" x14ac:dyDescent="0.25">
      <c r="A16" s="33"/>
      <c r="B16" s="34"/>
      <c r="D16" s="35"/>
      <c r="E16" s="31">
        <v>270</v>
      </c>
      <c r="F16" s="31">
        <v>330</v>
      </c>
      <c r="G16" s="13">
        <v>133</v>
      </c>
      <c r="H16" s="14">
        <v>137</v>
      </c>
      <c r="J16" s="24">
        <v>5.6</v>
      </c>
      <c r="K16" s="24">
        <v>6.8</v>
      </c>
      <c r="L16" s="3"/>
    </row>
    <row r="17" spans="1:12" ht="13.5" thickBot="1" x14ac:dyDescent="0.25">
      <c r="A17" s="33"/>
      <c r="B17" s="34"/>
      <c r="D17" s="35"/>
      <c r="E17" s="31">
        <v>330</v>
      </c>
      <c r="F17" s="31">
        <v>390</v>
      </c>
      <c r="G17" s="14">
        <v>137</v>
      </c>
      <c r="H17" s="13">
        <v>140</v>
      </c>
      <c r="J17" s="24">
        <v>6.8</v>
      </c>
      <c r="K17" s="24">
        <v>8.1999999999999993</v>
      </c>
      <c r="L17" s="3"/>
    </row>
    <row r="18" spans="1:12" ht="13.5" thickBot="1" x14ac:dyDescent="0.25">
      <c r="A18" s="33"/>
      <c r="B18" s="34"/>
      <c r="D18" s="35"/>
      <c r="E18" s="31">
        <v>390</v>
      </c>
      <c r="F18" s="30">
        <v>470</v>
      </c>
      <c r="G18" s="13">
        <v>140</v>
      </c>
      <c r="H18" s="14">
        <v>143</v>
      </c>
      <c r="J18" s="24">
        <v>8.1999999999999993</v>
      </c>
      <c r="K18" s="24">
        <v>10</v>
      </c>
      <c r="L18" s="3"/>
    </row>
    <row r="19" spans="1:12" ht="13.5" thickBot="1" x14ac:dyDescent="0.25">
      <c r="A19" s="33"/>
      <c r="B19" s="34"/>
      <c r="D19" s="35"/>
      <c r="E19" s="30">
        <v>470</v>
      </c>
      <c r="F19" s="31">
        <v>560</v>
      </c>
      <c r="G19" s="14">
        <v>143</v>
      </c>
      <c r="H19" s="13">
        <v>147</v>
      </c>
      <c r="J19" s="23" t="s">
        <v>83</v>
      </c>
      <c r="K19" s="24"/>
      <c r="L19" s="24"/>
    </row>
    <row r="20" spans="1:12" ht="13.5" thickBot="1" x14ac:dyDescent="0.25">
      <c r="A20" s="33"/>
      <c r="B20" s="34"/>
      <c r="D20" s="35"/>
      <c r="E20" s="31">
        <v>560</v>
      </c>
      <c r="F20" s="31">
        <v>680</v>
      </c>
      <c r="G20" s="13">
        <v>147</v>
      </c>
      <c r="H20" s="14">
        <v>150</v>
      </c>
      <c r="J20" s="24">
        <v>1</v>
      </c>
      <c r="K20" s="24">
        <v>1.5</v>
      </c>
      <c r="L20" s="25">
        <f>IF((10^(LOG(K3)-INT(LOG(K3))))-VLOOKUP((10^(LOG(K3)-INT(LOG(K3)))),C_s2:C_f2,1)&lt;VLOOKUP((10^(LOG(K3)-INT(LOG(K3)))),C_s2:C_f2,2)-(10^(LOG(K3)-INT(LOG(K3)))),VLOOKUP((10^(LOG(K3)-INT(LOG(K3)))),C_s2:C_f2,1),VLOOKUP((10^(LOG(K3)-INT(LOG(K3)))),C_s2:C_f2,2))</f>
        <v>6.8</v>
      </c>
    </row>
    <row r="21" spans="1:12" ht="13.5" thickBot="1" x14ac:dyDescent="0.25">
      <c r="A21" s="33"/>
      <c r="B21" s="34"/>
      <c r="D21" s="35"/>
      <c r="E21" s="29">
        <v>680</v>
      </c>
      <c r="F21" s="31">
        <v>820</v>
      </c>
      <c r="G21" s="14">
        <v>150</v>
      </c>
      <c r="H21" s="13">
        <v>154</v>
      </c>
      <c r="J21" s="24">
        <v>1.5</v>
      </c>
      <c r="K21" s="24">
        <v>2.2000000000000002</v>
      </c>
    </row>
    <row r="22" spans="1:12" ht="13.5" thickBot="1" x14ac:dyDescent="0.25">
      <c r="A22" s="33"/>
      <c r="B22" s="34"/>
      <c r="D22" s="35"/>
      <c r="E22" s="29">
        <v>820</v>
      </c>
      <c r="F22" s="31">
        <v>1000</v>
      </c>
      <c r="G22" s="13">
        <v>154</v>
      </c>
      <c r="H22" s="14">
        <v>158</v>
      </c>
      <c r="J22" s="24">
        <v>2.2000000000000002</v>
      </c>
      <c r="K22" s="24">
        <v>3.3</v>
      </c>
      <c r="L22" s="25"/>
    </row>
    <row r="23" spans="1:12" ht="13.5" thickBot="1" x14ac:dyDescent="0.25">
      <c r="A23" s="33"/>
      <c r="B23" s="34"/>
      <c r="D23" s="35"/>
      <c r="E23" s="277" t="s">
        <v>84</v>
      </c>
      <c r="F23" s="278"/>
      <c r="G23" s="14">
        <v>158</v>
      </c>
      <c r="H23" s="13">
        <v>162</v>
      </c>
      <c r="J23" s="24">
        <v>3.3</v>
      </c>
      <c r="K23" s="24">
        <v>4.7</v>
      </c>
      <c r="L23" s="25"/>
    </row>
    <row r="24" spans="1:12" ht="13.5" thickBot="1" x14ac:dyDescent="0.25">
      <c r="A24" s="33"/>
      <c r="B24" s="34"/>
      <c r="D24" s="35"/>
      <c r="E24" s="37">
        <v>100</v>
      </c>
      <c r="F24" s="38">
        <v>110</v>
      </c>
      <c r="G24" s="13">
        <v>162</v>
      </c>
      <c r="H24" s="14">
        <v>165</v>
      </c>
      <c r="J24" s="24">
        <v>4.7</v>
      </c>
      <c r="K24" s="24">
        <v>6.8</v>
      </c>
      <c r="L24" s="3"/>
    </row>
    <row r="25" spans="1:12" ht="13.5" thickBot="1" x14ac:dyDescent="0.25">
      <c r="A25" s="33"/>
      <c r="B25" s="34"/>
      <c r="D25" s="35"/>
      <c r="E25" s="38">
        <v>110</v>
      </c>
      <c r="F25" s="38">
        <v>120</v>
      </c>
      <c r="G25" s="14">
        <v>165</v>
      </c>
      <c r="H25" s="13">
        <v>169</v>
      </c>
      <c r="J25" s="24">
        <v>6.8</v>
      </c>
      <c r="K25" s="24">
        <v>10</v>
      </c>
      <c r="L25" s="3"/>
    </row>
    <row r="26" spans="1:12" ht="13.5" thickBot="1" x14ac:dyDescent="0.25">
      <c r="A26" s="33"/>
      <c r="B26" s="34"/>
      <c r="D26" s="35"/>
      <c r="E26" s="38">
        <v>120</v>
      </c>
      <c r="F26" s="38">
        <v>130</v>
      </c>
      <c r="G26" s="13">
        <v>169</v>
      </c>
      <c r="H26" s="14">
        <v>174</v>
      </c>
      <c r="J26" s="39"/>
      <c r="K26" s="39"/>
      <c r="L26" s="39"/>
    </row>
    <row r="27" spans="1:12" ht="13.5" thickBot="1" x14ac:dyDescent="0.25">
      <c r="A27" s="33"/>
      <c r="B27" s="34"/>
      <c r="D27" s="35"/>
      <c r="E27" s="38">
        <v>130</v>
      </c>
      <c r="F27" s="38">
        <v>150</v>
      </c>
      <c r="G27" s="14">
        <v>174</v>
      </c>
      <c r="H27" s="13">
        <v>178</v>
      </c>
      <c r="J27" s="39"/>
      <c r="K27" s="39"/>
      <c r="L27" s="39"/>
    </row>
    <row r="28" spans="1:12" ht="13.5" thickBot="1" x14ac:dyDescent="0.25">
      <c r="A28" s="33"/>
      <c r="B28" s="34"/>
      <c r="D28" s="35"/>
      <c r="E28" s="38">
        <v>150</v>
      </c>
      <c r="F28" s="38">
        <v>160</v>
      </c>
      <c r="G28" s="13">
        <v>178</v>
      </c>
      <c r="H28" s="14">
        <v>182</v>
      </c>
      <c r="I28" s="40"/>
      <c r="J28" s="39"/>
      <c r="K28" s="39"/>
      <c r="L28" s="39"/>
    </row>
    <row r="29" spans="1:12" ht="13.5" thickBot="1" x14ac:dyDescent="0.25">
      <c r="A29" s="33"/>
      <c r="B29" s="34"/>
      <c r="D29" s="35"/>
      <c r="E29" s="38">
        <v>160</v>
      </c>
      <c r="F29" s="38">
        <v>180</v>
      </c>
      <c r="G29" s="14">
        <v>182</v>
      </c>
      <c r="H29" s="13">
        <v>187</v>
      </c>
      <c r="I29" s="40"/>
      <c r="J29" s="39"/>
      <c r="K29" s="39"/>
      <c r="L29" s="39"/>
    </row>
    <row r="30" spans="1:12" ht="13.5" thickBot="1" x14ac:dyDescent="0.25">
      <c r="A30" s="33"/>
      <c r="B30" s="34"/>
      <c r="D30" s="35"/>
      <c r="E30" s="38">
        <v>180</v>
      </c>
      <c r="F30" s="41">
        <v>200</v>
      </c>
      <c r="G30" s="13">
        <v>187</v>
      </c>
      <c r="H30" s="14">
        <v>191</v>
      </c>
      <c r="I30" s="40"/>
      <c r="J30" s="39"/>
      <c r="K30" s="39"/>
      <c r="L30" s="39"/>
    </row>
    <row r="31" spans="1:12" ht="13.5" thickBot="1" x14ac:dyDescent="0.25">
      <c r="A31" s="33"/>
      <c r="B31" s="34"/>
      <c r="D31" s="35"/>
      <c r="E31" s="41">
        <v>200</v>
      </c>
      <c r="F31" s="37">
        <v>220</v>
      </c>
      <c r="G31" s="14">
        <v>191</v>
      </c>
      <c r="H31" s="13">
        <v>196</v>
      </c>
      <c r="I31" s="40"/>
      <c r="J31" s="39"/>
      <c r="K31" s="39"/>
      <c r="L31" s="39"/>
    </row>
    <row r="32" spans="1:12" ht="13.5" thickBot="1" x14ac:dyDescent="0.25">
      <c r="A32" s="33"/>
      <c r="B32" s="34"/>
      <c r="D32" s="35"/>
      <c r="E32" s="37">
        <v>220</v>
      </c>
      <c r="F32" s="38">
        <v>240</v>
      </c>
      <c r="G32" s="13">
        <v>196</v>
      </c>
      <c r="H32" s="14">
        <v>200</v>
      </c>
      <c r="I32" s="40"/>
      <c r="J32" s="39"/>
      <c r="K32" s="39"/>
      <c r="L32" s="39"/>
    </row>
    <row r="33" spans="1:12" ht="13.5" thickBot="1" x14ac:dyDescent="0.25">
      <c r="A33" s="33"/>
      <c r="B33" s="34"/>
      <c r="D33" s="35"/>
      <c r="E33" s="38">
        <v>240</v>
      </c>
      <c r="F33" s="38">
        <v>270</v>
      </c>
      <c r="G33" s="14">
        <v>200</v>
      </c>
      <c r="H33" s="13">
        <v>205</v>
      </c>
      <c r="I33" s="40"/>
      <c r="J33" s="39"/>
      <c r="K33" s="39"/>
      <c r="L33" s="39"/>
    </row>
    <row r="34" spans="1:12" s="43" customFormat="1" ht="13.5" thickBot="1" x14ac:dyDescent="0.25">
      <c r="A34" s="33"/>
      <c r="B34" s="34"/>
      <c r="C34" s="10"/>
      <c r="D34" s="35"/>
      <c r="E34" s="38">
        <v>270</v>
      </c>
      <c r="F34" s="38">
        <v>300</v>
      </c>
      <c r="G34" s="13">
        <v>205</v>
      </c>
      <c r="H34" s="14">
        <v>210</v>
      </c>
      <c r="I34" s="42"/>
      <c r="J34" s="39"/>
      <c r="K34" s="39"/>
      <c r="L34" s="39"/>
    </row>
    <row r="35" spans="1:12" s="43" customFormat="1" ht="13.5" thickBot="1" x14ac:dyDescent="0.25">
      <c r="E35" s="38">
        <v>300</v>
      </c>
      <c r="F35" s="38">
        <v>330</v>
      </c>
      <c r="G35" s="14">
        <v>210</v>
      </c>
      <c r="H35" s="13">
        <v>215</v>
      </c>
      <c r="I35" s="5"/>
      <c r="J35" s="39"/>
      <c r="K35" s="39"/>
      <c r="L35" s="39"/>
    </row>
    <row r="36" spans="1:12" s="43" customFormat="1" ht="13.5" thickBot="1" x14ac:dyDescent="0.25">
      <c r="E36" s="38">
        <v>330</v>
      </c>
      <c r="F36" s="38">
        <v>360</v>
      </c>
      <c r="G36" s="13">
        <v>215</v>
      </c>
      <c r="H36" s="14">
        <v>221</v>
      </c>
      <c r="I36" s="5"/>
      <c r="J36" s="39"/>
      <c r="K36" s="39"/>
      <c r="L36" s="39"/>
    </row>
    <row r="37" spans="1:12" s="43" customFormat="1" ht="13.5" thickBot="1" x14ac:dyDescent="0.25">
      <c r="E37" s="38">
        <v>360</v>
      </c>
      <c r="F37" s="38">
        <v>390</v>
      </c>
      <c r="G37" s="14">
        <v>221</v>
      </c>
      <c r="H37" s="13">
        <v>226</v>
      </c>
      <c r="I37" s="5"/>
      <c r="J37" s="39"/>
      <c r="K37" s="39"/>
      <c r="L37" s="39"/>
    </row>
    <row r="38" spans="1:12" s="43" customFormat="1" ht="13.5" thickBot="1" x14ac:dyDescent="0.25">
      <c r="E38" s="38">
        <v>390</v>
      </c>
      <c r="F38" s="41">
        <v>430</v>
      </c>
      <c r="G38" s="13">
        <v>226</v>
      </c>
      <c r="H38" s="14">
        <v>232</v>
      </c>
      <c r="I38" s="40"/>
      <c r="J38" s="39"/>
      <c r="K38" s="39"/>
      <c r="L38" s="39"/>
    </row>
    <row r="39" spans="1:12" ht="13.5" thickBot="1" x14ac:dyDescent="0.25">
      <c r="E39" s="41">
        <v>430</v>
      </c>
      <c r="F39" s="37">
        <v>470</v>
      </c>
      <c r="G39" s="14">
        <v>232</v>
      </c>
      <c r="H39" s="13">
        <v>237</v>
      </c>
      <c r="I39" s="40"/>
      <c r="J39" s="39"/>
      <c r="K39" s="39"/>
      <c r="L39" s="39"/>
    </row>
    <row r="40" spans="1:12" ht="13.5" thickBot="1" x14ac:dyDescent="0.25">
      <c r="E40" s="37">
        <v>470</v>
      </c>
      <c r="F40" s="38">
        <v>510</v>
      </c>
      <c r="G40" s="13">
        <v>237</v>
      </c>
      <c r="H40" s="14">
        <v>243</v>
      </c>
      <c r="I40" s="40"/>
      <c r="J40" s="39"/>
      <c r="K40" s="39"/>
      <c r="L40" s="39"/>
    </row>
    <row r="41" spans="1:12" ht="13.5" thickBot="1" x14ac:dyDescent="0.25">
      <c r="E41" s="38">
        <v>510</v>
      </c>
      <c r="F41" s="38">
        <v>560</v>
      </c>
      <c r="G41" s="14">
        <v>243</v>
      </c>
      <c r="H41" s="13">
        <v>249</v>
      </c>
      <c r="I41" s="40"/>
      <c r="J41" s="39"/>
      <c r="K41" s="39"/>
      <c r="L41" s="39"/>
    </row>
    <row r="42" spans="1:12" ht="13.5" thickBot="1" x14ac:dyDescent="0.25">
      <c r="E42" s="38">
        <v>560</v>
      </c>
      <c r="F42" s="38">
        <v>620</v>
      </c>
      <c r="G42" s="13">
        <v>249</v>
      </c>
      <c r="H42" s="14">
        <v>255</v>
      </c>
      <c r="I42" s="40"/>
      <c r="J42" s="39"/>
      <c r="K42" s="39"/>
      <c r="L42" s="39"/>
    </row>
    <row r="43" spans="1:12" ht="13.5" thickBot="1" x14ac:dyDescent="0.25">
      <c r="E43" s="38">
        <v>620</v>
      </c>
      <c r="F43" s="38">
        <v>680</v>
      </c>
      <c r="G43" s="14">
        <v>255</v>
      </c>
      <c r="H43" s="13">
        <v>261</v>
      </c>
      <c r="I43" s="40"/>
      <c r="J43" s="39"/>
      <c r="K43" s="39"/>
      <c r="L43" s="39"/>
    </row>
    <row r="44" spans="1:12" ht="13.5" thickBot="1" x14ac:dyDescent="0.25">
      <c r="E44" s="38">
        <v>680</v>
      </c>
      <c r="F44" s="38">
        <v>750</v>
      </c>
      <c r="G44" s="13">
        <v>261</v>
      </c>
      <c r="H44" s="14">
        <v>267</v>
      </c>
      <c r="I44" s="40"/>
      <c r="J44" s="39"/>
      <c r="K44" s="39"/>
      <c r="L44" s="39"/>
    </row>
    <row r="45" spans="1:12" ht="13.5" thickBot="1" x14ac:dyDescent="0.25">
      <c r="E45" s="38">
        <v>750</v>
      </c>
      <c r="F45" s="38">
        <v>820</v>
      </c>
      <c r="G45" s="14">
        <v>267</v>
      </c>
      <c r="H45" s="13">
        <v>274</v>
      </c>
      <c r="J45" s="39"/>
      <c r="K45" s="39"/>
      <c r="L45" s="39"/>
    </row>
    <row r="46" spans="1:12" ht="13.5" thickBot="1" x14ac:dyDescent="0.25">
      <c r="E46" s="38">
        <v>820</v>
      </c>
      <c r="F46" s="41">
        <v>910</v>
      </c>
      <c r="G46" s="13">
        <v>274</v>
      </c>
      <c r="H46" s="14">
        <v>280</v>
      </c>
      <c r="J46" s="39"/>
      <c r="K46" s="39"/>
      <c r="L46" s="39"/>
    </row>
    <row r="47" spans="1:12" ht="13.5" thickBot="1" x14ac:dyDescent="0.25">
      <c r="E47" s="41">
        <v>910</v>
      </c>
      <c r="F47" s="41">
        <v>1000</v>
      </c>
      <c r="G47" s="14">
        <v>280</v>
      </c>
      <c r="H47" s="13">
        <v>287</v>
      </c>
      <c r="J47" s="39"/>
      <c r="K47" s="39"/>
      <c r="L47" s="39"/>
    </row>
    <row r="48" spans="1:12" ht="13.5" thickBot="1" x14ac:dyDescent="0.25">
      <c r="E48" s="270" t="s">
        <v>85</v>
      </c>
      <c r="F48" s="270"/>
      <c r="G48" s="13">
        <v>287</v>
      </c>
      <c r="H48" s="14">
        <v>294</v>
      </c>
      <c r="J48" s="39"/>
      <c r="K48" s="39"/>
      <c r="L48" s="39"/>
    </row>
    <row r="49" spans="1:12" ht="13.5" thickBot="1" x14ac:dyDescent="0.25">
      <c r="E49" s="44">
        <v>100</v>
      </c>
      <c r="F49" s="44">
        <v>105</v>
      </c>
      <c r="G49" s="14">
        <v>294</v>
      </c>
      <c r="H49" s="13">
        <v>301</v>
      </c>
      <c r="J49" s="39"/>
      <c r="K49" s="39"/>
      <c r="L49" s="39"/>
    </row>
    <row r="50" spans="1:12" ht="13.5" thickBot="1" x14ac:dyDescent="0.25">
      <c r="A50" s="3"/>
      <c r="B50" s="3"/>
      <c r="C50" s="3"/>
      <c r="D50" s="3"/>
      <c r="E50" s="44">
        <v>105</v>
      </c>
      <c r="F50" s="44">
        <v>110</v>
      </c>
      <c r="G50" s="13">
        <v>301</v>
      </c>
      <c r="H50" s="14">
        <v>309</v>
      </c>
      <c r="J50" s="39"/>
      <c r="K50" s="39"/>
      <c r="L50" s="39"/>
    </row>
    <row r="51" spans="1:12" ht="13.5" thickBot="1" x14ac:dyDescent="0.25">
      <c r="A51" s="3"/>
      <c r="B51" s="3"/>
      <c r="C51" s="3"/>
      <c r="D51" s="3"/>
      <c r="E51" s="44">
        <v>110</v>
      </c>
      <c r="F51" s="44">
        <v>115</v>
      </c>
      <c r="G51" s="14">
        <v>309</v>
      </c>
      <c r="H51" s="13">
        <v>316</v>
      </c>
      <c r="J51" s="39"/>
      <c r="K51" s="39"/>
      <c r="L51" s="39"/>
    </row>
    <row r="52" spans="1:12" ht="13.5" thickBot="1" x14ac:dyDescent="0.25">
      <c r="A52" s="3"/>
      <c r="B52" s="3"/>
      <c r="C52" s="3"/>
      <c r="D52" s="3"/>
      <c r="E52" s="44">
        <v>115</v>
      </c>
      <c r="F52" s="44">
        <v>121</v>
      </c>
      <c r="G52" s="13">
        <v>316</v>
      </c>
      <c r="H52" s="14">
        <v>324</v>
      </c>
      <c r="J52" s="39"/>
      <c r="K52" s="39"/>
      <c r="L52" s="39"/>
    </row>
    <row r="53" spans="1:12" ht="13.5" thickBot="1" x14ac:dyDescent="0.25">
      <c r="A53" s="3"/>
      <c r="B53" s="3"/>
      <c r="C53" s="3"/>
      <c r="D53" s="3"/>
      <c r="E53" s="44">
        <v>121</v>
      </c>
      <c r="F53" s="44">
        <v>127</v>
      </c>
      <c r="G53" s="14">
        <v>324</v>
      </c>
      <c r="H53" s="13">
        <v>332</v>
      </c>
      <c r="J53" s="39"/>
      <c r="K53" s="39"/>
      <c r="L53" s="39"/>
    </row>
    <row r="54" spans="1:12" ht="13.5" thickBot="1" x14ac:dyDescent="0.25">
      <c r="A54" s="3"/>
      <c r="B54" s="3"/>
      <c r="C54" s="3"/>
      <c r="D54" s="3"/>
      <c r="E54" s="44">
        <v>127</v>
      </c>
      <c r="F54" s="44">
        <v>133</v>
      </c>
      <c r="G54" s="13">
        <v>332</v>
      </c>
      <c r="H54" s="14">
        <v>340</v>
      </c>
      <c r="J54" s="39"/>
      <c r="K54" s="39"/>
      <c r="L54" s="39"/>
    </row>
    <row r="55" spans="1:12" ht="13.5" thickBot="1" x14ac:dyDescent="0.25">
      <c r="A55" s="3"/>
      <c r="B55" s="3"/>
      <c r="C55" s="3"/>
      <c r="D55" s="3"/>
      <c r="E55" s="44">
        <v>133</v>
      </c>
      <c r="F55" s="44">
        <v>140</v>
      </c>
      <c r="G55" s="14">
        <v>340</v>
      </c>
      <c r="H55" s="13">
        <v>348</v>
      </c>
      <c r="J55" s="39"/>
      <c r="K55" s="39"/>
      <c r="L55" s="39"/>
    </row>
    <row r="56" spans="1:12" ht="13.5" thickBot="1" x14ac:dyDescent="0.25">
      <c r="A56" s="3"/>
      <c r="B56" s="3"/>
      <c r="C56" s="3"/>
      <c r="D56" s="3"/>
      <c r="E56" s="44">
        <v>140</v>
      </c>
      <c r="F56" s="44">
        <v>147</v>
      </c>
      <c r="G56" s="13">
        <v>348</v>
      </c>
      <c r="H56" s="14">
        <v>357</v>
      </c>
      <c r="J56" s="39"/>
      <c r="K56" s="39"/>
      <c r="L56" s="39"/>
    </row>
    <row r="57" spans="1:12" ht="13.5" thickBot="1" x14ac:dyDescent="0.25">
      <c r="A57" s="3"/>
      <c r="B57" s="3"/>
      <c r="C57" s="3"/>
      <c r="D57" s="3"/>
      <c r="E57" s="44">
        <v>147</v>
      </c>
      <c r="F57" s="44">
        <v>154</v>
      </c>
      <c r="G57" s="14">
        <v>357</v>
      </c>
      <c r="H57" s="13">
        <v>365</v>
      </c>
      <c r="J57" s="39"/>
      <c r="K57" s="39"/>
      <c r="L57" s="39"/>
    </row>
    <row r="58" spans="1:12" ht="13.5" thickBot="1" x14ac:dyDescent="0.25">
      <c r="A58" s="3"/>
      <c r="B58" s="3"/>
      <c r="C58" s="3"/>
      <c r="D58" s="3"/>
      <c r="E58" s="44">
        <v>154</v>
      </c>
      <c r="F58" s="44">
        <v>162</v>
      </c>
      <c r="G58" s="13">
        <v>365</v>
      </c>
      <c r="H58" s="14">
        <v>374</v>
      </c>
      <c r="J58" s="39"/>
      <c r="K58" s="39"/>
      <c r="L58" s="39"/>
    </row>
    <row r="59" spans="1:12" ht="13.5" thickBot="1" x14ac:dyDescent="0.25">
      <c r="A59" s="3"/>
      <c r="B59" s="3"/>
      <c r="C59" s="3"/>
      <c r="D59" s="3"/>
      <c r="E59" s="44">
        <v>162</v>
      </c>
      <c r="F59" s="44">
        <v>169</v>
      </c>
      <c r="G59" s="14">
        <v>374</v>
      </c>
      <c r="H59" s="13">
        <v>383</v>
      </c>
      <c r="J59" s="39"/>
      <c r="K59" s="39"/>
      <c r="L59" s="39"/>
    </row>
    <row r="60" spans="1:12" ht="13.5" thickBot="1" x14ac:dyDescent="0.25">
      <c r="A60" s="3"/>
      <c r="B60" s="3"/>
      <c r="C60" s="3"/>
      <c r="D60" s="3"/>
      <c r="E60" s="44">
        <v>169</v>
      </c>
      <c r="F60" s="44">
        <v>178</v>
      </c>
      <c r="G60" s="13">
        <v>383</v>
      </c>
      <c r="H60" s="14">
        <v>392</v>
      </c>
      <c r="J60" s="39"/>
      <c r="K60" s="39"/>
      <c r="L60" s="39"/>
    </row>
    <row r="61" spans="1:12" ht="13.5" thickBot="1" x14ac:dyDescent="0.25">
      <c r="A61" s="3"/>
      <c r="B61" s="3"/>
      <c r="C61" s="3"/>
      <c r="D61" s="3"/>
      <c r="E61" s="44">
        <v>178</v>
      </c>
      <c r="F61" s="44">
        <v>187</v>
      </c>
      <c r="G61" s="14">
        <v>392</v>
      </c>
      <c r="H61" s="13">
        <v>402</v>
      </c>
      <c r="J61" s="39"/>
      <c r="K61" s="39"/>
      <c r="L61" s="39"/>
    </row>
    <row r="62" spans="1:12" ht="13.5" thickBot="1" x14ac:dyDescent="0.25">
      <c r="A62" s="3"/>
      <c r="B62" s="3"/>
      <c r="C62" s="3"/>
      <c r="D62" s="3"/>
      <c r="E62" s="44">
        <v>187</v>
      </c>
      <c r="F62" s="44">
        <v>196</v>
      </c>
      <c r="G62" s="13">
        <v>402</v>
      </c>
      <c r="H62" s="14">
        <v>412</v>
      </c>
      <c r="J62" s="39"/>
      <c r="K62" s="39"/>
      <c r="L62" s="39"/>
    </row>
    <row r="63" spans="1:12" ht="13.5" thickBot="1" x14ac:dyDescent="0.25">
      <c r="A63" s="3"/>
      <c r="B63" s="3"/>
      <c r="C63" s="3"/>
      <c r="D63" s="3"/>
      <c r="E63" s="44">
        <v>196</v>
      </c>
      <c r="F63" s="44">
        <v>205</v>
      </c>
      <c r="G63" s="14">
        <v>412</v>
      </c>
      <c r="H63" s="13">
        <v>422</v>
      </c>
      <c r="J63" s="39"/>
      <c r="K63" s="39"/>
      <c r="L63" s="39"/>
    </row>
    <row r="64" spans="1:12" ht="13.5" thickBot="1" x14ac:dyDescent="0.25">
      <c r="A64" s="3"/>
      <c r="B64" s="3"/>
      <c r="C64" s="3"/>
      <c r="D64" s="3"/>
      <c r="E64" s="44">
        <v>205</v>
      </c>
      <c r="F64" s="44">
        <v>215</v>
      </c>
      <c r="G64" s="13">
        <v>422</v>
      </c>
      <c r="H64" s="14">
        <v>432</v>
      </c>
      <c r="J64" s="39"/>
      <c r="K64" s="39"/>
      <c r="L64" s="39"/>
    </row>
    <row r="65" spans="5:12" s="3" customFormat="1" ht="13.5" thickBot="1" x14ac:dyDescent="0.25">
      <c r="E65" s="44">
        <v>215</v>
      </c>
      <c r="F65" s="44">
        <v>226</v>
      </c>
      <c r="G65" s="14">
        <v>432</v>
      </c>
      <c r="H65" s="13">
        <v>442</v>
      </c>
      <c r="I65" s="5"/>
      <c r="J65" s="39"/>
      <c r="K65" s="39"/>
      <c r="L65" s="39"/>
    </row>
    <row r="66" spans="5:12" s="3" customFormat="1" ht="13.5" thickBot="1" x14ac:dyDescent="0.25">
      <c r="E66" s="44">
        <v>226</v>
      </c>
      <c r="F66" s="44">
        <v>237</v>
      </c>
      <c r="G66" s="13">
        <v>442</v>
      </c>
      <c r="H66" s="14">
        <v>453</v>
      </c>
      <c r="I66" s="5"/>
      <c r="J66" s="39"/>
      <c r="K66" s="39"/>
      <c r="L66" s="39"/>
    </row>
    <row r="67" spans="5:12" s="3" customFormat="1" ht="13.5" thickBot="1" x14ac:dyDescent="0.25">
      <c r="E67" s="44">
        <v>237</v>
      </c>
      <c r="F67" s="44">
        <v>249</v>
      </c>
      <c r="G67" s="14">
        <v>453</v>
      </c>
      <c r="H67" s="13">
        <v>464</v>
      </c>
      <c r="I67" s="5"/>
      <c r="J67" s="39"/>
      <c r="K67" s="39"/>
      <c r="L67" s="39"/>
    </row>
    <row r="68" spans="5:12" s="3" customFormat="1" ht="13.5" thickBot="1" x14ac:dyDescent="0.25">
      <c r="E68" s="44">
        <v>249</v>
      </c>
      <c r="F68" s="44">
        <v>261</v>
      </c>
      <c r="G68" s="13">
        <v>464</v>
      </c>
      <c r="H68" s="14">
        <v>475</v>
      </c>
      <c r="I68" s="5"/>
      <c r="J68" s="39"/>
      <c r="K68" s="39"/>
      <c r="L68" s="39"/>
    </row>
    <row r="69" spans="5:12" s="3" customFormat="1" ht="13.5" thickBot="1" x14ac:dyDescent="0.25">
      <c r="E69" s="44">
        <v>261</v>
      </c>
      <c r="F69" s="44">
        <v>274</v>
      </c>
      <c r="G69" s="14">
        <v>475</v>
      </c>
      <c r="H69" s="13">
        <v>487</v>
      </c>
      <c r="I69" s="5"/>
      <c r="J69" s="39"/>
      <c r="K69" s="39"/>
      <c r="L69" s="39"/>
    </row>
    <row r="70" spans="5:12" s="3" customFormat="1" ht="13.5" thickBot="1" x14ac:dyDescent="0.25">
      <c r="E70" s="44">
        <v>274</v>
      </c>
      <c r="F70" s="44">
        <v>287</v>
      </c>
      <c r="G70" s="13">
        <v>487</v>
      </c>
      <c r="H70" s="14">
        <v>499</v>
      </c>
      <c r="I70" s="5"/>
      <c r="J70" s="39"/>
      <c r="K70" s="39"/>
      <c r="L70" s="39"/>
    </row>
    <row r="71" spans="5:12" s="3" customFormat="1" ht="13.5" thickBot="1" x14ac:dyDescent="0.25">
      <c r="E71" s="44">
        <v>287</v>
      </c>
      <c r="F71" s="44">
        <v>301</v>
      </c>
      <c r="G71" s="14">
        <v>499</v>
      </c>
      <c r="H71" s="13">
        <v>511</v>
      </c>
      <c r="I71" s="5"/>
      <c r="J71" s="39"/>
      <c r="K71" s="39"/>
      <c r="L71" s="39"/>
    </row>
    <row r="72" spans="5:12" s="3" customFormat="1" ht="13.5" thickBot="1" x14ac:dyDescent="0.25">
      <c r="E72" s="44">
        <v>301</v>
      </c>
      <c r="F72" s="44">
        <v>316</v>
      </c>
      <c r="G72" s="13">
        <v>511</v>
      </c>
      <c r="H72" s="14">
        <v>523</v>
      </c>
      <c r="I72" s="5"/>
      <c r="J72" s="39"/>
      <c r="K72" s="39"/>
      <c r="L72" s="39"/>
    </row>
    <row r="73" spans="5:12" s="3" customFormat="1" ht="13.5" thickBot="1" x14ac:dyDescent="0.25">
      <c r="E73" s="44">
        <v>316</v>
      </c>
      <c r="F73" s="44">
        <v>332</v>
      </c>
      <c r="G73" s="14">
        <v>523</v>
      </c>
      <c r="H73" s="13">
        <v>536</v>
      </c>
      <c r="I73" s="5"/>
      <c r="J73" s="39"/>
      <c r="K73" s="39"/>
      <c r="L73" s="39"/>
    </row>
    <row r="74" spans="5:12" s="3" customFormat="1" ht="13.5" thickBot="1" x14ac:dyDescent="0.25">
      <c r="E74" s="44">
        <v>332</v>
      </c>
      <c r="F74" s="44">
        <v>348</v>
      </c>
      <c r="G74" s="13">
        <v>536</v>
      </c>
      <c r="H74" s="14">
        <v>549</v>
      </c>
      <c r="I74" s="5"/>
      <c r="J74" s="39"/>
      <c r="K74" s="39"/>
      <c r="L74" s="39"/>
    </row>
    <row r="75" spans="5:12" s="3" customFormat="1" ht="13.5" thickBot="1" x14ac:dyDescent="0.25">
      <c r="E75" s="44">
        <v>348</v>
      </c>
      <c r="F75" s="44">
        <v>365</v>
      </c>
      <c r="G75" s="14">
        <v>549</v>
      </c>
      <c r="H75" s="13">
        <v>562</v>
      </c>
      <c r="I75" s="5"/>
      <c r="J75" s="39"/>
      <c r="K75" s="39"/>
      <c r="L75" s="39"/>
    </row>
    <row r="76" spans="5:12" s="3" customFormat="1" ht="13.5" thickBot="1" x14ac:dyDescent="0.25">
      <c r="E76" s="44">
        <v>365</v>
      </c>
      <c r="F76" s="44">
        <v>383</v>
      </c>
      <c r="G76" s="13">
        <v>562</v>
      </c>
      <c r="H76" s="14">
        <v>576</v>
      </c>
      <c r="I76" s="5"/>
      <c r="J76" s="45"/>
      <c r="K76" s="45"/>
      <c r="L76" s="45"/>
    </row>
    <row r="77" spans="5:12" s="3" customFormat="1" ht="13.5" thickBot="1" x14ac:dyDescent="0.25">
      <c r="E77" s="44">
        <v>383</v>
      </c>
      <c r="F77" s="44">
        <v>402</v>
      </c>
      <c r="G77" s="14">
        <v>576</v>
      </c>
      <c r="H77" s="13">
        <v>590</v>
      </c>
      <c r="I77" s="5"/>
      <c r="J77" s="45"/>
      <c r="K77" s="45"/>
      <c r="L77" s="45"/>
    </row>
    <row r="78" spans="5:12" s="3" customFormat="1" ht="13.5" thickBot="1" x14ac:dyDescent="0.25">
      <c r="E78" s="44">
        <v>402</v>
      </c>
      <c r="F78" s="44">
        <v>422</v>
      </c>
      <c r="G78" s="13">
        <v>590</v>
      </c>
      <c r="H78" s="14">
        <v>604</v>
      </c>
      <c r="I78" s="5"/>
      <c r="J78" s="45"/>
      <c r="K78" s="45"/>
      <c r="L78" s="45"/>
    </row>
    <row r="79" spans="5:12" s="3" customFormat="1" ht="13.5" thickBot="1" x14ac:dyDescent="0.25">
      <c r="E79" s="44">
        <v>422</v>
      </c>
      <c r="F79" s="44">
        <v>442</v>
      </c>
      <c r="G79" s="14">
        <v>604</v>
      </c>
      <c r="H79" s="13">
        <v>619</v>
      </c>
      <c r="I79" s="5"/>
      <c r="J79" s="45"/>
      <c r="K79" s="45"/>
      <c r="L79" s="45"/>
    </row>
    <row r="80" spans="5:12" s="3" customFormat="1" ht="13.5" thickBot="1" x14ac:dyDescent="0.25">
      <c r="E80" s="44">
        <v>442</v>
      </c>
      <c r="F80" s="44">
        <v>464</v>
      </c>
      <c r="G80" s="13">
        <v>619</v>
      </c>
      <c r="H80" s="14">
        <v>634</v>
      </c>
      <c r="I80" s="5"/>
      <c r="J80" s="45"/>
      <c r="K80" s="45"/>
      <c r="L80" s="45"/>
    </row>
    <row r="81" spans="5:12" s="3" customFormat="1" ht="13.5" thickBot="1" x14ac:dyDescent="0.25">
      <c r="E81" s="44">
        <v>464</v>
      </c>
      <c r="F81" s="44">
        <v>487</v>
      </c>
      <c r="G81" s="14">
        <v>634</v>
      </c>
      <c r="H81" s="13">
        <v>649</v>
      </c>
      <c r="I81" s="5"/>
      <c r="J81" s="45"/>
      <c r="K81" s="45"/>
      <c r="L81" s="45"/>
    </row>
    <row r="82" spans="5:12" s="3" customFormat="1" ht="13.5" thickBot="1" x14ac:dyDescent="0.25">
      <c r="E82" s="44">
        <v>487</v>
      </c>
      <c r="F82" s="44">
        <v>511</v>
      </c>
      <c r="G82" s="13">
        <v>649</v>
      </c>
      <c r="H82" s="14">
        <v>665</v>
      </c>
      <c r="I82" s="5"/>
      <c r="J82" s="45"/>
      <c r="K82" s="45"/>
      <c r="L82" s="45"/>
    </row>
    <row r="83" spans="5:12" s="3" customFormat="1" ht="13.5" thickBot="1" x14ac:dyDescent="0.25">
      <c r="E83" s="44">
        <v>511</v>
      </c>
      <c r="F83" s="44">
        <v>536</v>
      </c>
      <c r="G83" s="14">
        <v>665</v>
      </c>
      <c r="H83" s="13">
        <v>681</v>
      </c>
      <c r="I83" s="5"/>
      <c r="J83" s="45"/>
      <c r="K83" s="45"/>
      <c r="L83" s="45"/>
    </row>
    <row r="84" spans="5:12" s="3" customFormat="1" ht="13.5" thickBot="1" x14ac:dyDescent="0.25">
      <c r="E84" s="44">
        <v>536</v>
      </c>
      <c r="F84" s="44">
        <v>562</v>
      </c>
      <c r="G84" s="13">
        <v>681</v>
      </c>
      <c r="H84" s="14">
        <v>698</v>
      </c>
      <c r="I84" s="5"/>
      <c r="J84" s="45"/>
      <c r="K84" s="45"/>
      <c r="L84" s="45"/>
    </row>
    <row r="85" spans="5:12" s="3" customFormat="1" ht="13.5" thickBot="1" x14ac:dyDescent="0.25">
      <c r="E85" s="44">
        <v>562</v>
      </c>
      <c r="F85" s="44">
        <v>590</v>
      </c>
      <c r="G85" s="14">
        <v>698</v>
      </c>
      <c r="H85" s="13">
        <v>715</v>
      </c>
      <c r="I85" s="5"/>
      <c r="J85" s="45"/>
      <c r="K85" s="45"/>
      <c r="L85" s="45"/>
    </row>
    <row r="86" spans="5:12" s="3" customFormat="1" ht="13.5" thickBot="1" x14ac:dyDescent="0.25">
      <c r="E86" s="44">
        <v>590</v>
      </c>
      <c r="F86" s="44">
        <v>619</v>
      </c>
      <c r="G86" s="13">
        <v>715</v>
      </c>
      <c r="H86" s="14">
        <v>732</v>
      </c>
      <c r="I86" s="5"/>
      <c r="J86" s="45"/>
      <c r="K86" s="45"/>
      <c r="L86" s="45"/>
    </row>
    <row r="87" spans="5:12" s="3" customFormat="1" ht="13.5" thickBot="1" x14ac:dyDescent="0.25">
      <c r="E87" s="44">
        <v>619</v>
      </c>
      <c r="F87" s="44">
        <v>649</v>
      </c>
      <c r="G87" s="14">
        <v>732</v>
      </c>
      <c r="H87" s="13">
        <v>750</v>
      </c>
      <c r="I87" s="5"/>
      <c r="J87" s="45"/>
      <c r="K87" s="45"/>
      <c r="L87" s="45"/>
    </row>
    <row r="88" spans="5:12" s="3" customFormat="1" ht="13.5" thickBot="1" x14ac:dyDescent="0.25">
      <c r="E88" s="44">
        <v>649</v>
      </c>
      <c r="F88" s="44">
        <v>681</v>
      </c>
      <c r="G88" s="13">
        <v>750</v>
      </c>
      <c r="H88" s="14">
        <v>768</v>
      </c>
      <c r="I88" s="5"/>
      <c r="J88" s="45"/>
      <c r="K88" s="45"/>
      <c r="L88" s="45"/>
    </row>
    <row r="89" spans="5:12" s="3" customFormat="1" ht="13.5" thickBot="1" x14ac:dyDescent="0.25">
      <c r="E89" s="44">
        <v>681</v>
      </c>
      <c r="F89" s="44">
        <v>715</v>
      </c>
      <c r="G89" s="14">
        <v>768</v>
      </c>
      <c r="H89" s="13">
        <v>787</v>
      </c>
      <c r="I89" s="5"/>
      <c r="J89" s="45"/>
      <c r="K89" s="45"/>
      <c r="L89" s="45"/>
    </row>
    <row r="90" spans="5:12" s="3" customFormat="1" ht="13.5" thickBot="1" x14ac:dyDescent="0.25">
      <c r="E90" s="44">
        <v>715</v>
      </c>
      <c r="F90" s="44">
        <v>750</v>
      </c>
      <c r="G90" s="13">
        <v>787</v>
      </c>
      <c r="H90" s="14">
        <v>806</v>
      </c>
      <c r="I90" s="5"/>
      <c r="J90" s="45"/>
      <c r="K90" s="45"/>
      <c r="L90" s="45"/>
    </row>
    <row r="91" spans="5:12" s="3" customFormat="1" ht="13.5" thickBot="1" x14ac:dyDescent="0.25">
      <c r="E91" s="44">
        <v>750</v>
      </c>
      <c r="F91" s="44">
        <v>787</v>
      </c>
      <c r="G91" s="14">
        <v>806</v>
      </c>
      <c r="H91" s="13">
        <v>825</v>
      </c>
      <c r="I91" s="5"/>
      <c r="J91" s="45"/>
      <c r="K91" s="45"/>
      <c r="L91" s="45"/>
    </row>
    <row r="92" spans="5:12" s="3" customFormat="1" ht="13.5" thickBot="1" x14ac:dyDescent="0.25">
      <c r="E92" s="44">
        <v>787</v>
      </c>
      <c r="F92" s="44">
        <v>825</v>
      </c>
      <c r="G92" s="13">
        <v>825</v>
      </c>
      <c r="H92" s="14">
        <v>845</v>
      </c>
      <c r="I92" s="5"/>
      <c r="J92" s="45"/>
      <c r="K92" s="45"/>
      <c r="L92" s="45"/>
    </row>
    <row r="93" spans="5:12" s="3" customFormat="1" ht="13.5" thickBot="1" x14ac:dyDescent="0.25">
      <c r="E93" s="44">
        <v>825</v>
      </c>
      <c r="F93" s="44">
        <v>866</v>
      </c>
      <c r="G93" s="14">
        <v>845</v>
      </c>
      <c r="H93" s="13">
        <v>866</v>
      </c>
      <c r="I93" s="5"/>
      <c r="J93" s="45"/>
      <c r="K93" s="45"/>
      <c r="L93" s="45"/>
    </row>
    <row r="94" spans="5:12" s="3" customFormat="1" ht="13.5" thickBot="1" x14ac:dyDescent="0.25">
      <c r="E94" s="44">
        <v>866</v>
      </c>
      <c r="F94" s="44">
        <v>909</v>
      </c>
      <c r="G94" s="13">
        <v>866</v>
      </c>
      <c r="H94" s="14">
        <v>887</v>
      </c>
      <c r="I94" s="5"/>
      <c r="J94" s="45"/>
      <c r="K94" s="45"/>
      <c r="L94" s="45"/>
    </row>
    <row r="95" spans="5:12" s="3" customFormat="1" ht="13.5" thickBot="1" x14ac:dyDescent="0.25">
      <c r="E95" s="44">
        <v>909</v>
      </c>
      <c r="F95" s="44">
        <v>953</v>
      </c>
      <c r="G95" s="14">
        <v>887</v>
      </c>
      <c r="H95" s="13">
        <v>909</v>
      </c>
      <c r="I95" s="5"/>
      <c r="J95" s="45"/>
      <c r="K95" s="45"/>
      <c r="L95" s="45"/>
    </row>
    <row r="96" spans="5:12" s="3" customFormat="1" ht="13.5" thickBot="1" x14ac:dyDescent="0.25">
      <c r="E96" s="44">
        <v>953</v>
      </c>
      <c r="F96" s="44">
        <v>1000</v>
      </c>
      <c r="G96" s="13">
        <v>909</v>
      </c>
      <c r="H96" s="14">
        <v>931</v>
      </c>
      <c r="I96" s="5"/>
      <c r="J96" s="45"/>
      <c r="K96" s="45"/>
      <c r="L96" s="45"/>
    </row>
    <row r="97" spans="7:12" s="3" customFormat="1" ht="13.5" thickBot="1" x14ac:dyDescent="0.25">
      <c r="G97" s="14">
        <v>931</v>
      </c>
      <c r="H97" s="13">
        <v>953</v>
      </c>
      <c r="I97" s="5"/>
      <c r="J97" s="45"/>
      <c r="K97" s="45"/>
      <c r="L97" s="45"/>
    </row>
    <row r="98" spans="7:12" s="3" customFormat="1" ht="13.5" thickBot="1" x14ac:dyDescent="0.25">
      <c r="G98" s="13">
        <v>953</v>
      </c>
      <c r="H98" s="14">
        <v>976</v>
      </c>
      <c r="I98" s="5"/>
      <c r="J98" s="45"/>
      <c r="K98" s="45"/>
      <c r="L98" s="45"/>
    </row>
    <row r="99" spans="7:12" s="3" customFormat="1" ht="13.5" thickBot="1" x14ac:dyDescent="0.25">
      <c r="G99" s="14">
        <v>976</v>
      </c>
      <c r="H99" s="14">
        <v>1000</v>
      </c>
      <c r="I99" s="5"/>
      <c r="J99" s="45"/>
      <c r="K99" s="45"/>
      <c r="L99" s="45"/>
    </row>
    <row r="100" spans="7:12" s="3" customFormat="1" x14ac:dyDescent="0.2">
      <c r="I100" s="5"/>
      <c r="J100" s="45"/>
      <c r="K100" s="45"/>
      <c r="L100" s="45"/>
    </row>
    <row r="101" spans="7:12" s="3" customFormat="1" x14ac:dyDescent="0.2">
      <c r="I101" s="5"/>
      <c r="J101" s="45"/>
      <c r="K101" s="45"/>
      <c r="L101" s="45"/>
    </row>
    <row r="102" spans="7:12" s="3" customFormat="1" x14ac:dyDescent="0.2">
      <c r="I102" s="5"/>
      <c r="J102" s="45"/>
      <c r="K102" s="45"/>
      <c r="L102" s="45"/>
    </row>
    <row r="103" spans="7:12" s="3" customFormat="1" x14ac:dyDescent="0.2">
      <c r="I103" s="5"/>
      <c r="J103" s="45"/>
      <c r="K103" s="45"/>
      <c r="L103" s="45"/>
    </row>
    <row r="104" spans="7:12" s="3" customFormat="1" x14ac:dyDescent="0.2">
      <c r="I104" s="5"/>
      <c r="J104" s="45"/>
      <c r="K104" s="45"/>
      <c r="L104" s="45"/>
    </row>
    <row r="105" spans="7:12" s="3" customFormat="1" x14ac:dyDescent="0.2">
      <c r="I105" s="5"/>
      <c r="J105" s="45"/>
      <c r="K105" s="45"/>
      <c r="L105" s="45"/>
    </row>
    <row r="106" spans="7:12" s="3" customFormat="1" x14ac:dyDescent="0.2">
      <c r="I106" s="5"/>
      <c r="J106" s="45"/>
      <c r="K106" s="45"/>
      <c r="L106" s="45"/>
    </row>
    <row r="107" spans="7:12" s="3" customFormat="1" x14ac:dyDescent="0.2">
      <c r="I107" s="5"/>
      <c r="J107" s="45"/>
      <c r="K107" s="45"/>
      <c r="L107" s="45"/>
    </row>
    <row r="108" spans="7:12" s="3" customFormat="1" x14ac:dyDescent="0.2">
      <c r="I108" s="5"/>
      <c r="J108" s="45"/>
      <c r="K108" s="45"/>
      <c r="L108" s="45"/>
    </row>
    <row r="109" spans="7:12" s="3" customFormat="1" x14ac:dyDescent="0.2">
      <c r="I109" s="5"/>
      <c r="J109" s="45"/>
      <c r="K109" s="45"/>
      <c r="L109" s="45"/>
    </row>
    <row r="110" spans="7:12" s="3" customFormat="1" x14ac:dyDescent="0.2">
      <c r="I110" s="5"/>
      <c r="J110" s="45"/>
      <c r="K110" s="45"/>
      <c r="L110" s="45"/>
    </row>
    <row r="111" spans="7:12" s="3" customFormat="1" x14ac:dyDescent="0.2">
      <c r="I111" s="5"/>
      <c r="J111" s="45"/>
      <c r="K111" s="45"/>
      <c r="L111" s="45"/>
    </row>
    <row r="112" spans="7:12" s="3" customFormat="1" x14ac:dyDescent="0.2">
      <c r="I112" s="5"/>
      <c r="J112" s="45"/>
      <c r="K112" s="45"/>
      <c r="L112" s="45"/>
    </row>
    <row r="113" spans="9:12" s="3" customFormat="1" x14ac:dyDescent="0.2">
      <c r="I113" s="5"/>
      <c r="J113" s="45"/>
      <c r="K113" s="45"/>
      <c r="L113" s="45"/>
    </row>
    <row r="114" spans="9:12" s="3" customFormat="1" x14ac:dyDescent="0.2">
      <c r="J114" s="45"/>
      <c r="K114" s="45"/>
      <c r="L114" s="45"/>
    </row>
    <row r="115" spans="9:12" s="3" customFormat="1" x14ac:dyDescent="0.2">
      <c r="J115" s="45"/>
      <c r="K115" s="45"/>
      <c r="L115" s="45"/>
    </row>
    <row r="116" spans="9:12" s="3" customFormat="1" x14ac:dyDescent="0.2">
      <c r="J116" s="45"/>
      <c r="K116" s="45"/>
      <c r="L116" s="45"/>
    </row>
    <row r="117" spans="9:12" s="3" customFormat="1" x14ac:dyDescent="0.2">
      <c r="J117" s="45"/>
      <c r="K117" s="45"/>
      <c r="L117" s="45"/>
    </row>
    <row r="118" spans="9:12" s="3" customFormat="1" x14ac:dyDescent="0.2">
      <c r="J118" s="45"/>
      <c r="K118" s="45"/>
      <c r="L118" s="45"/>
    </row>
    <row r="119" spans="9:12" s="3" customFormat="1" x14ac:dyDescent="0.2">
      <c r="J119" s="45"/>
      <c r="K119" s="45"/>
      <c r="L119" s="45"/>
    </row>
    <row r="120" spans="9:12" s="3" customFormat="1" x14ac:dyDescent="0.2">
      <c r="J120" s="45"/>
      <c r="K120" s="45"/>
      <c r="L120" s="45"/>
    </row>
    <row r="121" spans="9:12" s="3" customFormat="1" x14ac:dyDescent="0.2">
      <c r="J121" s="45"/>
      <c r="K121" s="45"/>
      <c r="L121" s="45"/>
    </row>
    <row r="122" spans="9:12" s="3" customFormat="1" x14ac:dyDescent="0.2">
      <c r="J122" s="45"/>
      <c r="K122" s="45"/>
      <c r="L122" s="45"/>
    </row>
    <row r="123" spans="9:12" s="3" customFormat="1" x14ac:dyDescent="0.2">
      <c r="J123" s="45"/>
      <c r="K123" s="45"/>
      <c r="L123" s="45"/>
    </row>
    <row r="124" spans="9:12" s="3" customFormat="1" x14ac:dyDescent="0.2">
      <c r="J124" s="45"/>
      <c r="K124" s="45"/>
      <c r="L124" s="45"/>
    </row>
    <row r="125" spans="9:12" s="3" customFormat="1" x14ac:dyDescent="0.2">
      <c r="J125" s="45"/>
      <c r="K125" s="45"/>
      <c r="L125" s="45"/>
    </row>
    <row r="126" spans="9:12" s="3" customFormat="1" x14ac:dyDescent="0.2">
      <c r="J126" s="45"/>
      <c r="K126" s="45"/>
      <c r="L126" s="45"/>
    </row>
    <row r="127" spans="9:12" s="3" customFormat="1" x14ac:dyDescent="0.2">
      <c r="J127" s="45"/>
      <c r="K127" s="45"/>
      <c r="L127" s="45"/>
    </row>
    <row r="128" spans="9:12" s="3" customFormat="1" x14ac:dyDescent="0.2">
      <c r="J128" s="45"/>
      <c r="K128" s="45"/>
      <c r="L128" s="45"/>
    </row>
    <row r="129" spans="10:12" s="3" customFormat="1" x14ac:dyDescent="0.2">
      <c r="J129" s="45"/>
      <c r="K129" s="45"/>
      <c r="L129" s="45"/>
    </row>
    <row r="130" spans="10:12" s="3" customFormat="1" x14ac:dyDescent="0.2">
      <c r="J130" s="45"/>
      <c r="K130" s="45"/>
      <c r="L130" s="45"/>
    </row>
    <row r="131" spans="10:12" s="3" customFormat="1" x14ac:dyDescent="0.2">
      <c r="J131" s="45"/>
      <c r="K131" s="45"/>
      <c r="L131" s="45"/>
    </row>
    <row r="132" spans="10:12" s="3" customFormat="1" x14ac:dyDescent="0.2">
      <c r="J132" s="45"/>
      <c r="K132" s="45"/>
      <c r="L132" s="45"/>
    </row>
    <row r="133" spans="10:12" s="3" customFormat="1" x14ac:dyDescent="0.2">
      <c r="J133" s="45"/>
      <c r="K133" s="45"/>
      <c r="L133" s="45"/>
    </row>
    <row r="134" spans="10:12" s="3" customFormat="1" x14ac:dyDescent="0.2">
      <c r="J134" s="45"/>
      <c r="K134" s="45"/>
      <c r="L134" s="45"/>
    </row>
    <row r="135" spans="10:12" s="3" customFormat="1" x14ac:dyDescent="0.2">
      <c r="J135" s="45"/>
      <c r="K135" s="45"/>
      <c r="L135" s="45"/>
    </row>
    <row r="136" spans="10:12" s="3" customFormat="1" x14ac:dyDescent="0.2">
      <c r="J136" s="45"/>
      <c r="K136" s="45"/>
      <c r="L136" s="45"/>
    </row>
    <row r="137" spans="10:12" s="3" customFormat="1" x14ac:dyDescent="0.2">
      <c r="J137" s="45"/>
      <c r="K137" s="45"/>
      <c r="L137" s="45"/>
    </row>
    <row r="138" spans="10:12" s="3" customFormat="1" x14ac:dyDescent="0.2">
      <c r="J138" s="45"/>
      <c r="K138" s="45"/>
      <c r="L138" s="45"/>
    </row>
    <row r="139" spans="10:12" s="3" customFormat="1" x14ac:dyDescent="0.2">
      <c r="J139" s="45"/>
      <c r="K139" s="45"/>
      <c r="L139" s="45"/>
    </row>
    <row r="140" spans="10:12" s="3" customFormat="1" x14ac:dyDescent="0.2">
      <c r="J140" s="45"/>
      <c r="K140" s="45"/>
      <c r="L140" s="45"/>
    </row>
    <row r="141" spans="10:12" s="3" customFormat="1" x14ac:dyDescent="0.2">
      <c r="J141" s="45"/>
      <c r="K141" s="45"/>
      <c r="L141" s="45"/>
    </row>
    <row r="142" spans="10:12" s="3" customFormat="1" x14ac:dyDescent="0.2">
      <c r="J142" s="45"/>
      <c r="K142" s="45"/>
      <c r="L142" s="45"/>
    </row>
    <row r="143" spans="10:12" s="3" customFormat="1" x14ac:dyDescent="0.2">
      <c r="J143" s="45"/>
      <c r="K143" s="45"/>
      <c r="L143" s="45"/>
    </row>
    <row r="144" spans="10:12" s="3" customFormat="1" x14ac:dyDescent="0.2">
      <c r="J144" s="45"/>
      <c r="K144" s="45"/>
      <c r="L144" s="45"/>
    </row>
    <row r="145" spans="10:12" s="3" customFormat="1" x14ac:dyDescent="0.2">
      <c r="J145" s="45"/>
      <c r="K145" s="45"/>
      <c r="L145" s="45"/>
    </row>
    <row r="146" spans="10:12" s="3" customFormat="1" x14ac:dyDescent="0.2">
      <c r="J146" s="45"/>
      <c r="K146" s="45"/>
      <c r="L146" s="45"/>
    </row>
  </sheetData>
  <sheetProtection selectLockedCells="1"/>
  <mergeCells count="5">
    <mergeCell ref="E48:F48"/>
    <mergeCell ref="E3:F3"/>
    <mergeCell ref="G3:H3"/>
    <mergeCell ref="E10:F10"/>
    <mergeCell ref="E23:F23"/>
  </mergeCells>
  <phoneticPr fontId="0" type="noConversion"/>
  <pageMargins left="0.49" right="0.42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0019-4A25-476F-A741-E24C363F259D}">
  <dimension ref="A1:S13"/>
  <sheetViews>
    <sheetView workbookViewId="0">
      <selection activeCell="A5" sqref="A5"/>
    </sheetView>
  </sheetViews>
  <sheetFormatPr defaultRowHeight="12.75" x14ac:dyDescent="0.2"/>
  <sheetData>
    <row r="1" spans="1:19" x14ac:dyDescent="0.2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8"/>
      <c r="N1" s="108"/>
      <c r="O1" s="108"/>
      <c r="P1" s="108"/>
      <c r="Q1" s="107"/>
      <c r="R1" s="107"/>
      <c r="S1" s="107"/>
    </row>
    <row r="2" spans="1:19" x14ac:dyDescent="0.2">
      <c r="A2" s="111" t="s">
        <v>301</v>
      </c>
      <c r="B2" s="78" t="s">
        <v>229</v>
      </c>
      <c r="C2" s="78" t="s">
        <v>224</v>
      </c>
      <c r="D2" s="78" t="s">
        <v>275</v>
      </c>
      <c r="E2" s="78" t="s">
        <v>274</v>
      </c>
      <c r="F2" s="78" t="s">
        <v>276</v>
      </c>
      <c r="G2" s="78" t="s">
        <v>277</v>
      </c>
      <c r="H2" s="111"/>
      <c r="I2" s="111"/>
      <c r="J2" s="111"/>
      <c r="K2" s="111"/>
      <c r="L2" s="111"/>
      <c r="M2" s="112"/>
      <c r="N2" s="112"/>
      <c r="O2" s="111"/>
      <c r="P2" s="112"/>
      <c r="Q2" s="111"/>
      <c r="R2" s="111"/>
      <c r="S2" s="111"/>
    </row>
    <row r="3" spans="1:19" x14ac:dyDescent="0.2">
      <c r="A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7"/>
      <c r="N3" s="107"/>
      <c r="O3" s="107"/>
      <c r="P3" s="107"/>
      <c r="Q3" s="107"/>
      <c r="R3" s="107"/>
      <c r="S3" s="107"/>
    </row>
    <row r="4" spans="1:19" x14ac:dyDescent="0.2">
      <c r="A4" s="110" t="s">
        <v>299</v>
      </c>
      <c r="B4">
        <v>7.5</v>
      </c>
      <c r="C4" s="110" t="s">
        <v>121</v>
      </c>
      <c r="D4" s="110">
        <v>2</v>
      </c>
      <c r="E4" s="110">
        <v>1.2</v>
      </c>
      <c r="F4" s="110">
        <v>2</v>
      </c>
      <c r="G4" s="110">
        <v>1.2</v>
      </c>
      <c r="H4" s="113"/>
      <c r="I4" s="114"/>
      <c r="J4" s="113"/>
      <c r="K4" s="114"/>
      <c r="L4" s="114"/>
      <c r="M4" s="113"/>
      <c r="N4" s="113"/>
      <c r="O4" s="113"/>
      <c r="P4" s="114"/>
      <c r="Q4" s="107"/>
      <c r="R4" s="107"/>
      <c r="S4" s="107"/>
    </row>
    <row r="5" spans="1:19" x14ac:dyDescent="0.2">
      <c r="A5" s="110" t="s">
        <v>300</v>
      </c>
      <c r="B5">
        <v>5.5</v>
      </c>
      <c r="C5" s="110">
        <v>0.75</v>
      </c>
      <c r="D5" s="110">
        <v>2.5</v>
      </c>
      <c r="E5" s="110">
        <v>1.6</v>
      </c>
      <c r="F5" s="110">
        <v>5</v>
      </c>
      <c r="G5" s="110">
        <v>3</v>
      </c>
      <c r="H5" s="113"/>
      <c r="I5" s="114"/>
      <c r="J5" s="113"/>
      <c r="K5" s="114"/>
      <c r="L5" s="114"/>
      <c r="M5" s="113"/>
      <c r="N5" s="113"/>
      <c r="O5" s="113"/>
      <c r="P5" s="114"/>
      <c r="Q5" s="107"/>
      <c r="R5" s="107"/>
      <c r="S5" s="107"/>
    </row>
    <row r="6" spans="1:19" x14ac:dyDescent="0.2">
      <c r="A6" s="110"/>
      <c r="C6" s="110"/>
      <c r="D6" s="110"/>
      <c r="E6" s="110"/>
      <c r="F6" s="110"/>
      <c r="G6" s="110"/>
      <c r="H6" s="113"/>
      <c r="I6" s="114"/>
      <c r="J6" s="113"/>
      <c r="K6" s="114"/>
      <c r="L6" s="114"/>
      <c r="M6" s="113"/>
      <c r="N6" s="113"/>
      <c r="O6" s="113"/>
      <c r="P6" s="114"/>
      <c r="Q6" s="107"/>
      <c r="R6" s="107"/>
      <c r="S6" s="107"/>
    </row>
    <row r="7" spans="1:19" x14ac:dyDescent="0.2">
      <c r="A7" s="110"/>
      <c r="C7" s="110"/>
      <c r="D7" s="110"/>
      <c r="E7" s="110"/>
      <c r="F7" s="110"/>
      <c r="G7" s="110"/>
      <c r="H7" s="113"/>
      <c r="I7" s="114"/>
      <c r="J7" s="113"/>
      <c r="K7" s="114"/>
      <c r="L7" s="114"/>
      <c r="M7" s="113"/>
      <c r="N7" s="113"/>
      <c r="O7" s="113"/>
      <c r="P7" s="114"/>
      <c r="Q7" s="107"/>
      <c r="R7" s="107"/>
      <c r="S7" s="107"/>
    </row>
    <row r="8" spans="1:19" x14ac:dyDescent="0.2">
      <c r="A8" s="110"/>
      <c r="B8" s="110"/>
      <c r="C8" s="110"/>
      <c r="D8" s="110"/>
      <c r="E8" s="110"/>
      <c r="F8" s="110"/>
      <c r="G8" s="110"/>
      <c r="H8" s="113"/>
      <c r="I8" s="114"/>
      <c r="J8" s="113"/>
      <c r="K8" s="114"/>
      <c r="L8" s="114"/>
      <c r="M8" s="113"/>
      <c r="N8" s="113"/>
      <c r="O8" s="113"/>
      <c r="P8" s="114"/>
      <c r="Q8" s="107"/>
      <c r="R8" s="107"/>
      <c r="S8" s="107"/>
    </row>
    <row r="9" spans="1:19" x14ac:dyDescent="0.2">
      <c r="A9" s="110"/>
      <c r="B9" s="110"/>
      <c r="C9" s="110"/>
      <c r="D9" s="110"/>
      <c r="E9" s="110"/>
      <c r="F9" s="110"/>
      <c r="G9" s="110"/>
      <c r="H9" s="113"/>
      <c r="I9" s="114"/>
      <c r="J9" s="113"/>
      <c r="K9" s="114"/>
      <c r="L9" s="114"/>
      <c r="M9" s="113"/>
      <c r="N9" s="113"/>
      <c r="O9" s="113"/>
      <c r="P9" s="114"/>
      <c r="Q9" s="107"/>
      <c r="R9" s="107"/>
      <c r="S9" s="107"/>
    </row>
    <row r="10" spans="1:19" x14ac:dyDescent="0.2">
      <c r="A10" s="110"/>
      <c r="B10" s="110"/>
      <c r="C10" s="110"/>
      <c r="D10" s="110"/>
      <c r="E10" s="110"/>
      <c r="F10" s="110"/>
      <c r="G10" s="110"/>
      <c r="H10" s="113"/>
      <c r="I10" s="114"/>
      <c r="J10" s="113"/>
      <c r="K10" s="114"/>
      <c r="L10" s="114"/>
      <c r="M10" s="113"/>
      <c r="N10" s="113"/>
      <c r="O10" s="113"/>
      <c r="P10" s="114"/>
      <c r="Q10" s="107"/>
      <c r="R10" s="107"/>
      <c r="S10" s="107"/>
    </row>
    <row r="11" spans="1:19" x14ac:dyDescent="0.2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1:19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F8435C-502C-41AE-AD35-98175F51DE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8F97F0-3F7C-4CAD-A04A-6F406EDE7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20515AA-3747-44C2-9DAA-1264A554F3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135</vt:i4>
      </vt:variant>
    </vt:vector>
  </HeadingPairs>
  <TitlesOfParts>
    <vt:vector size="141" baseType="lpstr">
      <vt:lpstr>Intro</vt:lpstr>
      <vt:lpstr>Boost Calculations</vt:lpstr>
      <vt:lpstr>Small Signal</vt:lpstr>
      <vt:lpstr>Std. R and C Values</vt:lpstr>
      <vt:lpstr>partdata</vt:lpstr>
      <vt:lpstr>EVM Matching</vt:lpstr>
      <vt:lpstr>Acs</vt:lpstr>
      <vt:lpstr>aol</vt:lpstr>
      <vt:lpstr>C_f1</vt:lpstr>
      <vt:lpstr>C_f2</vt:lpstr>
      <vt:lpstr>c_s1</vt:lpstr>
      <vt:lpstr>C_s2</vt:lpstr>
      <vt:lpstr>Cbulkss</vt:lpstr>
      <vt:lpstr>Ccerss</vt:lpstr>
      <vt:lpstr>Ccomp</vt:lpstr>
      <vt:lpstr>Ccompss</vt:lpstr>
      <vt:lpstr>Cffss</vt:lpstr>
      <vt:lpstr>Chf</vt:lpstr>
      <vt:lpstr>Chfss</vt:lpstr>
      <vt:lpstr>Cin_chosen</vt:lpstr>
      <vt:lpstr>Co</vt:lpstr>
      <vt:lpstr>Co_esr</vt:lpstr>
      <vt:lpstr>Cochosen</vt:lpstr>
      <vt:lpstr>Coss</vt:lpstr>
      <vt:lpstr>CVcc</vt:lpstr>
      <vt:lpstr>DCR</vt:lpstr>
      <vt:lpstr>DCRss</vt:lpstr>
      <vt:lpstr>devfreqmax</vt:lpstr>
      <vt:lpstr>devfreqmin</vt:lpstr>
      <vt:lpstr>dItran</vt:lpstr>
      <vt:lpstr>Dmax</vt:lpstr>
      <vt:lpstr>Dmin</vt:lpstr>
      <vt:lpstr>Dnom</vt:lpstr>
      <vt:lpstr>Dss</vt:lpstr>
      <vt:lpstr>dVtran</vt:lpstr>
      <vt:lpstr>E12_f</vt:lpstr>
      <vt:lpstr>E12_s</vt:lpstr>
      <vt:lpstr>E24_f</vt:lpstr>
      <vt:lpstr>E24_s</vt:lpstr>
      <vt:lpstr>E48_f</vt:lpstr>
      <vt:lpstr>E48_s</vt:lpstr>
      <vt:lpstr>E6_f</vt:lpstr>
      <vt:lpstr>E6_s</vt:lpstr>
      <vt:lpstr>E96_f</vt:lpstr>
      <vt:lpstr>E96_s</vt:lpstr>
      <vt:lpstr>ESRss</vt:lpstr>
      <vt:lpstr>Fco_target</vt:lpstr>
      <vt:lpstr>Fm</vt:lpstr>
      <vt:lpstr>frhpz</vt:lpstr>
      <vt:lpstr>fswss</vt:lpstr>
      <vt:lpstr>gbw</vt:lpstr>
      <vt:lpstr>gea</vt:lpstr>
      <vt:lpstr>gea_typ</vt:lpstr>
      <vt:lpstr>Icrit</vt:lpstr>
      <vt:lpstr>Idrive_hs</vt:lpstr>
      <vt:lpstr>Idrive_ls</vt:lpstr>
      <vt:lpstr>Ien_hys</vt:lpstr>
      <vt:lpstr>Ien_pup</vt:lpstr>
      <vt:lpstr>Iin_max</vt:lpstr>
      <vt:lpstr>Ilpeak</vt:lpstr>
      <vt:lpstr>Ilrms</vt:lpstr>
      <vt:lpstr>Iout</vt:lpstr>
      <vt:lpstr>Ioutss</vt:lpstr>
      <vt:lpstr>Iq</vt:lpstr>
      <vt:lpstr>Iripple</vt:lpstr>
      <vt:lpstr>Irms_cin</vt:lpstr>
      <vt:lpstr>Irms_cout</vt:lpstr>
      <vt:lpstr>Isat</vt:lpstr>
      <vt:lpstr>Iss</vt:lpstr>
      <vt:lpstr>k_3</vt:lpstr>
      <vt:lpstr>Kind</vt:lpstr>
      <vt:lpstr>L</vt:lpstr>
      <vt:lpstr>Lss</vt:lpstr>
      <vt:lpstr>M</vt:lpstr>
      <vt:lpstr>mc</vt:lpstr>
      <vt:lpstr>Pind</vt:lpstr>
      <vt:lpstr>Pls_sw</vt:lpstr>
      <vt:lpstr>'Std. R and C Values'!Print_Area</vt:lpstr>
      <vt:lpstr>PSgain_fco</vt:lpstr>
      <vt:lpstr>Psw_cond</vt:lpstr>
      <vt:lpstr>q0</vt:lpstr>
      <vt:lpstr>Qg_hs</vt:lpstr>
      <vt:lpstr>Qg_ls</vt:lpstr>
      <vt:lpstr>Qgd</vt:lpstr>
      <vt:lpstr>Rcerss</vt:lpstr>
      <vt:lpstr>Rcomp</vt:lpstr>
      <vt:lpstr>Rcompss</vt:lpstr>
      <vt:lpstr>Rdson_hs</vt:lpstr>
      <vt:lpstr>Rdson_ls</vt:lpstr>
      <vt:lpstr>Rdsonss</vt:lpstr>
      <vt:lpstr>Rea</vt:lpstr>
      <vt:lpstr>Rffss</vt:lpstr>
      <vt:lpstr>Rfreq</vt:lpstr>
      <vt:lpstr>Rg_hs</vt:lpstr>
      <vt:lpstr>Rg_ls</vt:lpstr>
      <vt:lpstr>Rgd_hs</vt:lpstr>
      <vt:lpstr>Rgd_ls</vt:lpstr>
      <vt:lpstr>Rhdrv_pd</vt:lpstr>
      <vt:lpstr>Rhdrv_pu</vt:lpstr>
      <vt:lpstr>Risense</vt:lpstr>
      <vt:lpstr>Rldrv_pd</vt:lpstr>
      <vt:lpstr>Rldrv_pu</vt:lpstr>
      <vt:lpstr>Ro</vt:lpstr>
      <vt:lpstr>Ross</vt:lpstr>
      <vt:lpstr>Rsense</vt:lpstr>
      <vt:lpstr>Rsh</vt:lpstr>
      <vt:lpstr>Rshss</vt:lpstr>
      <vt:lpstr>Rsl</vt:lpstr>
      <vt:lpstr>Rslss</vt:lpstr>
      <vt:lpstr>Ruvloh</vt:lpstr>
      <vt:lpstr>Ruvlol</vt:lpstr>
      <vt:lpstr>sess</vt:lpstr>
      <vt:lpstr>snss</vt:lpstr>
      <vt:lpstr>tnonoverlap</vt:lpstr>
      <vt:lpstr>toffmin</vt:lpstr>
      <vt:lpstr>tonmin</vt:lpstr>
      <vt:lpstr>tss</vt:lpstr>
      <vt:lpstr>Vcc_typ</vt:lpstr>
      <vt:lpstr>Vcs</vt:lpstr>
      <vt:lpstr>Vcs0duty_max</vt:lpstr>
      <vt:lpstr>Vcs0duty_min</vt:lpstr>
      <vt:lpstr>vdevmax</vt:lpstr>
      <vt:lpstr>Ven_dis</vt:lpstr>
      <vt:lpstr>Ven_on</vt:lpstr>
      <vt:lpstr>vf_body</vt:lpstr>
      <vt:lpstr>Vfboot</vt:lpstr>
      <vt:lpstr>Vfboot_int</vt:lpstr>
      <vt:lpstr>Vin_Max</vt:lpstr>
      <vt:lpstr>Vin_Min</vt:lpstr>
      <vt:lpstr>Vin_Nom</vt:lpstr>
      <vt:lpstr>Vinss</vt:lpstr>
      <vt:lpstr>Viripple</vt:lpstr>
      <vt:lpstr>Vout</vt:lpstr>
      <vt:lpstr>Vout_ripple</vt:lpstr>
      <vt:lpstr>Voutss</vt:lpstr>
      <vt:lpstr>Vref</vt:lpstr>
      <vt:lpstr>Vsl</vt:lpstr>
      <vt:lpstr>Vstart</vt:lpstr>
      <vt:lpstr>Vstop</vt:lpstr>
      <vt:lpstr>Vth</vt:lpstr>
      <vt:lpstr>wn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a0192789</dc:creator>
  <cp:lastModifiedBy>Jed Wang</cp:lastModifiedBy>
  <cp:lastPrinted>2009-05-21T20:23:27Z</cp:lastPrinted>
  <dcterms:created xsi:type="dcterms:W3CDTF">2009-03-26T20:28:21Z</dcterms:created>
  <dcterms:modified xsi:type="dcterms:W3CDTF">2025-05-15T05:22:35Z</dcterms:modified>
</cp:coreProperties>
</file>